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 defaultThemeVersion="124226"/>
  <xr:revisionPtr revIDLastSave="0" documentId="10_ncr:100000_{EAEE8DD1-E667-4BA1-BC88-E1417ECA08D5}" xr6:coauthVersionLast="31" xr6:coauthVersionMax="31" xr10:uidLastSave="{00000000-0000-0000-0000-000000000000}"/>
  <bookViews>
    <workbookView xWindow="240" yWindow="105" windowWidth="14805" windowHeight="7785" activeTab="12" xr2:uid="{00000000-000D-0000-FFFF-FFFF00000000}"/>
  </bookViews>
  <sheets>
    <sheet name="2018" sheetId="1" r:id="rId1"/>
    <sheet name="01" sheetId="2" r:id="rId2"/>
    <sheet name="02" sheetId="3" r:id="rId3"/>
    <sheet name="03" sheetId="4" r:id="rId4"/>
    <sheet name="04" sheetId="5" r:id="rId5"/>
    <sheet name="05" sheetId="6" r:id="rId6"/>
    <sheet name="06" sheetId="7" r:id="rId7"/>
    <sheet name="07" sheetId="8" r:id="rId8"/>
    <sheet name="08" sheetId="9" r:id="rId9"/>
    <sheet name="09" sheetId="10" r:id="rId10"/>
    <sheet name="10" sheetId="11" r:id="rId11"/>
    <sheet name="11" sheetId="12" r:id="rId12"/>
    <sheet name="12" sheetId="13" r:id="rId13"/>
    <sheet name="Hipoteca" sheetId="14" r:id="rId14"/>
    <sheet name="Coche" sheetId="17" r:id="rId15"/>
    <sheet name="Historico" sheetId="15" r:id="rId16"/>
    <sheet name="NOTAS" sheetId="16" r:id="rId17"/>
  </sheets>
  <calcPr calcId="179017"/>
</workbook>
</file>

<file path=xl/calcChain.xml><?xml version="1.0" encoding="utf-8"?>
<calcChain xmlns="http://schemas.openxmlformats.org/spreadsheetml/2006/main">
  <c r="F366" i="13" l="1"/>
  <c r="D51" i="13" l="1"/>
  <c r="D147" i="13"/>
  <c r="AU8" i="1" l="1"/>
  <c r="D366" i="13" l="1"/>
  <c r="D49" i="13" l="1"/>
  <c r="D146" i="13"/>
  <c r="AU15" i="1" l="1"/>
  <c r="AU9" i="1"/>
  <c r="M5" i="13"/>
  <c r="K5" i="13"/>
  <c r="A426" i="13"/>
  <c r="AU12" i="1"/>
  <c r="M4" i="13"/>
  <c r="D47" i="13"/>
  <c r="D46" i="13"/>
  <c r="K7" i="13"/>
  <c r="K11" i="13"/>
  <c r="D247" i="12"/>
  <c r="F366" i="12" l="1"/>
  <c r="D190" i="12"/>
  <c r="H208" i="12"/>
  <c r="D57" i="12"/>
  <c r="D288" i="12"/>
  <c r="AQ9" i="1"/>
  <c r="D287" i="12" l="1"/>
  <c r="D207" i="12"/>
  <c r="D56" i="12"/>
  <c r="A426" i="12"/>
  <c r="AQ14" i="1"/>
  <c r="K29" i="12"/>
  <c r="D55" i="12" l="1"/>
  <c r="AM9" i="1"/>
  <c r="D366" i="12"/>
  <c r="D52" i="12" l="1"/>
  <c r="E186" i="12" l="1"/>
  <c r="F50" i="12" l="1"/>
  <c r="D49" i="12" l="1"/>
  <c r="F206" i="12" l="1"/>
  <c r="AQ11" i="1" l="1"/>
  <c r="K25" i="12"/>
  <c r="K11" i="12" l="1"/>
  <c r="F366" i="11"/>
  <c r="D58" i="11" l="1"/>
  <c r="D59" i="11"/>
  <c r="D57" i="11" l="1"/>
  <c r="D188" i="11" l="1"/>
  <c r="D56" i="11"/>
  <c r="D55" i="11" l="1"/>
  <c r="AM11" i="1"/>
  <c r="F70" i="11" l="1"/>
  <c r="D54" i="11"/>
  <c r="G15" i="17" l="1"/>
  <c r="G16" i="17" s="1"/>
  <c r="G17" i="17" s="1"/>
  <c r="G18" i="17" s="1"/>
  <c r="G19" i="17" s="1"/>
  <c r="G20" i="17" s="1"/>
  <c r="G21" i="17" s="1"/>
  <c r="G22" i="17" s="1"/>
  <c r="G23" i="17" s="1"/>
  <c r="G24" i="17" s="1"/>
  <c r="G25" i="17" s="1"/>
  <c r="G26" i="17" s="1"/>
  <c r="G27" i="17" s="1"/>
  <c r="G28" i="17" s="1"/>
  <c r="G29" i="17" s="1"/>
  <c r="G30" i="17" s="1"/>
  <c r="G31" i="17" s="1"/>
  <c r="G32" i="17" s="1"/>
  <c r="G33" i="17" s="1"/>
  <c r="G34" i="17" s="1"/>
  <c r="G35" i="17" s="1"/>
  <c r="G36" i="17" s="1"/>
  <c r="G37" i="17" s="1"/>
  <c r="G38" i="17" s="1"/>
  <c r="G39" i="17" s="1"/>
  <c r="G40" i="17" s="1"/>
  <c r="G41" i="17" s="1"/>
  <c r="G42" i="17" s="1"/>
  <c r="G43" i="17" s="1"/>
  <c r="G44" i="17" s="1"/>
  <c r="G45" i="17" s="1"/>
  <c r="G46" i="17" s="1"/>
  <c r="G47" i="17" s="1"/>
  <c r="G48" i="17" s="1"/>
  <c r="G49" i="17" s="1"/>
  <c r="G50" i="17" s="1"/>
  <c r="G51" i="17" s="1"/>
  <c r="G52" i="17" s="1"/>
  <c r="G53" i="17" s="1"/>
  <c r="G54" i="17" s="1"/>
  <c r="G55" i="17" s="1"/>
  <c r="G56" i="17" s="1"/>
  <c r="G57" i="17" s="1"/>
  <c r="G58" i="17" s="1"/>
  <c r="G59" i="17" s="1"/>
  <c r="G60" i="17" s="1"/>
  <c r="G61" i="17" s="1"/>
  <c r="G62" i="17" s="1"/>
  <c r="G63" i="17" s="1"/>
  <c r="I15" i="17"/>
  <c r="D306" i="11"/>
  <c r="B4" i="14" l="1"/>
  <c r="AM15" i="1" l="1"/>
  <c r="D100" i="11" l="1"/>
  <c r="BB17" i="1"/>
  <c r="BN39" i="1" l="1"/>
  <c r="BN40" i="1"/>
  <c r="BN45" i="1"/>
  <c r="BN33" i="1"/>
  <c r="BN42" i="1"/>
  <c r="BN43" i="1"/>
  <c r="BN37" i="1"/>
  <c r="BN36" i="1"/>
  <c r="BN44" i="1"/>
  <c r="D46" i="11"/>
  <c r="B422" i="11" l="1"/>
  <c r="K7" i="11"/>
  <c r="AI10" i="1"/>
  <c r="O5" i="11"/>
  <c r="F366" i="10" l="1"/>
  <c r="A8" i="11"/>
  <c r="A11" i="11"/>
  <c r="A11" i="10"/>
  <c r="A7" i="10"/>
  <c r="A7" i="11" s="1"/>
  <c r="A10" i="10"/>
  <c r="A10" i="11" s="1"/>
  <c r="A7" i="2"/>
  <c r="A14" i="2"/>
  <c r="A15" i="2"/>
  <c r="A16" i="2"/>
  <c r="A9" i="2"/>
  <c r="A10" i="2"/>
  <c r="A11" i="2"/>
  <c r="A12" i="2"/>
  <c r="A6" i="2"/>
  <c r="A13" i="2"/>
  <c r="E6" i="10"/>
  <c r="D226" i="10"/>
  <c r="D54" i="10" l="1"/>
  <c r="F520" i="13" l="1"/>
  <c r="E520" i="13"/>
  <c r="D520" i="13"/>
  <c r="B520" i="13"/>
  <c r="B502" i="13"/>
  <c r="F500" i="13"/>
  <c r="E500" i="13"/>
  <c r="D500" i="13"/>
  <c r="B500" i="13"/>
  <c r="B482" i="13"/>
  <c r="F480" i="13"/>
  <c r="E480" i="13"/>
  <c r="D480" i="13"/>
  <c r="B480" i="13"/>
  <c r="B462" i="13"/>
  <c r="F460" i="13"/>
  <c r="E460" i="13"/>
  <c r="D460" i="13"/>
  <c r="B460" i="13"/>
  <c r="B442" i="13"/>
  <c r="F440" i="13"/>
  <c r="E440" i="13"/>
  <c r="D440" i="13"/>
  <c r="B422" i="13"/>
  <c r="F420" i="13"/>
  <c r="E420" i="13"/>
  <c r="D420" i="13"/>
  <c r="B420" i="13"/>
  <c r="B402" i="13"/>
  <c r="F400" i="13"/>
  <c r="E400" i="13"/>
  <c r="D400" i="13"/>
  <c r="B400" i="13"/>
  <c r="B382" i="13"/>
  <c r="F380" i="13"/>
  <c r="E380" i="13"/>
  <c r="D380" i="13"/>
  <c r="B380" i="13"/>
  <c r="B362" i="13"/>
  <c r="F360" i="13"/>
  <c r="E360" i="13"/>
  <c r="D360" i="13"/>
  <c r="B360" i="13"/>
  <c r="B342" i="13"/>
  <c r="F340" i="13"/>
  <c r="E340" i="13"/>
  <c r="D340" i="13"/>
  <c r="B340" i="13"/>
  <c r="B322" i="13"/>
  <c r="F320" i="13"/>
  <c r="E320" i="13"/>
  <c r="D320" i="13"/>
  <c r="B320" i="13"/>
  <c r="B302" i="13"/>
  <c r="F300" i="13"/>
  <c r="E300" i="13"/>
  <c r="D300" i="13"/>
  <c r="B300" i="13"/>
  <c r="B282" i="13"/>
  <c r="F280" i="13"/>
  <c r="E280" i="13"/>
  <c r="D280" i="13"/>
  <c r="B280" i="13"/>
  <c r="B262" i="13"/>
  <c r="F260" i="13"/>
  <c r="E260" i="13"/>
  <c r="D260" i="13"/>
  <c r="B260" i="13"/>
  <c r="B242" i="13"/>
  <c r="F240" i="13"/>
  <c r="E240" i="13"/>
  <c r="D240" i="13"/>
  <c r="B240" i="13"/>
  <c r="B222" i="13"/>
  <c r="F220" i="13"/>
  <c r="E220" i="13"/>
  <c r="D220" i="13"/>
  <c r="B220" i="13"/>
  <c r="B202" i="13"/>
  <c r="F200" i="13"/>
  <c r="E200" i="13"/>
  <c r="D200" i="13"/>
  <c r="B200" i="13"/>
  <c r="B182" i="13"/>
  <c r="F180" i="13"/>
  <c r="E180" i="13"/>
  <c r="D180" i="13"/>
  <c r="B180" i="13"/>
  <c r="B162" i="13"/>
  <c r="F160" i="13"/>
  <c r="E160" i="13"/>
  <c r="D160" i="13"/>
  <c r="B160" i="13"/>
  <c r="B142" i="13"/>
  <c r="F140" i="13"/>
  <c r="E140" i="13"/>
  <c r="D140" i="13"/>
  <c r="B140" i="13"/>
  <c r="B122" i="13"/>
  <c r="F120" i="13"/>
  <c r="E120" i="13"/>
  <c r="D120" i="13"/>
  <c r="B120" i="13"/>
  <c r="B102" i="13"/>
  <c r="F100" i="13"/>
  <c r="E100" i="13"/>
  <c r="D100" i="13"/>
  <c r="B100" i="13"/>
  <c r="B82" i="13"/>
  <c r="F80" i="13"/>
  <c r="E80" i="13"/>
  <c r="D80" i="13"/>
  <c r="B80" i="13"/>
  <c r="B62" i="13"/>
  <c r="F60" i="13"/>
  <c r="E60" i="13"/>
  <c r="D60" i="13"/>
  <c r="B60" i="13"/>
  <c r="B42" i="13"/>
  <c r="F40" i="13"/>
  <c r="E40" i="13"/>
  <c r="D40" i="13"/>
  <c r="B40" i="13"/>
  <c r="B22" i="13"/>
  <c r="F20" i="13"/>
  <c r="E20" i="13"/>
  <c r="D20" i="13"/>
  <c r="B20" i="13"/>
  <c r="K19" i="13"/>
  <c r="L20" i="13" s="1"/>
  <c r="B2" i="13"/>
  <c r="D51" i="10" l="1"/>
  <c r="A109" i="11" l="1"/>
  <c r="A109" i="12" s="1"/>
  <c r="A109" i="13" s="1"/>
  <c r="H63" i="17" s="1"/>
  <c r="A108" i="10"/>
  <c r="A120" i="10" s="1"/>
  <c r="A467" i="11" l="1"/>
  <c r="A468" i="11"/>
  <c r="D108" i="10"/>
  <c r="A108" i="11" l="1"/>
  <c r="A107" i="11"/>
  <c r="A107" i="12" s="1"/>
  <c r="A107" i="13" s="1"/>
  <c r="A106" i="11"/>
  <c r="A466" i="11"/>
  <c r="A480" i="11" s="1"/>
  <c r="A480" i="10"/>
  <c r="A30" i="10"/>
  <c r="A30" i="11" s="1"/>
  <c r="A30" i="12" s="1"/>
  <c r="A30" i="13" s="1"/>
  <c r="A28" i="10"/>
  <c r="A28" i="11" s="1"/>
  <c r="A28" i="12" s="1"/>
  <c r="A28" i="13" s="1"/>
  <c r="A26" i="11"/>
  <c r="A26" i="12" s="1"/>
  <c r="A26" i="13" s="1"/>
  <c r="A29" i="10"/>
  <c r="A29" i="11" s="1"/>
  <c r="A29" i="12" s="1"/>
  <c r="A29" i="13" s="1"/>
  <c r="A27" i="10"/>
  <c r="A27" i="11" s="1"/>
  <c r="A27" i="12" s="1"/>
  <c r="A27" i="13" s="1"/>
  <c r="A8" i="12"/>
  <c r="A8" i="13" s="1"/>
  <c r="A108" i="12" l="1"/>
  <c r="A108" i="13" s="1"/>
  <c r="A40" i="13"/>
  <c r="A466" i="12"/>
  <c r="A466" i="13" s="1"/>
  <c r="A106" i="12"/>
  <c r="A106" i="13" s="1"/>
  <c r="A120" i="11"/>
  <c r="A40" i="11"/>
  <c r="A40" i="12"/>
  <c r="A40" i="10"/>
  <c r="A468" i="12"/>
  <c r="A468" i="13" s="1"/>
  <c r="A467" i="12"/>
  <c r="A467" i="13" s="1"/>
  <c r="A120" i="13" l="1"/>
  <c r="A120" i="12"/>
  <c r="A480" i="13"/>
  <c r="D67" i="10"/>
  <c r="D47" i="10" l="1"/>
  <c r="D46" i="10"/>
  <c r="F520" i="12" l="1"/>
  <c r="E520" i="12"/>
  <c r="D520" i="12"/>
  <c r="B520" i="12"/>
  <c r="B502" i="12"/>
  <c r="F500" i="12"/>
  <c r="E500" i="12"/>
  <c r="D500" i="12"/>
  <c r="B500" i="12"/>
  <c r="B482" i="12"/>
  <c r="F480" i="12"/>
  <c r="E480" i="12"/>
  <c r="D480" i="12"/>
  <c r="B480" i="12"/>
  <c r="B462" i="12"/>
  <c r="F460" i="12"/>
  <c r="E460" i="12"/>
  <c r="D460" i="12"/>
  <c r="B460" i="12"/>
  <c r="B442" i="12"/>
  <c r="F440" i="12"/>
  <c r="E440" i="12"/>
  <c r="D440" i="12"/>
  <c r="B422" i="12"/>
  <c r="F420" i="12"/>
  <c r="E420" i="12"/>
  <c r="D420" i="12"/>
  <c r="B420" i="12"/>
  <c r="B402" i="12"/>
  <c r="F400" i="12"/>
  <c r="E400" i="12"/>
  <c r="D400" i="12"/>
  <c r="B400" i="12"/>
  <c r="B382" i="12"/>
  <c r="F380" i="12"/>
  <c r="E380" i="12"/>
  <c r="D380" i="12"/>
  <c r="B380" i="12"/>
  <c r="B362" i="12"/>
  <c r="F360" i="12"/>
  <c r="E360" i="12"/>
  <c r="D360" i="12"/>
  <c r="B360" i="12"/>
  <c r="B342" i="12"/>
  <c r="F340" i="12"/>
  <c r="E340" i="12"/>
  <c r="D340" i="12"/>
  <c r="B340" i="12"/>
  <c r="B322" i="12"/>
  <c r="F320" i="12"/>
  <c r="E320" i="12"/>
  <c r="D320" i="12"/>
  <c r="B320" i="12"/>
  <c r="B302" i="12"/>
  <c r="F300" i="12"/>
  <c r="E300" i="12"/>
  <c r="D300" i="12"/>
  <c r="B300" i="12"/>
  <c r="B282" i="12"/>
  <c r="F280" i="12"/>
  <c r="E280" i="12"/>
  <c r="D280" i="12"/>
  <c r="B280" i="12"/>
  <c r="B262" i="12"/>
  <c r="F260" i="12"/>
  <c r="E260" i="12"/>
  <c r="D260" i="12"/>
  <c r="B260" i="12"/>
  <c r="B242" i="12"/>
  <c r="F240" i="12"/>
  <c r="E240" i="12"/>
  <c r="D240" i="12"/>
  <c r="B240" i="12"/>
  <c r="B222" i="12"/>
  <c r="F220" i="12"/>
  <c r="E220" i="12"/>
  <c r="D220" i="12"/>
  <c r="B220" i="12"/>
  <c r="B202" i="12"/>
  <c r="F200" i="12"/>
  <c r="E200" i="12"/>
  <c r="D200" i="12"/>
  <c r="B200" i="12"/>
  <c r="B182" i="12"/>
  <c r="F180" i="12"/>
  <c r="E180" i="12"/>
  <c r="D180" i="12"/>
  <c r="B180" i="12"/>
  <c r="B162" i="12"/>
  <c r="F160" i="12"/>
  <c r="E160" i="12"/>
  <c r="D160" i="12"/>
  <c r="B160" i="12"/>
  <c r="B142" i="12"/>
  <c r="F140" i="12"/>
  <c r="E140" i="12"/>
  <c r="D140" i="12"/>
  <c r="B140" i="12"/>
  <c r="B122" i="12"/>
  <c r="F120" i="12"/>
  <c r="E120" i="12"/>
  <c r="D120" i="12"/>
  <c r="B120" i="12"/>
  <c r="B102" i="12"/>
  <c r="F100" i="12"/>
  <c r="E100" i="12"/>
  <c r="D100" i="12"/>
  <c r="B100" i="12"/>
  <c r="B82" i="12"/>
  <c r="F80" i="12"/>
  <c r="E80" i="12"/>
  <c r="D80" i="12"/>
  <c r="B80" i="12"/>
  <c r="B62" i="12"/>
  <c r="F60" i="12"/>
  <c r="E60" i="12"/>
  <c r="D60" i="12"/>
  <c r="B60" i="12"/>
  <c r="B42" i="12"/>
  <c r="F40" i="12"/>
  <c r="E40" i="12"/>
  <c r="D40" i="12"/>
  <c r="B40" i="12"/>
  <c r="B22" i="12"/>
  <c r="F20" i="12"/>
  <c r="E20" i="12"/>
  <c r="D20" i="12"/>
  <c r="B20" i="12"/>
  <c r="K19" i="12"/>
  <c r="L20" i="12" s="1"/>
  <c r="B2" i="12"/>
  <c r="M27" i="10" l="1"/>
  <c r="F166" i="10" l="1"/>
  <c r="D58" i="9" l="1"/>
  <c r="F366" i="9"/>
  <c r="K11" i="10" l="1"/>
  <c r="D57" i="9" l="1"/>
  <c r="D71" i="9" l="1"/>
  <c r="D56" i="9"/>
  <c r="D55" i="9"/>
  <c r="E166" i="9" l="1"/>
  <c r="D53" i="9" l="1"/>
  <c r="D51" i="9" l="1"/>
  <c r="D247" i="9"/>
  <c r="F520" i="11" l="1"/>
  <c r="E520" i="11"/>
  <c r="D520" i="11"/>
  <c r="B520" i="11"/>
  <c r="B502" i="11"/>
  <c r="F500" i="11"/>
  <c r="E500" i="11"/>
  <c r="D500" i="11"/>
  <c r="B500" i="11"/>
  <c r="B482" i="11"/>
  <c r="F480" i="11"/>
  <c r="E480" i="11"/>
  <c r="D480" i="11"/>
  <c r="B480" i="11"/>
  <c r="B462" i="11"/>
  <c r="F460" i="11"/>
  <c r="E460" i="11"/>
  <c r="D460" i="11"/>
  <c r="B460" i="11"/>
  <c r="B442" i="11"/>
  <c r="F440" i="11"/>
  <c r="E440" i="11"/>
  <c r="D440" i="11"/>
  <c r="F420" i="11"/>
  <c r="E420" i="11"/>
  <c r="D420" i="11"/>
  <c r="B420" i="11"/>
  <c r="B402" i="11"/>
  <c r="F400" i="11"/>
  <c r="E400" i="11"/>
  <c r="D400" i="11"/>
  <c r="B400" i="11"/>
  <c r="B382" i="11"/>
  <c r="F380" i="11"/>
  <c r="E380" i="11"/>
  <c r="D380" i="11"/>
  <c r="B380" i="11"/>
  <c r="B362" i="11"/>
  <c r="F360" i="11"/>
  <c r="E360" i="11"/>
  <c r="D360" i="11"/>
  <c r="B360" i="11"/>
  <c r="B342" i="11"/>
  <c r="F340" i="11"/>
  <c r="E340" i="11"/>
  <c r="D340" i="11"/>
  <c r="B340" i="11"/>
  <c r="B322" i="11"/>
  <c r="F320" i="11"/>
  <c r="E320" i="11"/>
  <c r="D320" i="11"/>
  <c r="B320" i="11"/>
  <c r="B302" i="11"/>
  <c r="F300" i="11"/>
  <c r="E300" i="11"/>
  <c r="D300" i="11"/>
  <c r="B300" i="11"/>
  <c r="B282" i="11"/>
  <c r="F280" i="11"/>
  <c r="E280" i="11"/>
  <c r="D280" i="11"/>
  <c r="B280" i="11"/>
  <c r="B262" i="11"/>
  <c r="F260" i="11"/>
  <c r="E260" i="11"/>
  <c r="D260" i="11"/>
  <c r="B260" i="11"/>
  <c r="B242" i="11"/>
  <c r="F240" i="11"/>
  <c r="E240" i="11"/>
  <c r="D240" i="11"/>
  <c r="B240" i="11"/>
  <c r="B222" i="11"/>
  <c r="F220" i="11"/>
  <c r="E220" i="11"/>
  <c r="D220" i="11"/>
  <c r="B220" i="11"/>
  <c r="B202" i="11"/>
  <c r="F200" i="11"/>
  <c r="E200" i="11"/>
  <c r="D200" i="11"/>
  <c r="B200" i="11"/>
  <c r="B182" i="11"/>
  <c r="F180" i="11"/>
  <c r="E180" i="11"/>
  <c r="D180" i="11"/>
  <c r="B180" i="11"/>
  <c r="B162" i="11"/>
  <c r="F160" i="11"/>
  <c r="E160" i="11"/>
  <c r="D160" i="11"/>
  <c r="B160" i="11"/>
  <c r="B142" i="11"/>
  <c r="F140" i="11"/>
  <c r="E140" i="11"/>
  <c r="D140" i="11"/>
  <c r="B140" i="11"/>
  <c r="B122" i="11"/>
  <c r="F120" i="11"/>
  <c r="E120" i="11"/>
  <c r="D120" i="11"/>
  <c r="B120" i="11"/>
  <c r="B102" i="11"/>
  <c r="F100" i="11"/>
  <c r="E100" i="11"/>
  <c r="B100" i="11"/>
  <c r="B82" i="11"/>
  <c r="F80" i="11"/>
  <c r="E80" i="11"/>
  <c r="D80" i="11"/>
  <c r="B80" i="11"/>
  <c r="B62" i="11"/>
  <c r="F60" i="11"/>
  <c r="E60" i="11"/>
  <c r="D60" i="11"/>
  <c r="B60" i="11"/>
  <c r="B42" i="11"/>
  <c r="F40" i="11"/>
  <c r="E40" i="11"/>
  <c r="D40" i="11"/>
  <c r="B40" i="11"/>
  <c r="B22" i="11"/>
  <c r="F20" i="11"/>
  <c r="E20" i="11"/>
  <c r="D20" i="11"/>
  <c r="B20" i="11"/>
  <c r="K19" i="11"/>
  <c r="L20" i="11" s="1"/>
  <c r="B2" i="11"/>
  <c r="D48" i="9" l="1"/>
  <c r="D47" i="9"/>
  <c r="D67" i="9"/>
  <c r="D46" i="9" l="1"/>
  <c r="AE9" i="1" l="1"/>
  <c r="K5" i="9" l="1"/>
  <c r="K11" i="9"/>
  <c r="G41" i="14"/>
  <c r="G42" i="14"/>
  <c r="G43" i="14"/>
  <c r="D86" i="8" l="1"/>
  <c r="D289" i="8" l="1"/>
  <c r="D248" i="8" s="1"/>
  <c r="D290" i="8" l="1"/>
  <c r="D190" i="8" s="1"/>
  <c r="AA12" i="1"/>
  <c r="D51" i="8" l="1"/>
  <c r="F366" i="8" s="1"/>
  <c r="D206" i="8" l="1"/>
  <c r="E368" i="8"/>
  <c r="F520" i="10" l="1"/>
  <c r="E520" i="10"/>
  <c r="D520" i="10"/>
  <c r="B520" i="10"/>
  <c r="B502" i="10"/>
  <c r="F500" i="10"/>
  <c r="E500" i="10"/>
  <c r="D500" i="10"/>
  <c r="B500" i="10"/>
  <c r="B482" i="10"/>
  <c r="F480" i="10"/>
  <c r="E480" i="10"/>
  <c r="D480" i="10"/>
  <c r="B480" i="10"/>
  <c r="B462" i="10"/>
  <c r="F460" i="10"/>
  <c r="E460" i="10"/>
  <c r="D460" i="10"/>
  <c r="B460" i="10"/>
  <c r="B442" i="10"/>
  <c r="F440" i="10"/>
  <c r="E440" i="10"/>
  <c r="D440" i="10"/>
  <c r="B422" i="10"/>
  <c r="F420" i="10"/>
  <c r="E420" i="10"/>
  <c r="D420" i="10"/>
  <c r="B420" i="10"/>
  <c r="B402" i="10"/>
  <c r="F400" i="10"/>
  <c r="E400" i="10"/>
  <c r="D400" i="10"/>
  <c r="B400" i="10"/>
  <c r="B382" i="10"/>
  <c r="F380" i="10"/>
  <c r="E380" i="10"/>
  <c r="D380" i="10"/>
  <c r="B380" i="10"/>
  <c r="B362" i="10"/>
  <c r="F360" i="10"/>
  <c r="E360" i="10"/>
  <c r="D360" i="10"/>
  <c r="B360" i="10"/>
  <c r="B342" i="10"/>
  <c r="F340" i="10"/>
  <c r="E340" i="10"/>
  <c r="D340" i="10"/>
  <c r="B340" i="10"/>
  <c r="B322" i="10"/>
  <c r="F320" i="10"/>
  <c r="E320" i="10"/>
  <c r="D320" i="10"/>
  <c r="B320" i="10"/>
  <c r="B302" i="10"/>
  <c r="F300" i="10"/>
  <c r="E300" i="10"/>
  <c r="D300" i="10"/>
  <c r="B300" i="10"/>
  <c r="B282" i="10"/>
  <c r="F280" i="10"/>
  <c r="E280" i="10"/>
  <c r="D280" i="10"/>
  <c r="B280" i="10"/>
  <c r="B262" i="10"/>
  <c r="F260" i="10"/>
  <c r="E260" i="10"/>
  <c r="D260" i="10"/>
  <c r="B260" i="10"/>
  <c r="B242" i="10"/>
  <c r="F240" i="10"/>
  <c r="E240" i="10"/>
  <c r="D240" i="10"/>
  <c r="B240" i="10"/>
  <c r="B222" i="10"/>
  <c r="F220" i="10"/>
  <c r="E220" i="10"/>
  <c r="D220" i="10"/>
  <c r="B220" i="10"/>
  <c r="B202" i="10"/>
  <c r="F200" i="10"/>
  <c r="E200" i="10"/>
  <c r="D200" i="10"/>
  <c r="B200" i="10"/>
  <c r="B182" i="10"/>
  <c r="F180" i="10"/>
  <c r="E180" i="10"/>
  <c r="D180" i="10"/>
  <c r="B180" i="10"/>
  <c r="B162" i="10"/>
  <c r="F160" i="10"/>
  <c r="E160" i="10"/>
  <c r="D160" i="10"/>
  <c r="B160" i="10"/>
  <c r="B142" i="10"/>
  <c r="F140" i="10"/>
  <c r="E140" i="10"/>
  <c r="D140" i="10"/>
  <c r="B140" i="10"/>
  <c r="B122" i="10"/>
  <c r="F120" i="10"/>
  <c r="E120" i="10"/>
  <c r="D120" i="10"/>
  <c r="B120" i="10"/>
  <c r="B102" i="10"/>
  <c r="F100" i="10"/>
  <c r="E100" i="10"/>
  <c r="D100" i="10"/>
  <c r="B100" i="10"/>
  <c r="B82" i="10"/>
  <c r="F80" i="10"/>
  <c r="E80" i="10"/>
  <c r="D80" i="10"/>
  <c r="B80" i="10"/>
  <c r="B62" i="10"/>
  <c r="F60" i="10"/>
  <c r="E60" i="10"/>
  <c r="D60" i="10"/>
  <c r="B60" i="10"/>
  <c r="B42" i="10"/>
  <c r="F40" i="10"/>
  <c r="E40" i="10"/>
  <c r="D40" i="10"/>
  <c r="B40" i="10"/>
  <c r="B22" i="10"/>
  <c r="F20" i="10"/>
  <c r="E20" i="10"/>
  <c r="D20" i="10"/>
  <c r="B20" i="10"/>
  <c r="K19" i="10"/>
  <c r="L20" i="10" s="1"/>
  <c r="B2" i="10"/>
  <c r="F70" i="8" l="1"/>
  <c r="D247" i="8" l="1"/>
  <c r="AA9" i="1" l="1"/>
  <c r="AD71" i="1" l="1"/>
  <c r="AA11" i="1" l="1"/>
  <c r="D68" i="8" l="1"/>
  <c r="F68" i="8"/>
  <c r="D47" i="8"/>
  <c r="D46" i="8"/>
  <c r="F366" i="7" l="1"/>
  <c r="AD59" i="1" l="1"/>
  <c r="D67" i="8" l="1"/>
  <c r="B16" i="8"/>
  <c r="B12" i="8"/>
  <c r="D48" i="8"/>
  <c r="D307" i="8"/>
  <c r="D306" i="8"/>
  <c r="AA13" i="1" l="1"/>
  <c r="D286" i="8" l="1"/>
  <c r="D49" i="7"/>
  <c r="F520" i="9" l="1"/>
  <c r="E520" i="9"/>
  <c r="D520" i="9"/>
  <c r="B520" i="9"/>
  <c r="B502" i="9"/>
  <c r="F500" i="9"/>
  <c r="E500" i="9"/>
  <c r="D500" i="9"/>
  <c r="B500" i="9"/>
  <c r="B482" i="9"/>
  <c r="F480" i="9"/>
  <c r="E480" i="9"/>
  <c r="D480" i="9"/>
  <c r="B480" i="9"/>
  <c r="B462" i="9"/>
  <c r="F460" i="9"/>
  <c r="E460" i="9"/>
  <c r="D460" i="9"/>
  <c r="B460" i="9"/>
  <c r="B442" i="9"/>
  <c r="F440" i="9"/>
  <c r="E440" i="9"/>
  <c r="D440" i="9"/>
  <c r="B422" i="9"/>
  <c r="F420" i="9"/>
  <c r="E420" i="9"/>
  <c r="D420" i="9"/>
  <c r="B420" i="9"/>
  <c r="B402" i="9"/>
  <c r="F400" i="9"/>
  <c r="E400" i="9"/>
  <c r="D400" i="9"/>
  <c r="B400" i="9"/>
  <c r="B382" i="9"/>
  <c r="F380" i="9"/>
  <c r="E380" i="9"/>
  <c r="D380" i="9"/>
  <c r="B380" i="9"/>
  <c r="B362" i="9"/>
  <c r="F360" i="9"/>
  <c r="E360" i="9"/>
  <c r="D360" i="9"/>
  <c r="B360" i="9"/>
  <c r="B342" i="9"/>
  <c r="F340" i="9"/>
  <c r="E340" i="9"/>
  <c r="D340" i="9"/>
  <c r="B340" i="9"/>
  <c r="B322" i="9"/>
  <c r="F320" i="9"/>
  <c r="E320" i="9"/>
  <c r="D320" i="9"/>
  <c r="B320" i="9"/>
  <c r="B302" i="9"/>
  <c r="F300" i="9"/>
  <c r="E300" i="9"/>
  <c r="D300" i="9"/>
  <c r="B300" i="9"/>
  <c r="B282" i="9"/>
  <c r="F280" i="9"/>
  <c r="E280" i="9"/>
  <c r="D280" i="9"/>
  <c r="B280" i="9"/>
  <c r="B262" i="9"/>
  <c r="F260" i="9"/>
  <c r="E260" i="9"/>
  <c r="D260" i="9"/>
  <c r="B260" i="9"/>
  <c r="B242" i="9"/>
  <c r="F240" i="9"/>
  <c r="E240" i="9"/>
  <c r="D240" i="9"/>
  <c r="B240" i="9"/>
  <c r="B222" i="9"/>
  <c r="F220" i="9"/>
  <c r="E220" i="9"/>
  <c r="D220" i="9"/>
  <c r="B220" i="9"/>
  <c r="B202" i="9"/>
  <c r="F200" i="9"/>
  <c r="E200" i="9"/>
  <c r="D200" i="9"/>
  <c r="B200" i="9"/>
  <c r="B182" i="9"/>
  <c r="F180" i="9"/>
  <c r="E180" i="9"/>
  <c r="D180" i="9"/>
  <c r="B180" i="9"/>
  <c r="B162" i="9"/>
  <c r="F160" i="9"/>
  <c r="E160" i="9"/>
  <c r="D160" i="9"/>
  <c r="B160" i="9"/>
  <c r="B142" i="9"/>
  <c r="F140" i="9"/>
  <c r="E140" i="9"/>
  <c r="D140" i="9"/>
  <c r="B140" i="9"/>
  <c r="B122" i="9"/>
  <c r="F120" i="9"/>
  <c r="E120" i="9"/>
  <c r="D120" i="9"/>
  <c r="B120" i="9"/>
  <c r="B102" i="9"/>
  <c r="F100" i="9"/>
  <c r="E100" i="9"/>
  <c r="D100" i="9"/>
  <c r="B100" i="9"/>
  <c r="B82" i="9"/>
  <c r="F80" i="9"/>
  <c r="E80" i="9"/>
  <c r="D80" i="9"/>
  <c r="B80" i="9"/>
  <c r="B62" i="9"/>
  <c r="F60" i="9"/>
  <c r="E60" i="9"/>
  <c r="D60" i="9"/>
  <c r="B60" i="9"/>
  <c r="B42" i="9"/>
  <c r="F40" i="9"/>
  <c r="E40" i="9"/>
  <c r="D40" i="9"/>
  <c r="B40" i="9"/>
  <c r="B22" i="9"/>
  <c r="F20" i="9"/>
  <c r="E20" i="9"/>
  <c r="D20" i="9"/>
  <c r="K19" i="9"/>
  <c r="L20" i="9" s="1"/>
  <c r="B20" i="9"/>
  <c r="B2" i="9"/>
  <c r="Z60" i="1" l="1"/>
  <c r="D56" i="7" l="1"/>
  <c r="D246" i="7" l="1"/>
  <c r="D368" i="7"/>
  <c r="D72" i="7" l="1"/>
  <c r="D288" i="7"/>
  <c r="Z70" i="1" l="1"/>
  <c r="Z71" i="1" s="1"/>
  <c r="Z72" i="1" s="1"/>
  <c r="D70" i="7"/>
  <c r="F287" i="7"/>
  <c r="W12" i="1"/>
  <c r="D55" i="7" l="1"/>
  <c r="W14" i="1"/>
  <c r="F69" i="7" l="1"/>
  <c r="D47" i="7" l="1"/>
  <c r="D52" i="7" l="1"/>
  <c r="W13" i="1" l="1"/>
  <c r="D50" i="7" l="1"/>
  <c r="W9" i="1" l="1"/>
  <c r="D48" i="7" l="1"/>
  <c r="D46" i="7"/>
  <c r="S10" i="1" l="1"/>
  <c r="F520" i="8"/>
  <c r="E520" i="8"/>
  <c r="D520" i="8"/>
  <c r="B520" i="8"/>
  <c r="B502" i="8"/>
  <c r="F500" i="8"/>
  <c r="E500" i="8"/>
  <c r="D500" i="8"/>
  <c r="B500" i="8"/>
  <c r="B482" i="8"/>
  <c r="F480" i="8"/>
  <c r="E480" i="8"/>
  <c r="D480" i="8"/>
  <c r="B480" i="8"/>
  <c r="B462" i="8"/>
  <c r="F460" i="8"/>
  <c r="E460" i="8"/>
  <c r="D460" i="8"/>
  <c r="B460" i="8"/>
  <c r="B442" i="8"/>
  <c r="F440" i="8"/>
  <c r="E440" i="8"/>
  <c r="D440" i="8"/>
  <c r="B422" i="8"/>
  <c r="F420" i="8"/>
  <c r="E420" i="8"/>
  <c r="D420" i="8"/>
  <c r="B420" i="8"/>
  <c r="B402" i="8"/>
  <c r="F400" i="8"/>
  <c r="E400" i="8"/>
  <c r="D400" i="8"/>
  <c r="B400" i="8"/>
  <c r="B382" i="8"/>
  <c r="F380" i="8"/>
  <c r="E380" i="8"/>
  <c r="D380" i="8"/>
  <c r="B380" i="8"/>
  <c r="B362" i="8"/>
  <c r="F360" i="8"/>
  <c r="E360" i="8"/>
  <c r="D360" i="8"/>
  <c r="B360" i="8"/>
  <c r="B342" i="8"/>
  <c r="F340" i="8"/>
  <c r="E340" i="8"/>
  <c r="D340" i="8"/>
  <c r="B340" i="8"/>
  <c r="B322" i="8"/>
  <c r="F320" i="8"/>
  <c r="E320" i="8"/>
  <c r="D320" i="8"/>
  <c r="B320" i="8"/>
  <c r="B302" i="8"/>
  <c r="F300" i="8"/>
  <c r="E300" i="8"/>
  <c r="D300" i="8"/>
  <c r="B300" i="8"/>
  <c r="B282" i="8"/>
  <c r="F280" i="8"/>
  <c r="E280" i="8"/>
  <c r="D280" i="8"/>
  <c r="B280" i="8"/>
  <c r="B262" i="8"/>
  <c r="F260" i="8"/>
  <c r="E260" i="8"/>
  <c r="D260" i="8"/>
  <c r="B260" i="8"/>
  <c r="B242" i="8"/>
  <c r="F240" i="8"/>
  <c r="E240" i="8"/>
  <c r="D240" i="8"/>
  <c r="B240" i="8"/>
  <c r="B222" i="8"/>
  <c r="F220" i="8"/>
  <c r="E220" i="8"/>
  <c r="D220" i="8"/>
  <c r="B220" i="8"/>
  <c r="B202" i="8"/>
  <c r="F200" i="8"/>
  <c r="E200" i="8"/>
  <c r="D200" i="8"/>
  <c r="B200" i="8"/>
  <c r="B182" i="8"/>
  <c r="F180" i="8"/>
  <c r="E180" i="8"/>
  <c r="D180" i="8"/>
  <c r="B180" i="8"/>
  <c r="B162" i="8"/>
  <c r="F160" i="8"/>
  <c r="E160" i="8"/>
  <c r="D160" i="8"/>
  <c r="B160" i="8"/>
  <c r="B142" i="8"/>
  <c r="F140" i="8"/>
  <c r="E140" i="8"/>
  <c r="D140" i="8"/>
  <c r="B140" i="8"/>
  <c r="B122" i="8"/>
  <c r="F120" i="8"/>
  <c r="E120" i="8"/>
  <c r="D120" i="8"/>
  <c r="B120" i="8"/>
  <c r="B102" i="8"/>
  <c r="F100" i="8"/>
  <c r="E100" i="8"/>
  <c r="D100" i="8"/>
  <c r="B100" i="8"/>
  <c r="B82" i="8"/>
  <c r="F80" i="8"/>
  <c r="E80" i="8"/>
  <c r="D80" i="8"/>
  <c r="B80" i="8"/>
  <c r="B62" i="8"/>
  <c r="F60" i="8"/>
  <c r="E60" i="8"/>
  <c r="D60" i="8"/>
  <c r="B60" i="8"/>
  <c r="B42" i="8"/>
  <c r="F40" i="8"/>
  <c r="E40" i="8"/>
  <c r="D40" i="8"/>
  <c r="B40" i="8"/>
  <c r="B22" i="8"/>
  <c r="F20" i="8"/>
  <c r="E20" i="8"/>
  <c r="D20" i="8"/>
  <c r="B20" i="8"/>
  <c r="K19" i="8"/>
  <c r="L20" i="8" s="1"/>
  <c r="B2" i="8"/>
  <c r="F366" i="6"/>
  <c r="H80" i="8" l="1"/>
  <c r="O10" i="1"/>
  <c r="D251" i="6"/>
  <c r="K11" i="7"/>
  <c r="S9" i="1"/>
  <c r="D86" i="6" l="1"/>
  <c r="D48" i="6" l="1"/>
  <c r="D49" i="6" l="1"/>
  <c r="D52" i="6" l="1"/>
  <c r="E368" i="6" l="1"/>
  <c r="D51" i="6" l="1"/>
  <c r="F71" i="6" l="1"/>
  <c r="F70" i="6" l="1"/>
  <c r="D366" i="6" l="1"/>
  <c r="D66" i="6" l="1"/>
  <c r="D53" i="6"/>
  <c r="S14" i="1" l="1"/>
  <c r="AD55" i="1" l="1"/>
  <c r="AD54" i="1"/>
  <c r="AD56" i="1" l="1"/>
  <c r="D47" i="6"/>
  <c r="D68" i="6" l="1"/>
  <c r="B68" i="6" l="1"/>
  <c r="F68" i="6" l="1"/>
  <c r="D287" i="6"/>
  <c r="D247" i="6" l="1"/>
  <c r="D69" i="6"/>
  <c r="S13" i="1" l="1"/>
  <c r="F187" i="6" l="1"/>
  <c r="F367" i="6" l="1"/>
  <c r="F67" i="6"/>
  <c r="D307" i="6" l="1"/>
  <c r="D286" i="6" l="1"/>
  <c r="D186" i="6" s="1"/>
  <c r="E12" i="6" l="1"/>
  <c r="S11" i="1" l="1"/>
  <c r="D53" i="5" l="1"/>
  <c r="F520" i="7"/>
  <c r="E520" i="7"/>
  <c r="D520" i="7"/>
  <c r="B520" i="7"/>
  <c r="B502" i="7"/>
  <c r="F500" i="7"/>
  <c r="E500" i="7"/>
  <c r="D500" i="7"/>
  <c r="B500" i="7"/>
  <c r="B482" i="7"/>
  <c r="F480" i="7"/>
  <c r="E480" i="7"/>
  <c r="D480" i="7"/>
  <c r="B480" i="7"/>
  <c r="B462" i="7"/>
  <c r="F460" i="7"/>
  <c r="E460" i="7"/>
  <c r="D460" i="7"/>
  <c r="B460" i="7"/>
  <c r="B442" i="7"/>
  <c r="F440" i="7"/>
  <c r="E440" i="7"/>
  <c r="D440" i="7"/>
  <c r="B422" i="7"/>
  <c r="F420" i="7"/>
  <c r="E420" i="7"/>
  <c r="D420" i="7"/>
  <c r="B420" i="7"/>
  <c r="B402" i="7"/>
  <c r="F400" i="7"/>
  <c r="E400" i="7"/>
  <c r="D400" i="7"/>
  <c r="B400" i="7"/>
  <c r="B382" i="7"/>
  <c r="F380" i="7"/>
  <c r="E380" i="7"/>
  <c r="D380" i="7"/>
  <c r="B380" i="7"/>
  <c r="B362" i="7"/>
  <c r="F360" i="7"/>
  <c r="E360" i="7"/>
  <c r="D360" i="7"/>
  <c r="B360" i="7"/>
  <c r="B342" i="7"/>
  <c r="F340" i="7"/>
  <c r="E340" i="7"/>
  <c r="D340" i="7"/>
  <c r="B340" i="7"/>
  <c r="B322" i="7"/>
  <c r="F320" i="7"/>
  <c r="E320" i="7"/>
  <c r="D320" i="7"/>
  <c r="B320" i="7"/>
  <c r="B302" i="7"/>
  <c r="F300" i="7"/>
  <c r="E300" i="7"/>
  <c r="D300" i="7"/>
  <c r="B300" i="7"/>
  <c r="B282" i="7"/>
  <c r="F280" i="7"/>
  <c r="E280" i="7"/>
  <c r="D280" i="7"/>
  <c r="B280" i="7"/>
  <c r="B262" i="7"/>
  <c r="F260" i="7"/>
  <c r="E260" i="7"/>
  <c r="D260" i="7"/>
  <c r="B260" i="7"/>
  <c r="B242" i="7"/>
  <c r="F240" i="7"/>
  <c r="E240" i="7"/>
  <c r="D240" i="7"/>
  <c r="B240" i="7"/>
  <c r="B222" i="7"/>
  <c r="F220" i="7"/>
  <c r="E220" i="7"/>
  <c r="D220" i="7"/>
  <c r="B220" i="7"/>
  <c r="B202" i="7"/>
  <c r="F200" i="7"/>
  <c r="E200" i="7"/>
  <c r="D200" i="7"/>
  <c r="B200" i="7"/>
  <c r="B182" i="7"/>
  <c r="F180" i="7"/>
  <c r="E180" i="7"/>
  <c r="D180" i="7"/>
  <c r="B180" i="7"/>
  <c r="B162" i="7"/>
  <c r="F160" i="7"/>
  <c r="E160" i="7"/>
  <c r="D160" i="7"/>
  <c r="B160" i="7"/>
  <c r="B142" i="7"/>
  <c r="F140" i="7"/>
  <c r="E140" i="7"/>
  <c r="D140" i="7"/>
  <c r="B140" i="7"/>
  <c r="B122" i="7"/>
  <c r="F120" i="7"/>
  <c r="E120" i="7"/>
  <c r="D120" i="7"/>
  <c r="B120" i="7"/>
  <c r="B102" i="7"/>
  <c r="F100" i="7"/>
  <c r="E100" i="7"/>
  <c r="D100" i="7"/>
  <c r="B100" i="7"/>
  <c r="B82" i="7"/>
  <c r="F80" i="7"/>
  <c r="E80" i="7"/>
  <c r="D80" i="7"/>
  <c r="B80" i="7"/>
  <c r="B62" i="7"/>
  <c r="F60" i="7"/>
  <c r="E60" i="7"/>
  <c r="D60" i="7"/>
  <c r="B60" i="7"/>
  <c r="B42" i="7"/>
  <c r="F40" i="7"/>
  <c r="E40" i="7"/>
  <c r="D40" i="7"/>
  <c r="B40" i="7"/>
  <c r="B22" i="7"/>
  <c r="F20" i="7"/>
  <c r="E20" i="7"/>
  <c r="D20" i="7"/>
  <c r="B20" i="7"/>
  <c r="K19" i="7"/>
  <c r="L20" i="7" s="1"/>
  <c r="B2" i="7"/>
  <c r="K11" i="6"/>
  <c r="D51" i="5"/>
  <c r="D48" i="5"/>
  <c r="O9" i="1"/>
  <c r="D366" i="5" l="1"/>
  <c r="O12" i="1" l="1"/>
  <c r="O13" i="1" l="1"/>
  <c r="D49" i="5" l="1"/>
  <c r="D86" i="5" l="1"/>
  <c r="D46" i="5" l="1"/>
  <c r="D251" i="5"/>
  <c r="D127" i="5" l="1"/>
  <c r="D69" i="5"/>
  <c r="D68" i="5" l="1"/>
  <c r="D27" i="5"/>
  <c r="D247" i="5" l="1"/>
  <c r="D147" i="5"/>
  <c r="D146" i="5" l="1"/>
  <c r="D47" i="5" s="1"/>
  <c r="D367" i="5"/>
  <c r="F307" i="5"/>
  <c r="D307" i="5"/>
  <c r="D66" i="5"/>
  <c r="F308" i="5"/>
  <c r="E167" i="5" l="1"/>
  <c r="D306" i="5" l="1"/>
  <c r="O14" i="1" l="1"/>
  <c r="O15" i="1" l="1"/>
  <c r="D166" i="5" l="1"/>
  <c r="F520" i="6" l="1"/>
  <c r="E520" i="6"/>
  <c r="D520" i="6"/>
  <c r="B520" i="6"/>
  <c r="B502" i="6"/>
  <c r="F500" i="6"/>
  <c r="E500" i="6"/>
  <c r="D500" i="6"/>
  <c r="B500" i="6"/>
  <c r="B482" i="6"/>
  <c r="F480" i="6"/>
  <c r="E480" i="6"/>
  <c r="D480" i="6"/>
  <c r="B480" i="6"/>
  <c r="B462" i="6"/>
  <c r="F460" i="6"/>
  <c r="E460" i="6"/>
  <c r="D460" i="6"/>
  <c r="B460" i="6"/>
  <c r="B442" i="6"/>
  <c r="F440" i="6"/>
  <c r="E440" i="6"/>
  <c r="D440" i="6"/>
  <c r="B440" i="6"/>
  <c r="B422" i="6"/>
  <c r="F420" i="6"/>
  <c r="E420" i="6"/>
  <c r="D420" i="6"/>
  <c r="B420" i="6"/>
  <c r="B402" i="6"/>
  <c r="F400" i="6"/>
  <c r="E400" i="6"/>
  <c r="D400" i="6"/>
  <c r="B400" i="6"/>
  <c r="B382" i="6"/>
  <c r="F380" i="6"/>
  <c r="E380" i="6"/>
  <c r="D380" i="6"/>
  <c r="B380" i="6"/>
  <c r="B362" i="6"/>
  <c r="F360" i="6"/>
  <c r="E360" i="6"/>
  <c r="D360" i="6"/>
  <c r="B360" i="6"/>
  <c r="B342" i="6"/>
  <c r="F340" i="6"/>
  <c r="E340" i="6"/>
  <c r="D340" i="6"/>
  <c r="B340" i="6"/>
  <c r="B322" i="6"/>
  <c r="F320" i="6"/>
  <c r="E320" i="6"/>
  <c r="D320" i="6"/>
  <c r="B320" i="6"/>
  <c r="B302" i="6"/>
  <c r="F300" i="6"/>
  <c r="E300" i="6"/>
  <c r="D300" i="6"/>
  <c r="B300" i="6"/>
  <c r="B282" i="6"/>
  <c r="F280" i="6"/>
  <c r="E280" i="6"/>
  <c r="D280" i="6"/>
  <c r="B280" i="6"/>
  <c r="B262" i="6"/>
  <c r="F260" i="6"/>
  <c r="E260" i="6"/>
  <c r="D260" i="6"/>
  <c r="B260" i="6"/>
  <c r="B242" i="6"/>
  <c r="F240" i="6"/>
  <c r="E240" i="6"/>
  <c r="D240" i="6"/>
  <c r="B240" i="6"/>
  <c r="B222" i="6"/>
  <c r="F220" i="6"/>
  <c r="E220" i="6"/>
  <c r="D220" i="6"/>
  <c r="B220" i="6"/>
  <c r="B202" i="6"/>
  <c r="F200" i="6"/>
  <c r="E200" i="6"/>
  <c r="D200" i="6"/>
  <c r="B200" i="6"/>
  <c r="B182" i="6"/>
  <c r="F180" i="6"/>
  <c r="E180" i="6"/>
  <c r="D180" i="6"/>
  <c r="B180" i="6"/>
  <c r="B162" i="6"/>
  <c r="F160" i="6"/>
  <c r="E160" i="6"/>
  <c r="D160" i="6"/>
  <c r="B160" i="6"/>
  <c r="B142" i="6"/>
  <c r="F140" i="6"/>
  <c r="E140" i="6"/>
  <c r="D140" i="6"/>
  <c r="B140" i="6"/>
  <c r="B122" i="6"/>
  <c r="F120" i="6"/>
  <c r="E120" i="6"/>
  <c r="D120" i="6"/>
  <c r="B120" i="6"/>
  <c r="B102" i="6"/>
  <c r="F100" i="6"/>
  <c r="E100" i="6"/>
  <c r="D100" i="6"/>
  <c r="B100" i="6"/>
  <c r="B82" i="6"/>
  <c r="F80" i="6"/>
  <c r="E80" i="6"/>
  <c r="D80" i="6"/>
  <c r="B80" i="6"/>
  <c r="B62" i="6"/>
  <c r="F60" i="6"/>
  <c r="E60" i="6"/>
  <c r="D60" i="6"/>
  <c r="B60" i="6"/>
  <c r="B42" i="6"/>
  <c r="F40" i="6"/>
  <c r="E40" i="6"/>
  <c r="D40" i="6"/>
  <c r="B40" i="6"/>
  <c r="B22" i="6"/>
  <c r="F20" i="6"/>
  <c r="E20" i="6"/>
  <c r="D20" i="6"/>
  <c r="B20" i="6"/>
  <c r="K19" i="6"/>
  <c r="L20" i="6" s="1"/>
  <c r="B2" i="6"/>
  <c r="D54" i="5"/>
  <c r="D286" i="5"/>
  <c r="K7" i="5"/>
  <c r="D66" i="4"/>
  <c r="K11" i="5"/>
  <c r="F90" i="4" l="1"/>
  <c r="D167" i="4" l="1"/>
  <c r="D247" i="4" s="1"/>
  <c r="D188" i="4"/>
  <c r="D86" i="4"/>
  <c r="F69" i="4"/>
  <c r="E7" i="4" l="1"/>
  <c r="F366" i="4" l="1"/>
  <c r="K9" i="1" l="1"/>
  <c r="D187" i="4" l="1"/>
  <c r="D267" i="4" l="1"/>
  <c r="D308" i="4"/>
  <c r="D48" i="4" l="1"/>
  <c r="F67" i="4" l="1"/>
  <c r="E326" i="4" l="1"/>
  <c r="D127" i="4" l="1"/>
  <c r="E166" i="4" l="1"/>
  <c r="K13" i="1" l="1"/>
  <c r="D307" i="4" l="1"/>
  <c r="D250" i="4" l="1"/>
  <c r="D53" i="4" s="1"/>
  <c r="D186" i="4"/>
  <c r="D46" i="4" s="1"/>
  <c r="D47" i="4" l="1"/>
  <c r="G10" i="1" l="1"/>
  <c r="F366" i="3"/>
  <c r="K11" i="4"/>
  <c r="F520" i="5"/>
  <c r="E520" i="5"/>
  <c r="D520" i="5"/>
  <c r="B520" i="5"/>
  <c r="B502" i="5"/>
  <c r="F500" i="5"/>
  <c r="E500" i="5"/>
  <c r="D500" i="5"/>
  <c r="B500" i="5"/>
  <c r="B482" i="5"/>
  <c r="F480" i="5"/>
  <c r="E480" i="5"/>
  <c r="D480" i="5"/>
  <c r="B480" i="5"/>
  <c r="B462" i="5"/>
  <c r="F460" i="5"/>
  <c r="E460" i="5"/>
  <c r="D460" i="5"/>
  <c r="B460" i="5"/>
  <c r="B442" i="5"/>
  <c r="F440" i="5"/>
  <c r="E440" i="5"/>
  <c r="D440" i="5"/>
  <c r="B440" i="5"/>
  <c r="B422" i="5"/>
  <c r="F420" i="5"/>
  <c r="E420" i="5"/>
  <c r="D420" i="5"/>
  <c r="B420" i="5"/>
  <c r="B402" i="5"/>
  <c r="F400" i="5"/>
  <c r="E400" i="5"/>
  <c r="D400" i="5"/>
  <c r="B400" i="5"/>
  <c r="B382" i="5"/>
  <c r="F380" i="5"/>
  <c r="E380" i="5"/>
  <c r="D380" i="5"/>
  <c r="B380" i="5"/>
  <c r="B362" i="5"/>
  <c r="F360" i="5"/>
  <c r="E360" i="5"/>
  <c r="D360" i="5"/>
  <c r="B360" i="5"/>
  <c r="B342" i="5"/>
  <c r="F340" i="5"/>
  <c r="E340" i="5"/>
  <c r="D340" i="5"/>
  <c r="B340" i="5"/>
  <c r="B322" i="5"/>
  <c r="F320" i="5"/>
  <c r="E320" i="5"/>
  <c r="D320" i="5"/>
  <c r="B320" i="5"/>
  <c r="B302" i="5"/>
  <c r="F300" i="5"/>
  <c r="E300" i="5"/>
  <c r="D300" i="5"/>
  <c r="B300" i="5"/>
  <c r="B282" i="5"/>
  <c r="F280" i="5"/>
  <c r="E280" i="5"/>
  <c r="D280" i="5"/>
  <c r="B280" i="5"/>
  <c r="B262" i="5"/>
  <c r="F260" i="5"/>
  <c r="E260" i="5"/>
  <c r="D260" i="5"/>
  <c r="B260" i="5"/>
  <c r="B242" i="5"/>
  <c r="F240" i="5"/>
  <c r="E240" i="5"/>
  <c r="D240" i="5"/>
  <c r="B240" i="5"/>
  <c r="B222" i="5"/>
  <c r="F220" i="5"/>
  <c r="E220" i="5"/>
  <c r="D220" i="5"/>
  <c r="B220" i="5"/>
  <c r="B202" i="5"/>
  <c r="F200" i="5"/>
  <c r="E200" i="5"/>
  <c r="D200" i="5"/>
  <c r="B200" i="5"/>
  <c r="B182" i="5"/>
  <c r="F180" i="5"/>
  <c r="E180" i="5"/>
  <c r="D180" i="5"/>
  <c r="B180" i="5"/>
  <c r="B162" i="5"/>
  <c r="F160" i="5"/>
  <c r="E160" i="5"/>
  <c r="D160" i="5"/>
  <c r="B160" i="5"/>
  <c r="B142" i="5"/>
  <c r="F140" i="5"/>
  <c r="E140" i="5"/>
  <c r="D140" i="5"/>
  <c r="B140" i="5"/>
  <c r="B122" i="5"/>
  <c r="F120" i="5"/>
  <c r="E120" i="5"/>
  <c r="D120" i="5"/>
  <c r="B120" i="5"/>
  <c r="B102" i="5"/>
  <c r="F100" i="5"/>
  <c r="E100" i="5"/>
  <c r="D100" i="5"/>
  <c r="B100" i="5"/>
  <c r="B82" i="5"/>
  <c r="F80" i="5"/>
  <c r="E80" i="5"/>
  <c r="D80" i="5"/>
  <c r="B80" i="5"/>
  <c r="B62" i="5"/>
  <c r="F60" i="5"/>
  <c r="E60" i="5"/>
  <c r="D60" i="5"/>
  <c r="B60" i="5"/>
  <c r="B42" i="5"/>
  <c r="F40" i="5"/>
  <c r="E40" i="5"/>
  <c r="D40" i="5"/>
  <c r="B40" i="5"/>
  <c r="B22" i="5"/>
  <c r="F20" i="5"/>
  <c r="E20" i="5"/>
  <c r="D20" i="5"/>
  <c r="B20" i="5"/>
  <c r="K19" i="5"/>
  <c r="L20" i="5" s="1"/>
  <c r="B2" i="5"/>
  <c r="D86" i="3" l="1"/>
  <c r="D48" i="3" l="1"/>
  <c r="G8" i="1" l="1"/>
  <c r="H7" i="4" l="1"/>
  <c r="K19" i="4"/>
  <c r="L20" i="4" s="1"/>
  <c r="E368" i="3" l="1"/>
  <c r="D368" i="3"/>
  <c r="F310" i="3" l="1"/>
  <c r="F309" i="3"/>
  <c r="D51" i="3" l="1"/>
  <c r="D46" i="3" l="1"/>
  <c r="D68" i="3" l="1"/>
  <c r="G14" i="1"/>
  <c r="D53" i="3" l="1"/>
  <c r="E166" i="3" l="1"/>
  <c r="H166" i="3" s="1"/>
  <c r="D54" i="3" l="1"/>
  <c r="D288" i="3"/>
  <c r="D286" i="3" l="1"/>
  <c r="D186" i="3" s="1"/>
  <c r="D247" i="3"/>
  <c r="G13" i="1" l="1"/>
  <c r="D127" i="3"/>
  <c r="D308" i="3" l="1"/>
  <c r="F67" i="3" l="1"/>
  <c r="F66" i="3"/>
  <c r="G16" i="1" l="1"/>
  <c r="F366" i="2" l="1"/>
  <c r="G9" i="1"/>
  <c r="B426" i="2" l="1"/>
  <c r="K11" i="3"/>
  <c r="F520" i="4" l="1"/>
  <c r="E520" i="4"/>
  <c r="D520" i="4"/>
  <c r="B520" i="4"/>
  <c r="B502" i="4"/>
  <c r="F500" i="4"/>
  <c r="E500" i="4"/>
  <c r="D500" i="4"/>
  <c r="B500" i="4"/>
  <c r="B482" i="4"/>
  <c r="F480" i="4"/>
  <c r="E480" i="4"/>
  <c r="D480" i="4"/>
  <c r="B480" i="4"/>
  <c r="B462" i="4"/>
  <c r="F460" i="4"/>
  <c r="E460" i="4"/>
  <c r="D460" i="4"/>
  <c r="B460" i="4"/>
  <c r="B442" i="4"/>
  <c r="F440" i="4"/>
  <c r="E440" i="4"/>
  <c r="D440" i="4"/>
  <c r="B440" i="4"/>
  <c r="B422" i="4"/>
  <c r="F420" i="4"/>
  <c r="E420" i="4"/>
  <c r="D420" i="4"/>
  <c r="B420" i="4"/>
  <c r="B402" i="4"/>
  <c r="F400" i="4"/>
  <c r="E400" i="4"/>
  <c r="D400" i="4"/>
  <c r="B400" i="4"/>
  <c r="B382" i="4"/>
  <c r="F380" i="4"/>
  <c r="E380" i="4"/>
  <c r="D380" i="4"/>
  <c r="B380" i="4"/>
  <c r="B362" i="4"/>
  <c r="F360" i="4"/>
  <c r="E360" i="4"/>
  <c r="D360" i="4"/>
  <c r="B360" i="4"/>
  <c r="B342" i="4"/>
  <c r="F340" i="4"/>
  <c r="E340" i="4"/>
  <c r="D340" i="4"/>
  <c r="B340" i="4"/>
  <c r="B322" i="4"/>
  <c r="F320" i="4"/>
  <c r="E320" i="4"/>
  <c r="D320" i="4"/>
  <c r="B320" i="4"/>
  <c r="B302" i="4"/>
  <c r="F300" i="4"/>
  <c r="E300" i="4"/>
  <c r="D300" i="4"/>
  <c r="B300" i="4"/>
  <c r="B282" i="4"/>
  <c r="F280" i="4"/>
  <c r="E280" i="4"/>
  <c r="D280" i="4"/>
  <c r="B280" i="4"/>
  <c r="B262" i="4"/>
  <c r="F260" i="4"/>
  <c r="E260" i="4"/>
  <c r="D260" i="4"/>
  <c r="B260" i="4"/>
  <c r="B242" i="4"/>
  <c r="F240" i="4"/>
  <c r="E240" i="4"/>
  <c r="D240" i="4"/>
  <c r="B240" i="4"/>
  <c r="B222" i="4"/>
  <c r="F220" i="4"/>
  <c r="E220" i="4"/>
  <c r="D220" i="4"/>
  <c r="B220" i="4"/>
  <c r="B202" i="4"/>
  <c r="F200" i="4"/>
  <c r="E200" i="4"/>
  <c r="D200" i="4"/>
  <c r="B200" i="4"/>
  <c r="B182" i="4"/>
  <c r="F180" i="4"/>
  <c r="E180" i="4"/>
  <c r="D180" i="4"/>
  <c r="B180" i="4"/>
  <c r="B162" i="4"/>
  <c r="F160" i="4"/>
  <c r="E160" i="4"/>
  <c r="D160" i="4"/>
  <c r="B160" i="4"/>
  <c r="B142" i="4"/>
  <c r="F140" i="4"/>
  <c r="E140" i="4"/>
  <c r="D140" i="4"/>
  <c r="B140" i="4"/>
  <c r="B122" i="4"/>
  <c r="F120" i="4"/>
  <c r="E120" i="4"/>
  <c r="D120" i="4"/>
  <c r="B120" i="4"/>
  <c r="B102" i="4"/>
  <c r="F100" i="4"/>
  <c r="E100" i="4"/>
  <c r="D100" i="4"/>
  <c r="B100" i="4"/>
  <c r="B82" i="4"/>
  <c r="F80" i="4"/>
  <c r="E80" i="4"/>
  <c r="D80" i="4"/>
  <c r="B80" i="4"/>
  <c r="B62" i="4"/>
  <c r="F60" i="4"/>
  <c r="E60" i="4"/>
  <c r="D60" i="4"/>
  <c r="B60" i="4"/>
  <c r="B42" i="4"/>
  <c r="F40" i="4"/>
  <c r="E40" i="4"/>
  <c r="D40" i="4"/>
  <c r="B40" i="4"/>
  <c r="B22" i="4"/>
  <c r="F20" i="4"/>
  <c r="E20" i="4"/>
  <c r="D20" i="4"/>
  <c r="B20" i="4"/>
  <c r="B2" i="4"/>
  <c r="C16" i="1" l="1"/>
  <c r="D66" i="2"/>
  <c r="C9" i="1"/>
  <c r="C12" i="1"/>
  <c r="H296" i="2"/>
  <c r="D307" i="2" l="1"/>
  <c r="E287" i="2"/>
  <c r="B127" i="3" l="1"/>
  <c r="F310" i="2" l="1"/>
  <c r="D68" i="2"/>
  <c r="E172" i="2" l="1"/>
  <c r="D287" i="2"/>
  <c r="K19" i="3" l="1"/>
  <c r="L20" i="3" s="1"/>
  <c r="D48" i="2" l="1"/>
  <c r="D292" i="2" l="1"/>
  <c r="C11" i="1" l="1"/>
  <c r="D52" i="2"/>
  <c r="D86" i="2"/>
  <c r="F520" i="3" l="1"/>
  <c r="E520" i="3"/>
  <c r="D520" i="3"/>
  <c r="B520" i="3"/>
  <c r="D208" i="2" l="1"/>
  <c r="D169" i="2"/>
  <c r="D27" i="2"/>
  <c r="D295" i="2"/>
  <c r="D55" i="2" s="1"/>
  <c r="F167" i="2"/>
  <c r="H292" i="2" l="1"/>
  <c r="F309" i="2" l="1"/>
  <c r="D61" i="2" l="1"/>
  <c r="D46" i="2" l="1"/>
  <c r="D293" i="2"/>
  <c r="D250" i="2"/>
  <c r="D406" i="2" l="1"/>
  <c r="D291" i="2"/>
  <c r="D191" i="2"/>
  <c r="D53" i="2" l="1"/>
  <c r="D249" i="2"/>
  <c r="D290" i="2" l="1"/>
  <c r="D190" i="2"/>
  <c r="D186" i="2"/>
  <c r="D206" i="2"/>
  <c r="D147" i="2"/>
  <c r="D51" i="2"/>
  <c r="D289" i="2" l="1"/>
  <c r="D127" i="2"/>
  <c r="D146" i="2" l="1"/>
  <c r="D47" i="2" s="1"/>
  <c r="H287" i="2"/>
  <c r="E189" i="2" l="1"/>
  <c r="E286" i="2" l="1"/>
  <c r="D308" i="2"/>
  <c r="D288" i="2" l="1"/>
  <c r="C13" i="1"/>
  <c r="D306" i="2" l="1"/>
  <c r="E90" i="2" l="1"/>
  <c r="B407" i="2" l="1"/>
  <c r="B520" i="2" l="1"/>
  <c r="H45" i="1"/>
  <c r="L45" i="1"/>
  <c r="P45" i="1"/>
  <c r="B20" i="1" l="1"/>
  <c r="K13" i="2"/>
  <c r="AY16" i="1" l="1"/>
  <c r="AY8" i="1"/>
  <c r="AY15" i="1"/>
  <c r="AY14" i="1"/>
  <c r="AY13" i="1"/>
  <c r="AY12" i="1"/>
  <c r="AY11" i="1"/>
  <c r="AY10" i="1"/>
  <c r="AY9" i="1"/>
  <c r="B17" i="1"/>
  <c r="AY17" i="1" l="1"/>
  <c r="AU5" i="1" l="1"/>
  <c r="AQ5" i="1"/>
  <c r="AM5" i="1"/>
  <c r="AI5" i="1"/>
  <c r="AE5" i="1"/>
  <c r="AA5" i="1"/>
  <c r="W5" i="1"/>
  <c r="S5" i="1"/>
  <c r="O5" i="1"/>
  <c r="K5" i="1"/>
  <c r="B502" i="3" l="1"/>
  <c r="F500" i="3"/>
  <c r="E500" i="3"/>
  <c r="D500" i="3"/>
  <c r="B500" i="3"/>
  <c r="B482" i="3"/>
  <c r="F480" i="3"/>
  <c r="E480" i="3"/>
  <c r="D480" i="3"/>
  <c r="B480" i="3"/>
  <c r="B462" i="3"/>
  <c r="F460" i="3"/>
  <c r="E460" i="3"/>
  <c r="D460" i="3"/>
  <c r="B460" i="3"/>
  <c r="B442" i="3"/>
  <c r="F440" i="3"/>
  <c r="E440" i="3"/>
  <c r="D440" i="3"/>
  <c r="B440" i="3"/>
  <c r="B422" i="3"/>
  <c r="F420" i="3"/>
  <c r="E420" i="3"/>
  <c r="D420" i="3"/>
  <c r="B420" i="3"/>
  <c r="B402" i="3"/>
  <c r="F400" i="3"/>
  <c r="E400" i="3"/>
  <c r="D400" i="3"/>
  <c r="B400" i="3"/>
  <c r="B382" i="3"/>
  <c r="F380" i="3"/>
  <c r="E380" i="3"/>
  <c r="D380" i="3"/>
  <c r="B380" i="3"/>
  <c r="B362" i="3"/>
  <c r="F360" i="3"/>
  <c r="E360" i="3"/>
  <c r="D360" i="3"/>
  <c r="B360" i="3"/>
  <c r="B342" i="3"/>
  <c r="F340" i="3"/>
  <c r="E340" i="3"/>
  <c r="D340" i="3"/>
  <c r="B340" i="3"/>
  <c r="B322" i="3"/>
  <c r="F320" i="3"/>
  <c r="E320" i="3"/>
  <c r="D320" i="3"/>
  <c r="B320" i="3"/>
  <c r="B302" i="3"/>
  <c r="F300" i="3"/>
  <c r="E300" i="3"/>
  <c r="D300" i="3"/>
  <c r="B300" i="3"/>
  <c r="B282" i="3"/>
  <c r="F280" i="3"/>
  <c r="E280" i="3"/>
  <c r="D280" i="3"/>
  <c r="B280" i="3"/>
  <c r="B262" i="3"/>
  <c r="F260" i="3"/>
  <c r="E260" i="3"/>
  <c r="D260" i="3"/>
  <c r="B260" i="3"/>
  <c r="B242" i="3"/>
  <c r="F240" i="3"/>
  <c r="E240" i="3"/>
  <c r="D240" i="3"/>
  <c r="B240" i="3"/>
  <c r="B222" i="3"/>
  <c r="F220" i="3"/>
  <c r="E220" i="3"/>
  <c r="D220" i="3"/>
  <c r="B220" i="3"/>
  <c r="B202" i="3"/>
  <c r="F200" i="3"/>
  <c r="E200" i="3"/>
  <c r="D200" i="3"/>
  <c r="B200" i="3"/>
  <c r="B182" i="3"/>
  <c r="F180" i="3"/>
  <c r="E180" i="3"/>
  <c r="D180" i="3"/>
  <c r="B180" i="3"/>
  <c r="B162" i="3"/>
  <c r="F160" i="3"/>
  <c r="E160" i="3"/>
  <c r="D160" i="3"/>
  <c r="B160" i="3"/>
  <c r="B142" i="3"/>
  <c r="F140" i="3"/>
  <c r="E140" i="3"/>
  <c r="D140" i="3"/>
  <c r="B140" i="3"/>
  <c r="B122" i="3"/>
  <c r="F120" i="3"/>
  <c r="E120" i="3"/>
  <c r="D120" i="3"/>
  <c r="B120" i="3"/>
  <c r="B102" i="3"/>
  <c r="F100" i="3"/>
  <c r="E100" i="3"/>
  <c r="D100" i="3"/>
  <c r="B100" i="3"/>
  <c r="B82" i="3"/>
  <c r="F80" i="3"/>
  <c r="E80" i="3"/>
  <c r="D80" i="3"/>
  <c r="B80" i="3"/>
  <c r="B62" i="3"/>
  <c r="F60" i="3"/>
  <c r="E60" i="3"/>
  <c r="D60" i="3"/>
  <c r="B60" i="3"/>
  <c r="B42" i="3"/>
  <c r="F40" i="3"/>
  <c r="E40" i="3"/>
  <c r="D40" i="3"/>
  <c r="B40" i="3"/>
  <c r="B22" i="3"/>
  <c r="F20" i="3"/>
  <c r="E20" i="3"/>
  <c r="D20" i="3"/>
  <c r="G5" i="1"/>
  <c r="B20" i="3"/>
  <c r="B2" i="3"/>
  <c r="AZ17" i="1" l="1"/>
  <c r="AZ18" i="1" s="1"/>
  <c r="AZ10" i="1"/>
  <c r="AZ11" i="1"/>
  <c r="AZ12" i="1"/>
  <c r="AZ13" i="1"/>
  <c r="AZ14" i="1"/>
  <c r="AZ15" i="1"/>
  <c r="AZ8" i="1"/>
  <c r="AZ16" i="1"/>
  <c r="AZ9" i="1"/>
  <c r="AY18" i="1"/>
  <c r="K10" i="2" l="1"/>
  <c r="B4" i="17" l="1"/>
  <c r="B5" i="17" s="1"/>
  <c r="B6" i="17" s="1"/>
  <c r="B7" i="17" s="1"/>
  <c r="B8" i="17" s="1"/>
  <c r="B9" i="17" s="1"/>
  <c r="B10" i="17" s="1"/>
  <c r="B11" i="17" s="1"/>
  <c r="B12" i="17" s="1"/>
  <c r="B13" i="17" s="1"/>
  <c r="B14" i="17" s="1"/>
  <c r="B15" i="17" s="1"/>
  <c r="B16" i="17" s="1"/>
  <c r="B17" i="17" s="1"/>
  <c r="B18" i="17" s="1"/>
  <c r="B19" i="17" s="1"/>
  <c r="B20" i="17" s="1"/>
  <c r="B21" i="17" s="1"/>
  <c r="B22" i="17" s="1"/>
  <c r="B23" i="17" s="1"/>
  <c r="B24" i="17" s="1"/>
  <c r="B25" i="17" s="1"/>
  <c r="B26" i="17" s="1"/>
  <c r="B27" i="17" s="1"/>
  <c r="B28" i="17" s="1"/>
  <c r="B29" i="17" s="1"/>
  <c r="B30" i="17" s="1"/>
  <c r="B31" i="17" s="1"/>
  <c r="B32" i="17" s="1"/>
  <c r="B33" i="17" s="1"/>
  <c r="B34" i="17" s="1"/>
  <c r="B35" i="17" s="1"/>
  <c r="B36" i="17" s="1"/>
  <c r="B37" i="17" s="1"/>
  <c r="B38" i="17" s="1"/>
  <c r="B39" i="17" s="1"/>
  <c r="B40" i="17" s="1"/>
  <c r="B41" i="17" s="1"/>
  <c r="B42" i="17" s="1"/>
  <c r="B43" i="17" s="1"/>
  <c r="B44" i="17" s="1"/>
  <c r="B45" i="17" s="1"/>
  <c r="B46" i="17" s="1"/>
  <c r="B47" i="17" s="1"/>
  <c r="B48" i="17" s="1"/>
  <c r="B49" i="17" s="1"/>
  <c r="B50" i="17" s="1"/>
  <c r="B51" i="17" s="1"/>
  <c r="B52" i="17" s="1"/>
  <c r="B53" i="17" s="1"/>
  <c r="B54" i="17" s="1"/>
  <c r="B55" i="17" s="1"/>
  <c r="B56" i="17" s="1"/>
  <c r="B57" i="17" s="1"/>
  <c r="B58" i="17" s="1"/>
  <c r="B59" i="17" s="1"/>
  <c r="B60" i="17" s="1"/>
  <c r="B61" i="17" s="1"/>
  <c r="B62" i="17" s="1"/>
  <c r="B63" i="17" s="1"/>
  <c r="D4" i="17"/>
  <c r="D5" i="17" s="1"/>
  <c r="D6" i="17" s="1"/>
  <c r="J22" i="15" s="1"/>
  <c r="C4" i="17"/>
  <c r="C5" i="17" s="1"/>
  <c r="C6" i="17" s="1"/>
  <c r="C7" i="17" s="1"/>
  <c r="C8" i="17" s="1"/>
  <c r="C9" i="17" s="1"/>
  <c r="C10" i="17" s="1"/>
  <c r="C11" i="17" s="1"/>
  <c r="C12" i="17" s="1"/>
  <c r="C13" i="17" s="1"/>
  <c r="C14" i="17" s="1"/>
  <c r="C15" i="17" s="1"/>
  <c r="C16" i="17" s="1"/>
  <c r="C17" i="17" s="1"/>
  <c r="C18" i="17" s="1"/>
  <c r="C19" i="17" s="1"/>
  <c r="C20" i="17" s="1"/>
  <c r="C21" i="17" s="1"/>
  <c r="C22" i="17" s="1"/>
  <c r="C23" i="17" s="1"/>
  <c r="C24" i="17" s="1"/>
  <c r="C25" i="17" s="1"/>
  <c r="C26" i="17" s="1"/>
  <c r="C27" i="17" s="1"/>
  <c r="C28" i="17" s="1"/>
  <c r="C29" i="17" s="1"/>
  <c r="C30" i="17" s="1"/>
  <c r="C31" i="17" s="1"/>
  <c r="C32" i="17" s="1"/>
  <c r="C33" i="17" s="1"/>
  <c r="C34" i="17" s="1"/>
  <c r="C35" i="17" s="1"/>
  <c r="C36" i="17" s="1"/>
  <c r="C37" i="17" s="1"/>
  <c r="C38" i="17" s="1"/>
  <c r="C39" i="17" s="1"/>
  <c r="C40" i="17" s="1"/>
  <c r="C41" i="17" s="1"/>
  <c r="C42" i="17" s="1"/>
  <c r="C43" i="17" s="1"/>
  <c r="C44" i="17" s="1"/>
  <c r="C45" i="17" s="1"/>
  <c r="C46" i="17" s="1"/>
  <c r="C47" i="17" s="1"/>
  <c r="C48" i="17" s="1"/>
  <c r="C49" i="17" s="1"/>
  <c r="C50" i="17" s="1"/>
  <c r="C51" i="17" s="1"/>
  <c r="C52" i="17" s="1"/>
  <c r="C53" i="17" s="1"/>
  <c r="C54" i="17" s="1"/>
  <c r="C55" i="17" s="1"/>
  <c r="C56" i="17" s="1"/>
  <c r="C57" i="17" s="1"/>
  <c r="C58" i="17" s="1"/>
  <c r="C59" i="17" s="1"/>
  <c r="C60" i="17" s="1"/>
  <c r="C61" i="17" s="1"/>
  <c r="C62" i="17" s="1"/>
  <c r="C63" i="17" s="1"/>
  <c r="D7" i="17" l="1"/>
  <c r="D8" i="17" s="1"/>
  <c r="D9" i="17" s="1"/>
  <c r="D10" i="17" s="1"/>
  <c r="D11" i="17" s="1"/>
  <c r="D12" i="17" s="1"/>
  <c r="J23" i="15" s="1"/>
  <c r="L22" i="15"/>
  <c r="H13" i="16"/>
  <c r="F13" i="16"/>
  <c r="C5" i="16"/>
  <c r="E5" i="16" s="1"/>
  <c r="G5" i="16" s="1"/>
  <c r="E3" i="16"/>
  <c r="G3" i="16" s="1"/>
  <c r="E2" i="16"/>
  <c r="F2" i="16" s="1"/>
  <c r="G104" i="15"/>
  <c r="G105" i="15" s="1"/>
  <c r="K21" i="15"/>
  <c r="J21" i="15"/>
  <c r="G21" i="15"/>
  <c r="E21" i="15"/>
  <c r="K20" i="15"/>
  <c r="J20" i="15"/>
  <c r="G20" i="15"/>
  <c r="E20" i="15"/>
  <c r="C20" i="15"/>
  <c r="K19" i="15"/>
  <c r="J19" i="15"/>
  <c r="G19" i="15"/>
  <c r="E19" i="15"/>
  <c r="C19" i="15"/>
  <c r="K18" i="15"/>
  <c r="J18" i="15"/>
  <c r="G18" i="15"/>
  <c r="C18" i="15"/>
  <c r="J17" i="15"/>
  <c r="L17" i="15" s="1"/>
  <c r="G17" i="15"/>
  <c r="J16" i="15"/>
  <c r="L16" i="15" s="1"/>
  <c r="D16" i="15"/>
  <c r="C16" i="15"/>
  <c r="L15" i="15"/>
  <c r="J15" i="15"/>
  <c r="D15" i="15"/>
  <c r="G15" i="15" s="1"/>
  <c r="C15" i="15"/>
  <c r="A15" i="15"/>
  <c r="A16" i="15" s="1"/>
  <c r="L14" i="15"/>
  <c r="M14" i="15" s="1"/>
  <c r="I14" i="15"/>
  <c r="D14" i="15"/>
  <c r="G14" i="15" s="1"/>
  <c r="C14" i="15"/>
  <c r="G13" i="15"/>
  <c r="C13" i="15"/>
  <c r="G12" i="15"/>
  <c r="C12" i="15"/>
  <c r="M11" i="15"/>
  <c r="D11" i="15"/>
  <c r="G11" i="15" s="1"/>
  <c r="C11" i="15"/>
  <c r="M10" i="15"/>
  <c r="G10" i="15"/>
  <c r="E10" i="15"/>
  <c r="M9" i="15"/>
  <c r="G9" i="15"/>
  <c r="E9" i="15"/>
  <c r="M8" i="15"/>
  <c r="G8" i="15"/>
  <c r="E8" i="15"/>
  <c r="M7" i="15"/>
  <c r="G7" i="15"/>
  <c r="E7" i="15"/>
  <c r="M6" i="15"/>
  <c r="G6" i="15"/>
  <c r="E6" i="15"/>
  <c r="M5" i="15"/>
  <c r="G5" i="15"/>
  <c r="M4" i="15"/>
  <c r="D4" i="15"/>
  <c r="E4" i="15" s="1"/>
  <c r="M3" i="15"/>
  <c r="G3" i="15"/>
  <c r="D2" i="15"/>
  <c r="G2" i="15" s="1"/>
  <c r="G40" i="14"/>
  <c r="G39" i="14"/>
  <c r="G38" i="14"/>
  <c r="G37" i="14"/>
  <c r="G36" i="14"/>
  <c r="G35" i="14"/>
  <c r="G34" i="14"/>
  <c r="G33" i="14"/>
  <c r="C33" i="14"/>
  <c r="G32" i="14"/>
  <c r="G31" i="14"/>
  <c r="G30" i="14"/>
  <c r="G29" i="14"/>
  <c r="C29" i="14"/>
  <c r="G28" i="14"/>
  <c r="C28" i="14"/>
  <c r="G27" i="14"/>
  <c r="G26" i="14"/>
  <c r="G25" i="14"/>
  <c r="G24" i="14"/>
  <c r="G23" i="14"/>
  <c r="C23" i="14"/>
  <c r="G22" i="14"/>
  <c r="G21" i="14"/>
  <c r="E20" i="14"/>
  <c r="M17" i="15" l="1"/>
  <c r="M16" i="15"/>
  <c r="E4" i="16"/>
  <c r="F4" i="16" s="1"/>
  <c r="E5" i="15"/>
  <c r="I15" i="15"/>
  <c r="L19" i="15"/>
  <c r="L20" i="15"/>
  <c r="G4" i="15"/>
  <c r="F14" i="16"/>
  <c r="G15" i="16" s="1"/>
  <c r="L21" i="15"/>
  <c r="M15" i="15"/>
  <c r="L18" i="15"/>
  <c r="D13" i="17"/>
  <c r="D14" i="17" s="1"/>
  <c r="D15" i="17" s="1"/>
  <c r="D16" i="17" s="1"/>
  <c r="D17" i="17" s="1"/>
  <c r="D18" i="17" s="1"/>
  <c r="L23" i="15"/>
  <c r="M23" i="15" s="1"/>
  <c r="C30" i="14"/>
  <c r="F6" i="16"/>
  <c r="E16" i="15"/>
  <c r="G16" i="15"/>
  <c r="G45" i="14"/>
  <c r="E19" i="14" s="1"/>
  <c r="B6" i="14" s="1"/>
  <c r="C24" i="15" s="1"/>
  <c r="F15" i="16"/>
  <c r="G6" i="16"/>
  <c r="I16" i="15"/>
  <c r="A17" i="15"/>
  <c r="E3" i="15"/>
  <c r="E11" i="15"/>
  <c r="E14" i="15"/>
  <c r="E15" i="15"/>
  <c r="E17" i="15"/>
  <c r="B502" i="2"/>
  <c r="F500" i="2"/>
  <c r="E500" i="2"/>
  <c r="D500" i="2"/>
  <c r="B500" i="2"/>
  <c r="B482" i="2"/>
  <c r="F480" i="2"/>
  <c r="E480" i="2"/>
  <c r="D480" i="2"/>
  <c r="B480" i="2"/>
  <c r="B462" i="2"/>
  <c r="F460" i="2"/>
  <c r="E460" i="2"/>
  <c r="D460" i="2"/>
  <c r="B460" i="2"/>
  <c r="B442" i="2"/>
  <c r="F440" i="2"/>
  <c r="E440" i="2"/>
  <c r="D440" i="2"/>
  <c r="B440" i="2"/>
  <c r="B422" i="2"/>
  <c r="F420" i="2"/>
  <c r="E420" i="2"/>
  <c r="D420" i="2"/>
  <c r="B420" i="2"/>
  <c r="B402" i="2"/>
  <c r="F400" i="2"/>
  <c r="E400" i="2"/>
  <c r="D400" i="2"/>
  <c r="B400" i="2"/>
  <c r="B382" i="2"/>
  <c r="F380" i="2"/>
  <c r="E380" i="2"/>
  <c r="D380" i="2"/>
  <c r="B380" i="2"/>
  <c r="B362" i="2"/>
  <c r="F360" i="2"/>
  <c r="E360" i="2"/>
  <c r="D360" i="2"/>
  <c r="B360" i="2"/>
  <c r="B342" i="2"/>
  <c r="F340" i="2"/>
  <c r="E340" i="2"/>
  <c r="D340" i="2"/>
  <c r="B340" i="2"/>
  <c r="B322" i="2"/>
  <c r="F320" i="2"/>
  <c r="E320" i="2"/>
  <c r="D320" i="2"/>
  <c r="B320" i="2"/>
  <c r="B302" i="2"/>
  <c r="F300" i="2"/>
  <c r="E300" i="2"/>
  <c r="D300" i="2"/>
  <c r="B300" i="2"/>
  <c r="B282" i="2"/>
  <c r="F280" i="2"/>
  <c r="E280" i="2"/>
  <c r="D280" i="2"/>
  <c r="B280" i="2"/>
  <c r="B262" i="2"/>
  <c r="F260" i="2"/>
  <c r="E260" i="2"/>
  <c r="D260" i="2"/>
  <c r="B260" i="2"/>
  <c r="B242" i="2"/>
  <c r="F240" i="2"/>
  <c r="E240" i="2"/>
  <c r="D240" i="2"/>
  <c r="B240" i="2"/>
  <c r="B222" i="2"/>
  <c r="F220" i="2"/>
  <c r="E220" i="2"/>
  <c r="B220" i="2"/>
  <c r="D220" i="2"/>
  <c r="B202" i="2"/>
  <c r="F200" i="2"/>
  <c r="E200" i="2"/>
  <c r="D200" i="2"/>
  <c r="B200" i="2"/>
  <c r="B182" i="2"/>
  <c r="F180" i="2"/>
  <c r="E180" i="2"/>
  <c r="D180" i="2"/>
  <c r="B180" i="2"/>
  <c r="B162" i="2"/>
  <c r="F160" i="2"/>
  <c r="E160" i="2"/>
  <c r="D160" i="2"/>
  <c r="B160" i="2"/>
  <c r="B142" i="2"/>
  <c r="F140" i="2"/>
  <c r="E140" i="2"/>
  <c r="D140" i="2"/>
  <c r="B127" i="2"/>
  <c r="B140" i="2" s="1"/>
  <c r="B122" i="2"/>
  <c r="F120" i="2"/>
  <c r="E120" i="2"/>
  <c r="D120" i="2"/>
  <c r="B120" i="2"/>
  <c r="B102" i="2"/>
  <c r="F100" i="2"/>
  <c r="E100" i="2"/>
  <c r="B100" i="2"/>
  <c r="D100" i="2"/>
  <c r="B82" i="2"/>
  <c r="F80" i="2"/>
  <c r="E80" i="2"/>
  <c r="B80" i="2"/>
  <c r="D80" i="2"/>
  <c r="B62" i="2"/>
  <c r="F60" i="2"/>
  <c r="E60" i="2"/>
  <c r="B60" i="2"/>
  <c r="D60" i="2"/>
  <c r="B42" i="2"/>
  <c r="F40" i="2"/>
  <c r="E40" i="2"/>
  <c r="D40" i="2"/>
  <c r="B40" i="2"/>
  <c r="B22" i="2"/>
  <c r="F20" i="2"/>
  <c r="E20" i="2"/>
  <c r="D20" i="2"/>
  <c r="B20" i="2"/>
  <c r="B2" i="2"/>
  <c r="D19" i="17" l="1"/>
  <c r="D20" i="17" s="1"/>
  <c r="D21" i="17" s="1"/>
  <c r="D22" i="17" s="1"/>
  <c r="D23" i="17" s="1"/>
  <c r="D24" i="17" s="1"/>
  <c r="D25" i="17" s="1"/>
  <c r="D26" i="17" s="1"/>
  <c r="D27" i="17" s="1"/>
  <c r="D28" i="17" s="1"/>
  <c r="D29" i="17" s="1"/>
  <c r="D30" i="17" s="1"/>
  <c r="D31" i="17" s="1"/>
  <c r="D32" i="17" s="1"/>
  <c r="D33" i="17" s="1"/>
  <c r="D34" i="17" s="1"/>
  <c r="D35" i="17" s="1"/>
  <c r="D36" i="17" s="1"/>
  <c r="D37" i="17" s="1"/>
  <c r="D38" i="17" s="1"/>
  <c r="D39" i="17" s="1"/>
  <c r="D40" i="17" s="1"/>
  <c r="D41" i="17" s="1"/>
  <c r="D42" i="17" s="1"/>
  <c r="D43" i="17" s="1"/>
  <c r="D44" i="17" s="1"/>
  <c r="D45" i="17" s="1"/>
  <c r="D46" i="17" s="1"/>
  <c r="D47" i="17" s="1"/>
  <c r="D48" i="17" s="1"/>
  <c r="D49" i="17" s="1"/>
  <c r="D50" i="17" s="1"/>
  <c r="D51" i="17" s="1"/>
  <c r="D52" i="17" s="1"/>
  <c r="D53" i="17" s="1"/>
  <c r="D54" i="17" s="1"/>
  <c r="D55" i="17" s="1"/>
  <c r="D56" i="17" s="1"/>
  <c r="D57" i="17" s="1"/>
  <c r="D58" i="17" s="1"/>
  <c r="D59" i="17" s="1"/>
  <c r="D60" i="17" s="1"/>
  <c r="D61" i="17" s="1"/>
  <c r="D62" i="17" s="1"/>
  <c r="J24" i="15"/>
  <c r="M21" i="15"/>
  <c r="M20" i="15"/>
  <c r="M19" i="15"/>
  <c r="M18" i="15"/>
  <c r="M22" i="15"/>
  <c r="M83" i="15"/>
  <c r="E8" i="14"/>
  <c r="C83" i="15"/>
  <c r="I17" i="15"/>
  <c r="A18" i="15"/>
  <c r="K19" i="2"/>
  <c r="D63" i="17" l="1"/>
  <c r="I63" i="17"/>
  <c r="C5" i="1"/>
  <c r="L20" i="2"/>
  <c r="B14" i="14"/>
  <c r="L6" i="14"/>
  <c r="E9" i="14"/>
  <c r="I18" i="15"/>
  <c r="A19" i="15"/>
  <c r="G23" i="15" l="1"/>
  <c r="E23" i="15"/>
  <c r="G22" i="15"/>
  <c r="A20" i="15"/>
  <c r="I19" i="15"/>
  <c r="G85" i="15" l="1"/>
  <c r="E22" i="15"/>
  <c r="I20" i="15"/>
  <c r="A21" i="15"/>
  <c r="I21" i="15" l="1"/>
  <c r="A22" i="15"/>
  <c r="A23" i="15" l="1"/>
  <c r="I22" i="15"/>
  <c r="A24" i="15" l="1"/>
  <c r="I23" i="15"/>
  <c r="A25" i="15" l="1"/>
  <c r="I24" i="15"/>
  <c r="B3" i="14" s="1"/>
  <c r="A26" i="15" l="1"/>
  <c r="I25" i="15"/>
  <c r="A27" i="15" l="1"/>
  <c r="I26" i="15"/>
  <c r="A28" i="15" l="1"/>
  <c r="I27" i="15"/>
  <c r="AV22" i="1"/>
  <c r="A29" i="15" l="1"/>
  <c r="I28" i="15"/>
  <c r="A30" i="15" l="1"/>
  <c r="I29" i="15"/>
  <c r="A31" i="15" l="1"/>
  <c r="I30" i="15"/>
  <c r="A32" i="15" l="1"/>
  <c r="I31" i="15"/>
  <c r="A33" i="15" l="1"/>
  <c r="I32" i="15"/>
  <c r="A34" i="15" l="1"/>
  <c r="I33" i="15"/>
  <c r="A35" i="15" l="1"/>
  <c r="I34" i="15"/>
  <c r="A36" i="15" l="1"/>
  <c r="I35" i="15"/>
  <c r="A37" i="15" l="1"/>
  <c r="I36" i="15"/>
  <c r="A38" i="15" l="1"/>
  <c r="I37" i="15"/>
  <c r="A39" i="15" l="1"/>
  <c r="I38" i="15"/>
  <c r="A40" i="15" l="1"/>
  <c r="I39" i="15"/>
  <c r="AW42" i="1"/>
  <c r="AV40" i="1"/>
  <c r="AV39" i="1"/>
  <c r="AW37" i="1"/>
  <c r="AV36" i="1"/>
  <c r="AW35" i="1"/>
  <c r="AV35" i="1"/>
  <c r="AV33" i="1"/>
  <c r="AV32" i="1"/>
  <c r="AW31" i="1"/>
  <c r="AW28" i="1"/>
  <c r="AV28" i="1"/>
  <c r="AV26" i="1"/>
  <c r="AW25" i="1"/>
  <c r="AV25" i="1"/>
  <c r="AV21" i="1"/>
  <c r="AW20" i="1"/>
  <c r="AV20" i="1"/>
  <c r="AV23" i="1"/>
  <c r="AV24" i="1"/>
  <c r="AW24" i="1"/>
  <c r="AV27" i="1"/>
  <c r="AW27" i="1"/>
  <c r="AV29" i="1"/>
  <c r="AW29" i="1"/>
  <c r="AV30" i="1"/>
  <c r="AW30" i="1"/>
  <c r="AV31" i="1"/>
  <c r="AW32" i="1"/>
  <c r="AW33" i="1"/>
  <c r="AV34" i="1"/>
  <c r="AW36" i="1"/>
  <c r="AV37" i="1"/>
  <c r="AV38" i="1"/>
  <c r="AW38" i="1"/>
  <c r="AW39" i="1"/>
  <c r="AW41" i="1"/>
  <c r="AV42" i="1"/>
  <c r="AV43" i="1"/>
  <c r="AV44" i="1"/>
  <c r="AW44" i="1"/>
  <c r="AV45" i="1"/>
  <c r="AW45" i="1"/>
  <c r="AU17" i="1"/>
  <c r="B426" i="13" s="1"/>
  <c r="A41" i="15" l="1"/>
  <c r="I40" i="15"/>
  <c r="AW21" i="1"/>
  <c r="AW40" i="1"/>
  <c r="AW26" i="1"/>
  <c r="AW34" i="1"/>
  <c r="AW43" i="1"/>
  <c r="AW22" i="1"/>
  <c r="AW50" i="1" s="1"/>
  <c r="AW23" i="1"/>
  <c r="AW46" i="1" l="1"/>
  <c r="AW47" i="1" s="1"/>
  <c r="A42" i="15"/>
  <c r="I41" i="15"/>
  <c r="A43" i="15" l="1"/>
  <c r="I42" i="15"/>
  <c r="A44" i="15" l="1"/>
  <c r="I43" i="15"/>
  <c r="A45" i="15" l="1"/>
  <c r="I44" i="15"/>
  <c r="A46" i="15" l="1"/>
  <c r="I45" i="15"/>
  <c r="A47" i="15" l="1"/>
  <c r="I46" i="15"/>
  <c r="A48" i="15" l="1"/>
  <c r="I47" i="15"/>
  <c r="A49" i="15" l="1"/>
  <c r="I48" i="15"/>
  <c r="A50" i="15" l="1"/>
  <c r="I49" i="15"/>
  <c r="AS43" i="1"/>
  <c r="AS42" i="1"/>
  <c r="AR42" i="1"/>
  <c r="AS40" i="1"/>
  <c r="AS38" i="1"/>
  <c r="AR38" i="1"/>
  <c r="AR36" i="1"/>
  <c r="AR35" i="1"/>
  <c r="AS35" i="1"/>
  <c r="AR32" i="1"/>
  <c r="AR30" i="1"/>
  <c r="AS30" i="1"/>
  <c r="AS28" i="1"/>
  <c r="AR27" i="1"/>
  <c r="AS27" i="1"/>
  <c r="AS26" i="1"/>
  <c r="AR26" i="1"/>
  <c r="AS25" i="1"/>
  <c r="AR25" i="1"/>
  <c r="AR23" i="1"/>
  <c r="AR22" i="1"/>
  <c r="AR21" i="1"/>
  <c r="AS20" i="1"/>
  <c r="AR20" i="1"/>
  <c r="AR24" i="1"/>
  <c r="AR28" i="1"/>
  <c r="AR29" i="1"/>
  <c r="AS29" i="1"/>
  <c r="AR31" i="1"/>
  <c r="AS32" i="1"/>
  <c r="AR33" i="1"/>
  <c r="AS33" i="1"/>
  <c r="AR34" i="1"/>
  <c r="AS36" i="1"/>
  <c r="AR37" i="1"/>
  <c r="AS37" i="1"/>
  <c r="AR39" i="1"/>
  <c r="AS39" i="1"/>
  <c r="AR40" i="1"/>
  <c r="AS41" i="1"/>
  <c r="AR43" i="1"/>
  <c r="AR44" i="1"/>
  <c r="AS44" i="1"/>
  <c r="AR45" i="1"/>
  <c r="AS45" i="1"/>
  <c r="A51" i="15" l="1"/>
  <c r="I50" i="15"/>
  <c r="AS24" i="1"/>
  <c r="AS22" i="1"/>
  <c r="AS50" i="1" s="1"/>
  <c r="AS31" i="1"/>
  <c r="AS34" i="1"/>
  <c r="AS23" i="1"/>
  <c r="AS21" i="1"/>
  <c r="AS46" i="1" l="1"/>
  <c r="A52" i="15"/>
  <c r="I51" i="15"/>
  <c r="A53" i="15" l="1"/>
  <c r="I52" i="15"/>
  <c r="A54" i="15" l="1"/>
  <c r="I53" i="15"/>
  <c r="A55" i="15" l="1"/>
  <c r="I54" i="15"/>
  <c r="A56" i="15" l="1"/>
  <c r="I55" i="15"/>
  <c r="A57" i="15" l="1"/>
  <c r="I56" i="15"/>
  <c r="A58" i="15" l="1"/>
  <c r="I57" i="15"/>
  <c r="A59" i="15" l="1"/>
  <c r="I58" i="15"/>
  <c r="A60" i="15" l="1"/>
  <c r="I59" i="15"/>
  <c r="A61" i="15" l="1"/>
  <c r="I60" i="15"/>
  <c r="A62" i="15" l="1"/>
  <c r="I61" i="15"/>
  <c r="I62" i="15" l="1"/>
  <c r="A63" i="15"/>
  <c r="AN24" i="1"/>
  <c r="AN26" i="1"/>
  <c r="AN27" i="1"/>
  <c r="AN28" i="1"/>
  <c r="AO28" i="1"/>
  <c r="AN30" i="1"/>
  <c r="AN31" i="1"/>
  <c r="AN33" i="1"/>
  <c r="AO33" i="1"/>
  <c r="AO34" i="1"/>
  <c r="AN36" i="1"/>
  <c r="AN37" i="1"/>
  <c r="AO39" i="1"/>
  <c r="AN40" i="1"/>
  <c r="AO41" i="1"/>
  <c r="AN44" i="1"/>
  <c r="AO44" i="1"/>
  <c r="AN45" i="1"/>
  <c r="AO45" i="1"/>
  <c r="A64" i="15" l="1"/>
  <c r="I63" i="15"/>
  <c r="AO43" i="1"/>
  <c r="AN43" i="1"/>
  <c r="AN42" i="1"/>
  <c r="AO40" i="1"/>
  <c r="AN39" i="1"/>
  <c r="AO38" i="1"/>
  <c r="AN38" i="1"/>
  <c r="AO37" i="1"/>
  <c r="AO36" i="1"/>
  <c r="AO35" i="1"/>
  <c r="AN35" i="1"/>
  <c r="AN34" i="1"/>
  <c r="AO32" i="1"/>
  <c r="AN32" i="1"/>
  <c r="AO31" i="1"/>
  <c r="AO30" i="1"/>
  <c r="AO29" i="1"/>
  <c r="AN29" i="1"/>
  <c r="AO27" i="1"/>
  <c r="AO26" i="1"/>
  <c r="AO25" i="1"/>
  <c r="AN25" i="1"/>
  <c r="AO24" i="1"/>
  <c r="AN23" i="1"/>
  <c r="AN22" i="1"/>
  <c r="AN21" i="1"/>
  <c r="AO20" i="1"/>
  <c r="AN20" i="1"/>
  <c r="S17" i="1"/>
  <c r="W17" i="1"/>
  <c r="B426" i="7" s="1"/>
  <c r="AA17" i="1"/>
  <c r="B426" i="8" s="1"/>
  <c r="AE17" i="1"/>
  <c r="AI17" i="1"/>
  <c r="B426" i="10" s="1"/>
  <c r="AM17" i="1"/>
  <c r="B426" i="11" s="1"/>
  <c r="AQ17" i="1"/>
  <c r="B426" i="12" s="1"/>
  <c r="B440" i="12" s="1"/>
  <c r="O17" i="1"/>
  <c r="K17" i="1"/>
  <c r="G17" i="1"/>
  <c r="C17" i="1"/>
  <c r="A65" i="15" l="1"/>
  <c r="I64" i="15"/>
  <c r="B426" i="9"/>
  <c r="B440" i="9" s="1"/>
  <c r="AF41" i="1" s="1"/>
  <c r="B440" i="10"/>
  <c r="B440" i="8"/>
  <c r="B440" i="7"/>
  <c r="AO21" i="1"/>
  <c r="AO22" i="1"/>
  <c r="AO50" i="1" s="1"/>
  <c r="AO42" i="1"/>
  <c r="AO23" i="1"/>
  <c r="AO46" i="1" l="1"/>
  <c r="A66" i="15"/>
  <c r="I65" i="15"/>
  <c r="AJ43" i="1"/>
  <c r="AJ42" i="1"/>
  <c r="AJ41" i="1"/>
  <c r="AK40" i="1"/>
  <c r="AJ39" i="1"/>
  <c r="AK38" i="1"/>
  <c r="AK37" i="1"/>
  <c r="AJ36" i="1"/>
  <c r="AJ35" i="1"/>
  <c r="AK33" i="1"/>
  <c r="AJ32" i="1"/>
  <c r="AK30" i="1"/>
  <c r="AK29" i="1"/>
  <c r="AK28" i="1"/>
  <c r="AK26" i="1"/>
  <c r="AJ26" i="1"/>
  <c r="AK25" i="1"/>
  <c r="AK24" i="1"/>
  <c r="AJ23" i="1"/>
  <c r="AK23" i="1"/>
  <c r="AK22" i="1"/>
  <c r="AK50" i="1" s="1"/>
  <c r="AJ22" i="1"/>
  <c r="AJ21" i="1"/>
  <c r="AK20" i="1"/>
  <c r="AJ20" i="1"/>
  <c r="AJ24" i="1"/>
  <c r="AJ25" i="1"/>
  <c r="AJ27" i="1"/>
  <c r="AJ28" i="1"/>
  <c r="AJ29" i="1"/>
  <c r="AJ30" i="1"/>
  <c r="AJ31" i="1"/>
  <c r="AK32" i="1"/>
  <c r="AJ33" i="1"/>
  <c r="AJ34" i="1"/>
  <c r="AK35" i="1"/>
  <c r="AK36" i="1"/>
  <c r="AJ37" i="1"/>
  <c r="AJ38" i="1"/>
  <c r="AK39" i="1"/>
  <c r="AJ40" i="1"/>
  <c r="AK41" i="1"/>
  <c r="AJ44" i="1"/>
  <c r="AK44" i="1"/>
  <c r="AJ45" i="1"/>
  <c r="AK45" i="1"/>
  <c r="A67" i="15" l="1"/>
  <c r="I66" i="15"/>
  <c r="AK31" i="1"/>
  <c r="AK34" i="1"/>
  <c r="AK42" i="1"/>
  <c r="AK43" i="1"/>
  <c r="AK27" i="1"/>
  <c r="AK21" i="1"/>
  <c r="I67" i="15" l="1"/>
  <c r="A68" i="15"/>
  <c r="AK46" i="1"/>
  <c r="AK47" i="1" s="1"/>
  <c r="I68" i="15" l="1"/>
  <c r="A69" i="15"/>
  <c r="AF25" i="1"/>
  <c r="AF26" i="1"/>
  <c r="AF34" i="1"/>
  <c r="AG36" i="1"/>
  <c r="AF37" i="1"/>
  <c r="AG37" i="1"/>
  <c r="AG39" i="1"/>
  <c r="AF40" i="1"/>
  <c r="AG40" i="1"/>
  <c r="AF43" i="1"/>
  <c r="AF44" i="1"/>
  <c r="AG44" i="1"/>
  <c r="AF45" i="1"/>
  <c r="AG45" i="1"/>
  <c r="I69" i="15" l="1"/>
  <c r="A70" i="15"/>
  <c r="AG42" i="1"/>
  <c r="AF42" i="1"/>
  <c r="AG41" i="1"/>
  <c r="AF39" i="1"/>
  <c r="AG38" i="1"/>
  <c r="AF38" i="1"/>
  <c r="AF36" i="1"/>
  <c r="AF35" i="1"/>
  <c r="AG35" i="1"/>
  <c r="AG33" i="1"/>
  <c r="AF33" i="1"/>
  <c r="AF32" i="1"/>
  <c r="AF31" i="1"/>
  <c r="AG30" i="1"/>
  <c r="AF30" i="1"/>
  <c r="AF29" i="1"/>
  <c r="AG29" i="1"/>
  <c r="AF28" i="1"/>
  <c r="AG27" i="1"/>
  <c r="AF27" i="1"/>
  <c r="AG26" i="1"/>
  <c r="AG25" i="1"/>
  <c r="AF24" i="1"/>
  <c r="AG24" i="1"/>
  <c r="AG23" i="1"/>
  <c r="AF23" i="1"/>
  <c r="AF22" i="1"/>
  <c r="AF21" i="1"/>
  <c r="AG20" i="1"/>
  <c r="AF20" i="1"/>
  <c r="I70" i="15" l="1"/>
  <c r="A71" i="15"/>
  <c r="AG28" i="1"/>
  <c r="AG22" i="1"/>
  <c r="AG50" i="1" s="1"/>
  <c r="AG43" i="1"/>
  <c r="AG31" i="1"/>
  <c r="AG34" i="1"/>
  <c r="AG32" i="1"/>
  <c r="AG21" i="1"/>
  <c r="I71" i="15" l="1"/>
  <c r="A72" i="15"/>
  <c r="AG46" i="1"/>
  <c r="AG47" i="1" s="1"/>
  <c r="AC43" i="1"/>
  <c r="AB43" i="1"/>
  <c r="AB42" i="1"/>
  <c r="AC41" i="1"/>
  <c r="AB41" i="1"/>
  <c r="AC40" i="1"/>
  <c r="AB39" i="1"/>
  <c r="AC38" i="1"/>
  <c r="AB36" i="1"/>
  <c r="AC35" i="1"/>
  <c r="AB35" i="1"/>
  <c r="AB34" i="1"/>
  <c r="AB33" i="1"/>
  <c r="AB31" i="1"/>
  <c r="AC30" i="1"/>
  <c r="AB30" i="1"/>
  <c r="AC29" i="1"/>
  <c r="AB28" i="1"/>
  <c r="AC27" i="1"/>
  <c r="AC26" i="1"/>
  <c r="AB26" i="1"/>
  <c r="AC25" i="1"/>
  <c r="AB25" i="1"/>
  <c r="AB23" i="1"/>
  <c r="AB22" i="1"/>
  <c r="AC22" i="1"/>
  <c r="AC50" i="1" s="1"/>
  <c r="AC21" i="1"/>
  <c r="AB21" i="1"/>
  <c r="AB20" i="1"/>
  <c r="AB24" i="1"/>
  <c r="AB27" i="1"/>
  <c r="AC28" i="1"/>
  <c r="AB29" i="1"/>
  <c r="AB32" i="1"/>
  <c r="AC33" i="1"/>
  <c r="AC36" i="1"/>
  <c r="AB37" i="1"/>
  <c r="AC37" i="1"/>
  <c r="AB38" i="1"/>
  <c r="AC39" i="1"/>
  <c r="AB40" i="1"/>
  <c r="AC42" i="1"/>
  <c r="AB44" i="1"/>
  <c r="AC44" i="1"/>
  <c r="AB45" i="1"/>
  <c r="AC45" i="1"/>
  <c r="I72" i="15" l="1"/>
  <c r="A73" i="15"/>
  <c r="AC31" i="1"/>
  <c r="AC23" i="1"/>
  <c r="AC24" i="1"/>
  <c r="AC20" i="1"/>
  <c r="AC32" i="1"/>
  <c r="AC34" i="1"/>
  <c r="A74" i="15" l="1"/>
  <c r="I73" i="15"/>
  <c r="AC46" i="1"/>
  <c r="AC47" i="1" s="1"/>
  <c r="AS47" i="1"/>
  <c r="AO47" i="1"/>
  <c r="AF46" i="1"/>
  <c r="AF47" i="1" s="1"/>
  <c r="AB46" i="1"/>
  <c r="AB47" i="1" s="1"/>
  <c r="A75" i="15" l="1"/>
  <c r="I74" i="15"/>
  <c r="AJ46" i="1"/>
  <c r="AJ47" i="1" s="1"/>
  <c r="A76" i="15" l="1"/>
  <c r="I75" i="15"/>
  <c r="I33" i="1"/>
  <c r="X26" i="1"/>
  <c r="Y28" i="1"/>
  <c r="X29" i="1"/>
  <c r="X33" i="1"/>
  <c r="Y33" i="1"/>
  <c r="X36" i="1"/>
  <c r="Y36" i="1"/>
  <c r="Y37" i="1"/>
  <c r="X38" i="1"/>
  <c r="Y39" i="1"/>
  <c r="X40" i="1"/>
  <c r="Y40" i="1"/>
  <c r="Y41" i="1"/>
  <c r="X43" i="1"/>
  <c r="Y43" i="1"/>
  <c r="X44" i="1"/>
  <c r="Y44" i="1"/>
  <c r="X45" i="1"/>
  <c r="Y45" i="1"/>
  <c r="T20" i="1"/>
  <c r="U20" i="1"/>
  <c r="T21" i="1"/>
  <c r="U21" i="1"/>
  <c r="T22" i="1"/>
  <c r="U22" i="1"/>
  <c r="U50" i="1" s="1"/>
  <c r="T23" i="1"/>
  <c r="U23" i="1"/>
  <c r="T24" i="1"/>
  <c r="U24" i="1"/>
  <c r="T25" i="1"/>
  <c r="U25" i="1"/>
  <c r="T26" i="1"/>
  <c r="U26" i="1"/>
  <c r="T27" i="1"/>
  <c r="U27" i="1"/>
  <c r="T28" i="1"/>
  <c r="U28" i="1"/>
  <c r="T29" i="1"/>
  <c r="U29" i="1"/>
  <c r="T30" i="1"/>
  <c r="U30" i="1"/>
  <c r="T31" i="1"/>
  <c r="U31" i="1"/>
  <c r="T32" i="1"/>
  <c r="U32" i="1"/>
  <c r="T33" i="1"/>
  <c r="U33" i="1"/>
  <c r="T34" i="1"/>
  <c r="U34" i="1"/>
  <c r="T35" i="1"/>
  <c r="U35" i="1"/>
  <c r="T36" i="1"/>
  <c r="U36" i="1"/>
  <c r="T37" i="1"/>
  <c r="U37" i="1"/>
  <c r="T38" i="1"/>
  <c r="U38" i="1"/>
  <c r="T39" i="1"/>
  <c r="U39" i="1"/>
  <c r="T40" i="1"/>
  <c r="U40" i="1"/>
  <c r="T41" i="1"/>
  <c r="U41" i="1"/>
  <c r="T42" i="1"/>
  <c r="U42" i="1"/>
  <c r="T43" i="1"/>
  <c r="U43" i="1"/>
  <c r="T44" i="1"/>
  <c r="U44" i="1"/>
  <c r="T45" i="1"/>
  <c r="U45" i="1"/>
  <c r="P24" i="1"/>
  <c r="P25" i="1"/>
  <c r="P26" i="1"/>
  <c r="P27" i="1"/>
  <c r="P29" i="1"/>
  <c r="Q29" i="1"/>
  <c r="P33" i="1"/>
  <c r="Q33" i="1"/>
  <c r="P34" i="1"/>
  <c r="P36" i="1"/>
  <c r="Q36" i="1"/>
  <c r="P37" i="1"/>
  <c r="P38" i="1"/>
  <c r="P39" i="1"/>
  <c r="Q39" i="1"/>
  <c r="P40" i="1"/>
  <c r="Q41" i="1"/>
  <c r="P42" i="1"/>
  <c r="P43" i="1"/>
  <c r="Q43" i="1"/>
  <c r="P44" i="1"/>
  <c r="Q44" i="1"/>
  <c r="Q45" i="1"/>
  <c r="L20" i="1"/>
  <c r="L21" i="1"/>
  <c r="L25" i="1"/>
  <c r="L26" i="1"/>
  <c r="L27" i="1"/>
  <c r="L29" i="1"/>
  <c r="L30" i="1"/>
  <c r="L33" i="1"/>
  <c r="M33" i="1"/>
  <c r="L34" i="1"/>
  <c r="L36" i="1"/>
  <c r="M36" i="1"/>
  <c r="L37" i="1"/>
  <c r="L38" i="1"/>
  <c r="L39" i="1"/>
  <c r="M39" i="1"/>
  <c r="L40" i="1"/>
  <c r="M40" i="1"/>
  <c r="M41" i="1"/>
  <c r="L42" i="1"/>
  <c r="L43" i="1"/>
  <c r="M43" i="1"/>
  <c r="L44" i="1"/>
  <c r="M44" i="1"/>
  <c r="M45" i="1"/>
  <c r="H20" i="1"/>
  <c r="H21" i="1"/>
  <c r="H25" i="1"/>
  <c r="H26" i="1"/>
  <c r="H27" i="1"/>
  <c r="H28" i="1"/>
  <c r="I28" i="1"/>
  <c r="H29" i="1"/>
  <c r="H30" i="1"/>
  <c r="H31" i="1"/>
  <c r="H32" i="1"/>
  <c r="H33" i="1"/>
  <c r="H34" i="1"/>
  <c r="H36" i="1"/>
  <c r="I36" i="1"/>
  <c r="H37" i="1"/>
  <c r="I37" i="1"/>
  <c r="H38" i="1"/>
  <c r="I39" i="1"/>
  <c r="H40" i="1"/>
  <c r="I40" i="1"/>
  <c r="H41" i="1"/>
  <c r="H42" i="1"/>
  <c r="H43" i="1"/>
  <c r="I43" i="1"/>
  <c r="H44" i="1"/>
  <c r="I44" i="1"/>
  <c r="I45" i="1"/>
  <c r="A77" i="15" l="1"/>
  <c r="I76" i="15"/>
  <c r="AY36" i="1"/>
  <c r="U46" i="1"/>
  <c r="Y42" i="1"/>
  <c r="X42" i="1"/>
  <c r="X41" i="1"/>
  <c r="X39" i="1"/>
  <c r="X37" i="1"/>
  <c r="Y35" i="1"/>
  <c r="X35" i="1"/>
  <c r="X34" i="1"/>
  <c r="Y32" i="1"/>
  <c r="X32" i="1"/>
  <c r="Y31" i="1"/>
  <c r="X31" i="1"/>
  <c r="Y30" i="1"/>
  <c r="X30" i="1"/>
  <c r="Y29" i="1"/>
  <c r="X28" i="1"/>
  <c r="Y27" i="1"/>
  <c r="X27" i="1"/>
  <c r="Y26" i="1"/>
  <c r="Y25" i="1"/>
  <c r="X25" i="1"/>
  <c r="X24" i="1"/>
  <c r="Y23" i="1"/>
  <c r="X23" i="1"/>
  <c r="X22" i="1"/>
  <c r="Y21" i="1"/>
  <c r="X21" i="1"/>
  <c r="Y20" i="1"/>
  <c r="X20" i="1"/>
  <c r="Q42" i="1"/>
  <c r="P41" i="1"/>
  <c r="Q40" i="1"/>
  <c r="Q38" i="1"/>
  <c r="Q37" i="1"/>
  <c r="Q35" i="1"/>
  <c r="P35" i="1"/>
  <c r="Q34" i="1"/>
  <c r="Q32" i="1"/>
  <c r="P32" i="1"/>
  <c r="P31" i="1"/>
  <c r="Q30" i="1"/>
  <c r="P30" i="1"/>
  <c r="Q28" i="1"/>
  <c r="P28" i="1"/>
  <c r="Q27" i="1"/>
  <c r="Q26" i="1"/>
  <c r="Q25" i="1"/>
  <c r="Q24" i="1"/>
  <c r="P23" i="1"/>
  <c r="Q22" i="1"/>
  <c r="Q50" i="1" s="1"/>
  <c r="P22" i="1"/>
  <c r="Q21" i="1"/>
  <c r="P21" i="1"/>
  <c r="Q20" i="1"/>
  <c r="P20" i="1"/>
  <c r="L41" i="1"/>
  <c r="M38" i="1"/>
  <c r="M37" i="1"/>
  <c r="L35" i="1"/>
  <c r="L32" i="1"/>
  <c r="M31" i="1"/>
  <c r="L31" i="1"/>
  <c r="M29" i="1"/>
  <c r="M28" i="1"/>
  <c r="L28" i="1"/>
  <c r="M27" i="1"/>
  <c r="M26" i="1"/>
  <c r="M25" i="1"/>
  <c r="M24" i="1"/>
  <c r="L24" i="1"/>
  <c r="L23" i="1"/>
  <c r="L22" i="1"/>
  <c r="M21" i="1"/>
  <c r="M20" i="1"/>
  <c r="I42" i="1"/>
  <c r="I41" i="1"/>
  <c r="H39" i="1"/>
  <c r="H35" i="1"/>
  <c r="I34" i="1"/>
  <c r="I31" i="1"/>
  <c r="I30" i="1"/>
  <c r="I29" i="1"/>
  <c r="I27" i="1"/>
  <c r="I26" i="1"/>
  <c r="I25" i="1"/>
  <c r="I24" i="1"/>
  <c r="H24" i="1"/>
  <c r="H23" i="1"/>
  <c r="H22" i="1"/>
  <c r="I21" i="1"/>
  <c r="A78" i="15" l="1"/>
  <c r="I77" i="15"/>
  <c r="Y24" i="1"/>
  <c r="Y34" i="1"/>
  <c r="Y22" i="1"/>
  <c r="Y50" i="1" s="1"/>
  <c r="Y38" i="1"/>
  <c r="Q31" i="1"/>
  <c r="Q23" i="1"/>
  <c r="M34" i="1"/>
  <c r="M22" i="1"/>
  <c r="M50" i="1" s="1"/>
  <c r="M35" i="1"/>
  <c r="M32" i="1"/>
  <c r="M30" i="1"/>
  <c r="M23" i="1"/>
  <c r="M42" i="1"/>
  <c r="I32" i="1"/>
  <c r="I23" i="1"/>
  <c r="I38" i="1"/>
  <c r="I22" i="1"/>
  <c r="I50" i="1" s="1"/>
  <c r="I20" i="1"/>
  <c r="I35" i="1"/>
  <c r="U47" i="1"/>
  <c r="X46" i="1"/>
  <c r="X47" i="1" s="1"/>
  <c r="T46" i="1"/>
  <c r="T47" i="1" s="1"/>
  <c r="I78" i="15" l="1"/>
  <c r="A79" i="15"/>
  <c r="Y46" i="1"/>
  <c r="Y47" i="1" s="1"/>
  <c r="M46" i="1"/>
  <c r="M47" i="1" s="1"/>
  <c r="Q46" i="1"/>
  <c r="Q47" i="1" s="1"/>
  <c r="I46" i="1"/>
  <c r="I47" i="1" s="1"/>
  <c r="A80" i="15" l="1"/>
  <c r="I79" i="15"/>
  <c r="D45" i="1"/>
  <c r="BI45" i="1" s="1"/>
  <c r="BL45" i="1" s="1"/>
  <c r="E45" i="1"/>
  <c r="A81" i="15" l="1"/>
  <c r="I80" i="15"/>
  <c r="F45" i="1"/>
  <c r="J45" i="1" s="1"/>
  <c r="N45" i="1" s="1"/>
  <c r="R45" i="1" s="1"/>
  <c r="V45" i="1" s="1"/>
  <c r="Z45" i="1" s="1"/>
  <c r="AD45" i="1" s="1"/>
  <c r="AH45" i="1" s="1"/>
  <c r="AL45" i="1" s="1"/>
  <c r="AP45" i="1" s="1"/>
  <c r="AT45" i="1" s="1"/>
  <c r="AX45" i="1" s="1"/>
  <c r="I81" i="15" l="1"/>
  <c r="A82" i="15"/>
  <c r="I82" i="15" s="1"/>
  <c r="B5" i="14" s="1"/>
  <c r="E10" i="14" s="1"/>
  <c r="E11" i="14" s="1"/>
  <c r="B13" i="14" s="1"/>
  <c r="D44" i="1"/>
  <c r="BI44" i="1" s="1"/>
  <c r="BL44" i="1" s="1"/>
  <c r="D43" i="1"/>
  <c r="BI43" i="1" s="1"/>
  <c r="BL43" i="1" s="1"/>
  <c r="D42" i="1"/>
  <c r="BI42" i="1" s="1"/>
  <c r="BL42" i="1" s="1"/>
  <c r="D41" i="1"/>
  <c r="D38" i="1"/>
  <c r="BI38" i="1" s="1"/>
  <c r="BL38" i="1" s="1"/>
  <c r="D37" i="1"/>
  <c r="BI37" i="1" s="1"/>
  <c r="BL37" i="1" s="1"/>
  <c r="D36" i="1"/>
  <c r="BI36" i="1" s="1"/>
  <c r="BL36" i="1" s="1"/>
  <c r="D33" i="1"/>
  <c r="BI33" i="1" s="1"/>
  <c r="BL33" i="1" s="1"/>
  <c r="D31" i="1"/>
  <c r="BI31" i="1" s="1"/>
  <c r="BL31" i="1" s="1"/>
  <c r="D29" i="1"/>
  <c r="BI29" i="1" s="1"/>
  <c r="BL29" i="1" s="1"/>
  <c r="D28" i="1"/>
  <c r="BI28" i="1" s="1"/>
  <c r="BL28" i="1" s="1"/>
  <c r="D25" i="1"/>
  <c r="BI25" i="1" s="1"/>
  <c r="BL25" i="1" s="1"/>
  <c r="D24" i="1"/>
  <c r="BI24" i="1" s="1"/>
  <c r="BL24" i="1" s="1"/>
  <c r="E21" i="1"/>
  <c r="D24" i="15" l="1"/>
  <c r="M6" i="14"/>
  <c r="B15" i="14"/>
  <c r="K6" i="14" s="1"/>
  <c r="L7" i="14" s="1"/>
  <c r="M7" i="14" s="1"/>
  <c r="E17" i="14"/>
  <c r="D39" i="1"/>
  <c r="BI39" i="1" s="1"/>
  <c r="BL39" i="1" s="1"/>
  <c r="D34" i="1"/>
  <c r="BI34" i="1" s="1"/>
  <c r="BL34" i="1" s="1"/>
  <c r="D32" i="1"/>
  <c r="BI32" i="1" s="1"/>
  <c r="BL32" i="1" s="1"/>
  <c r="D30" i="1"/>
  <c r="BI30" i="1" s="1"/>
  <c r="BL30" i="1" s="1"/>
  <c r="D27" i="1"/>
  <c r="BI27" i="1" s="1"/>
  <c r="BL27" i="1" s="1"/>
  <c r="D23" i="1"/>
  <c r="BI23" i="1" s="1"/>
  <c r="BL23" i="1" s="1"/>
  <c r="D22" i="1"/>
  <c r="BI22" i="1" s="1"/>
  <c r="BL22" i="1" s="1"/>
  <c r="D21" i="1"/>
  <c r="E27" i="1"/>
  <c r="E40" i="1"/>
  <c r="E42" i="1"/>
  <c r="F42" i="1" s="1"/>
  <c r="J42" i="1" s="1"/>
  <c r="N42" i="1" s="1"/>
  <c r="R42" i="1" s="1"/>
  <c r="V42" i="1" s="1"/>
  <c r="Z42" i="1" s="1"/>
  <c r="AD42" i="1" s="1"/>
  <c r="AH42" i="1" s="1"/>
  <c r="AL42" i="1" s="1"/>
  <c r="AP42" i="1" s="1"/>
  <c r="AT42" i="1" s="1"/>
  <c r="AX42" i="1" s="1"/>
  <c r="E25" i="1"/>
  <c r="F25" i="1" s="1"/>
  <c r="J25" i="1" s="1"/>
  <c r="N25" i="1" s="1"/>
  <c r="R25" i="1" s="1"/>
  <c r="V25" i="1" s="1"/>
  <c r="Z25" i="1" s="1"/>
  <c r="AD25" i="1" s="1"/>
  <c r="AH25" i="1" s="1"/>
  <c r="AL25" i="1" s="1"/>
  <c r="AP25" i="1" s="1"/>
  <c r="AT25" i="1" s="1"/>
  <c r="AX25" i="1" s="1"/>
  <c r="BN25" i="1" s="1"/>
  <c r="E36" i="1"/>
  <c r="F36" i="1" s="1"/>
  <c r="J36" i="1" s="1"/>
  <c r="N36" i="1" s="1"/>
  <c r="R36" i="1" s="1"/>
  <c r="V36" i="1" s="1"/>
  <c r="Z36" i="1" s="1"/>
  <c r="AD36" i="1" s="1"/>
  <c r="AH36" i="1" s="1"/>
  <c r="AL36" i="1" s="1"/>
  <c r="AP36" i="1" s="1"/>
  <c r="AT36" i="1" s="1"/>
  <c r="AX36" i="1" s="1"/>
  <c r="E38" i="1"/>
  <c r="E28" i="1"/>
  <c r="F28" i="1" s="1"/>
  <c r="J28" i="1" s="1"/>
  <c r="N28" i="1" s="1"/>
  <c r="R28" i="1" s="1"/>
  <c r="V28" i="1" s="1"/>
  <c r="Z28" i="1" s="1"/>
  <c r="AD28" i="1" s="1"/>
  <c r="AH28" i="1" s="1"/>
  <c r="AL28" i="1" s="1"/>
  <c r="AP28" i="1" s="1"/>
  <c r="AT28" i="1" s="1"/>
  <c r="AX28" i="1" s="1"/>
  <c r="BN28" i="1" s="1"/>
  <c r="E30" i="1"/>
  <c r="E32" i="1"/>
  <c r="E34" i="1"/>
  <c r="E22" i="1"/>
  <c r="E50" i="1" s="1"/>
  <c r="E44" i="1"/>
  <c r="F44" i="1" s="1"/>
  <c r="J44" i="1" s="1"/>
  <c r="N44" i="1" s="1"/>
  <c r="R44" i="1" s="1"/>
  <c r="V44" i="1" s="1"/>
  <c r="Z44" i="1" s="1"/>
  <c r="AD44" i="1" s="1"/>
  <c r="AH44" i="1" s="1"/>
  <c r="AL44" i="1" s="1"/>
  <c r="AP44" i="1" s="1"/>
  <c r="AT44" i="1" s="1"/>
  <c r="AX44" i="1" s="1"/>
  <c r="E24" i="1"/>
  <c r="F24" i="1" s="1"/>
  <c r="J24" i="1" s="1"/>
  <c r="N24" i="1" s="1"/>
  <c r="R24" i="1" s="1"/>
  <c r="V24" i="1" s="1"/>
  <c r="Z24" i="1" s="1"/>
  <c r="AD24" i="1" s="1"/>
  <c r="E26" i="1"/>
  <c r="E23" i="1"/>
  <c r="F23" i="1" s="1"/>
  <c r="J23" i="1" s="1"/>
  <c r="N23" i="1" s="1"/>
  <c r="R23" i="1" s="1"/>
  <c r="V23" i="1" s="1"/>
  <c r="Z23" i="1" s="1"/>
  <c r="AD23" i="1" s="1"/>
  <c r="AH23" i="1" s="1"/>
  <c r="AL23" i="1" s="1"/>
  <c r="AP23" i="1" s="1"/>
  <c r="AT23" i="1" s="1"/>
  <c r="AX23" i="1" s="1"/>
  <c r="BN23" i="1" s="1"/>
  <c r="E29" i="1"/>
  <c r="F29" i="1" s="1"/>
  <c r="J29" i="1" s="1"/>
  <c r="N29" i="1" s="1"/>
  <c r="R29" i="1" s="1"/>
  <c r="V29" i="1" s="1"/>
  <c r="Z29" i="1" s="1"/>
  <c r="AD29" i="1" s="1"/>
  <c r="AH29" i="1" s="1"/>
  <c r="AL29" i="1" s="1"/>
  <c r="AP29" i="1" s="1"/>
  <c r="AT29" i="1" s="1"/>
  <c r="E31" i="1"/>
  <c r="F31" i="1" s="1"/>
  <c r="J31" i="1" s="1"/>
  <c r="N31" i="1" s="1"/>
  <c r="R31" i="1" s="1"/>
  <c r="V31" i="1" s="1"/>
  <c r="Z31" i="1" s="1"/>
  <c r="AD31" i="1" s="1"/>
  <c r="AH31" i="1" s="1"/>
  <c r="AL31" i="1" s="1"/>
  <c r="AP31" i="1" s="1"/>
  <c r="AT31" i="1" s="1"/>
  <c r="E33" i="1"/>
  <c r="F33" i="1" s="1"/>
  <c r="J33" i="1" s="1"/>
  <c r="N33" i="1" s="1"/>
  <c r="R33" i="1" s="1"/>
  <c r="V33" i="1" s="1"/>
  <c r="Z33" i="1" s="1"/>
  <c r="AD33" i="1" s="1"/>
  <c r="AH33" i="1" s="1"/>
  <c r="AL33" i="1" s="1"/>
  <c r="AP33" i="1" s="1"/>
  <c r="AT33" i="1" s="1"/>
  <c r="AX33" i="1" s="1"/>
  <c r="E35" i="1"/>
  <c r="E37" i="1"/>
  <c r="F37" i="1" s="1"/>
  <c r="J37" i="1" s="1"/>
  <c r="N37" i="1" s="1"/>
  <c r="R37" i="1" s="1"/>
  <c r="V37" i="1" s="1"/>
  <c r="Z37" i="1" s="1"/>
  <c r="AD37" i="1" s="1"/>
  <c r="AH37" i="1" s="1"/>
  <c r="AL37" i="1" s="1"/>
  <c r="AP37" i="1" s="1"/>
  <c r="AT37" i="1" s="1"/>
  <c r="AX37" i="1" s="1"/>
  <c r="E39" i="1"/>
  <c r="E41" i="1"/>
  <c r="F41" i="1" s="1"/>
  <c r="J41" i="1" s="1"/>
  <c r="N41" i="1" s="1"/>
  <c r="R41" i="1" s="1"/>
  <c r="V41" i="1" s="1"/>
  <c r="Z41" i="1" s="1"/>
  <c r="AD41" i="1" s="1"/>
  <c r="AH41" i="1" s="1"/>
  <c r="AL41" i="1" s="1"/>
  <c r="E43" i="1"/>
  <c r="F43" i="1" s="1"/>
  <c r="J43" i="1" s="1"/>
  <c r="N43" i="1" s="1"/>
  <c r="R43" i="1" s="1"/>
  <c r="V43" i="1" s="1"/>
  <c r="Z43" i="1" s="1"/>
  <c r="AD43" i="1" s="1"/>
  <c r="AH43" i="1" s="1"/>
  <c r="AL43" i="1" s="1"/>
  <c r="AP43" i="1" s="1"/>
  <c r="AT43" i="1" s="1"/>
  <c r="AX31" i="1" l="1"/>
  <c r="BN31" i="1"/>
  <c r="AX29" i="1"/>
  <c r="BN29" i="1"/>
  <c r="K7" i="14"/>
  <c r="F30" i="1"/>
  <c r="J30" i="1" s="1"/>
  <c r="N30" i="1" s="1"/>
  <c r="R30" i="1" s="1"/>
  <c r="V30" i="1" s="1"/>
  <c r="Z30" i="1" s="1"/>
  <c r="AD30" i="1" s="1"/>
  <c r="AH30" i="1" s="1"/>
  <c r="AL30" i="1" s="1"/>
  <c r="AP30" i="1" s="1"/>
  <c r="AT30" i="1" s="1"/>
  <c r="F21" i="1"/>
  <c r="J21" i="1" s="1"/>
  <c r="N21" i="1" s="1"/>
  <c r="R21" i="1" s="1"/>
  <c r="V21" i="1" s="1"/>
  <c r="Z21" i="1" s="1"/>
  <c r="AD21" i="1" s="1"/>
  <c r="AH21" i="1" s="1"/>
  <c r="AL21" i="1" s="1"/>
  <c r="AP21" i="1" s="1"/>
  <c r="AT21" i="1" s="1"/>
  <c r="AX21" i="1" s="1"/>
  <c r="BN21" i="1" s="1"/>
  <c r="BI21" i="1"/>
  <c r="BL21" i="1" s="1"/>
  <c r="E24" i="15"/>
  <c r="E83" i="15" s="1"/>
  <c r="D83" i="15"/>
  <c r="AX43" i="1"/>
  <c r="A480" i="12"/>
  <c r="AY34" i="1"/>
  <c r="F34" i="1"/>
  <c r="J34" i="1" s="1"/>
  <c r="N34" i="1" s="1"/>
  <c r="R34" i="1" s="1"/>
  <c r="V34" i="1" s="1"/>
  <c r="Z34" i="1" s="1"/>
  <c r="AD34" i="1" s="1"/>
  <c r="AH34" i="1" s="1"/>
  <c r="AL34" i="1" s="1"/>
  <c r="AP34" i="1" s="1"/>
  <c r="AT34" i="1" s="1"/>
  <c r="F27" i="1"/>
  <c r="J27" i="1" s="1"/>
  <c r="N27" i="1" s="1"/>
  <c r="R27" i="1" s="1"/>
  <c r="V27" i="1" s="1"/>
  <c r="Z27" i="1" s="1"/>
  <c r="AD27" i="1" s="1"/>
  <c r="AH27" i="1" s="1"/>
  <c r="AL27" i="1" s="1"/>
  <c r="AP27" i="1" s="1"/>
  <c r="AT27" i="1" s="1"/>
  <c r="AX27" i="1" s="1"/>
  <c r="BN27" i="1" s="1"/>
  <c r="AH24" i="1"/>
  <c r="F39" i="1"/>
  <c r="J39" i="1" s="1"/>
  <c r="N39" i="1" s="1"/>
  <c r="R39" i="1" s="1"/>
  <c r="V39" i="1" s="1"/>
  <c r="Z39" i="1" s="1"/>
  <c r="AD39" i="1" s="1"/>
  <c r="AH39" i="1" s="1"/>
  <c r="AL39" i="1" s="1"/>
  <c r="AP39" i="1" s="1"/>
  <c r="AT39" i="1" s="1"/>
  <c r="AX39" i="1" s="1"/>
  <c r="F22" i="1"/>
  <c r="J22" i="1" s="1"/>
  <c r="N22" i="1" s="1"/>
  <c r="R22" i="1" s="1"/>
  <c r="V22" i="1" s="1"/>
  <c r="Z22" i="1" s="1"/>
  <c r="AD22" i="1" s="1"/>
  <c r="AH22" i="1" s="1"/>
  <c r="AL22" i="1" s="1"/>
  <c r="AP22" i="1" s="1"/>
  <c r="AT22" i="1" s="1"/>
  <c r="AX22" i="1" s="1"/>
  <c r="BN22" i="1" s="1"/>
  <c r="F32" i="1"/>
  <c r="J32" i="1" s="1"/>
  <c r="N32" i="1" s="1"/>
  <c r="R32" i="1" s="1"/>
  <c r="V32" i="1" s="1"/>
  <c r="Z32" i="1" s="1"/>
  <c r="AD32" i="1" s="1"/>
  <c r="AH32" i="1" s="1"/>
  <c r="AL32" i="1" s="1"/>
  <c r="AP32" i="1" s="1"/>
  <c r="AT32" i="1" s="1"/>
  <c r="AX32" i="1" s="1"/>
  <c r="BN32" i="1" s="1"/>
  <c r="F38" i="1"/>
  <c r="J38" i="1" s="1"/>
  <c r="N38" i="1" s="1"/>
  <c r="R38" i="1" s="1"/>
  <c r="V38" i="1" s="1"/>
  <c r="Z38" i="1" s="1"/>
  <c r="AD38" i="1" s="1"/>
  <c r="AH38" i="1" s="1"/>
  <c r="AL38" i="1" s="1"/>
  <c r="AP38" i="1" s="1"/>
  <c r="AT38" i="1" s="1"/>
  <c r="AX30" i="1" l="1"/>
  <c r="BN30" i="1"/>
  <c r="AX34" i="1"/>
  <c r="BN34" i="1"/>
  <c r="AX38" i="1"/>
  <c r="BN38" i="1"/>
  <c r="L8" i="14"/>
  <c r="K8" i="14"/>
  <c r="AL24" i="1"/>
  <c r="B46" i="1"/>
  <c r="C47" i="1" s="1"/>
  <c r="L9" i="14" l="1"/>
  <c r="M9" i="14" s="1"/>
  <c r="K9" i="14"/>
  <c r="M8" i="14"/>
  <c r="AP24" i="1"/>
  <c r="D40" i="1"/>
  <c r="BI40" i="1" s="1"/>
  <c r="BL40" i="1" s="1"/>
  <c r="E20" i="1"/>
  <c r="D26" i="1"/>
  <c r="BI26" i="1" s="1"/>
  <c r="BL26" i="1" s="1"/>
  <c r="D20" i="1"/>
  <c r="BI20" i="1" s="1"/>
  <c r="BL20" i="1" s="1"/>
  <c r="L10" i="14" l="1"/>
  <c r="K10" i="14"/>
  <c r="L11" i="14" s="1"/>
  <c r="E46" i="1"/>
  <c r="E47" i="1" s="1"/>
  <c r="AT24" i="1"/>
  <c r="F40" i="1"/>
  <c r="J40" i="1" s="1"/>
  <c r="F26" i="1"/>
  <c r="J26" i="1" s="1"/>
  <c r="N26" i="1" s="1"/>
  <c r="R26" i="1" s="1"/>
  <c r="V26" i="1" s="1"/>
  <c r="Z26" i="1" s="1"/>
  <c r="AD26" i="1" s="1"/>
  <c r="AH26" i="1" s="1"/>
  <c r="AL26" i="1" s="1"/>
  <c r="AP26" i="1" s="1"/>
  <c r="AT26" i="1" s="1"/>
  <c r="AX26" i="1" s="1"/>
  <c r="BN26" i="1" s="1"/>
  <c r="F20" i="1"/>
  <c r="J20" i="1" s="1"/>
  <c r="N20" i="1" s="1"/>
  <c r="R20" i="1" s="1"/>
  <c r="V20" i="1" s="1"/>
  <c r="Z20" i="1" s="1"/>
  <c r="AD20" i="1" s="1"/>
  <c r="AH20" i="1" s="1"/>
  <c r="AL20" i="1" s="1"/>
  <c r="AP20" i="1" s="1"/>
  <c r="AT20" i="1" s="1"/>
  <c r="D35" i="1"/>
  <c r="P46" i="1"/>
  <c r="P47" i="1" s="1"/>
  <c r="L46" i="1"/>
  <c r="L47" i="1" s="1"/>
  <c r="H46" i="1"/>
  <c r="H47" i="1" s="1"/>
  <c r="AY20" i="1"/>
  <c r="BB20" i="1" s="1"/>
  <c r="AY24" i="1"/>
  <c r="BB24" i="1" s="1"/>
  <c r="AY37" i="1"/>
  <c r="BB37" i="1" s="1"/>
  <c r="AY45" i="1"/>
  <c r="BB45" i="1" s="1"/>
  <c r="AY39" i="1"/>
  <c r="BB39" i="1" s="1"/>
  <c r="AY31" i="1"/>
  <c r="BB31" i="1" s="1"/>
  <c r="AY33" i="1"/>
  <c r="BB33" i="1" s="1"/>
  <c r="BB36" i="1"/>
  <c r="AY44" i="1"/>
  <c r="BB44" i="1" s="1"/>
  <c r="AY21" i="1"/>
  <c r="AY26" i="1"/>
  <c r="AY27" i="1"/>
  <c r="AY28" i="1"/>
  <c r="AY25" i="1"/>
  <c r="AY22" i="1"/>
  <c r="AY35" i="1"/>
  <c r="AY40" i="1"/>
  <c r="AY42" i="1"/>
  <c r="AY32" i="1"/>
  <c r="AY41" i="1"/>
  <c r="AY23" i="1"/>
  <c r="AY29" i="1"/>
  <c r="AY30" i="1"/>
  <c r="AY43" i="1"/>
  <c r="AY38" i="1"/>
  <c r="AX20" i="1" l="1"/>
  <c r="BN20" i="1"/>
  <c r="AX24" i="1"/>
  <c r="BN24" i="1"/>
  <c r="D46" i="1"/>
  <c r="D47" i="1" s="1"/>
  <c r="BI35" i="1"/>
  <c r="BL35" i="1" s="1"/>
  <c r="K11" i="14"/>
  <c r="M11" i="14"/>
  <c r="M10" i="14"/>
  <c r="L13" i="14"/>
  <c r="B22" i="14"/>
  <c r="C22" i="14" s="1"/>
  <c r="N40" i="1"/>
  <c r="R40" i="1" s="1"/>
  <c r="V40" i="1" s="1"/>
  <c r="Z40" i="1" s="1"/>
  <c r="AD40" i="1" s="1"/>
  <c r="AH40" i="1" s="1"/>
  <c r="AL40" i="1" s="1"/>
  <c r="AP40" i="1" s="1"/>
  <c r="AT40" i="1" s="1"/>
  <c r="AX40" i="1" s="1"/>
  <c r="F35" i="1"/>
  <c r="J35" i="1" s="1"/>
  <c r="N35" i="1" s="1"/>
  <c r="R35" i="1" s="1"/>
  <c r="V35" i="1" s="1"/>
  <c r="Z35" i="1" s="1"/>
  <c r="AD35" i="1" s="1"/>
  <c r="BB38" i="1"/>
  <c r="BB32" i="1"/>
  <c r="BB41" i="1"/>
  <c r="BB43" i="1"/>
  <c r="BB42" i="1"/>
  <c r="BB34" i="1"/>
  <c r="BB30" i="1"/>
  <c r="BB25" i="1"/>
  <c r="BB27" i="1"/>
  <c r="BB21" i="1"/>
  <c r="BB29" i="1"/>
  <c r="AY46" i="1"/>
  <c r="AZ30" i="1" s="1"/>
  <c r="BB40" i="1"/>
  <c r="BB22" i="1"/>
  <c r="BB23" i="1"/>
  <c r="BB28" i="1"/>
  <c r="BB35" i="1"/>
  <c r="BB26" i="1"/>
  <c r="M13" i="14" l="1"/>
  <c r="B23" i="14"/>
  <c r="C34" i="14"/>
  <c r="C35" i="14" s="1"/>
  <c r="AH35" i="1"/>
  <c r="AD46" i="1"/>
  <c r="AE47" i="1" s="1"/>
  <c r="F46" i="1"/>
  <c r="G47" i="1" s="1"/>
  <c r="N46" i="1"/>
  <c r="O47" i="1" s="1"/>
  <c r="J46" i="1"/>
  <c r="K47" i="1" s="1"/>
  <c r="V46" i="1"/>
  <c r="W47" i="1" s="1"/>
  <c r="Z46" i="1"/>
  <c r="AA47" i="1" s="1"/>
  <c r="AZ26" i="1"/>
  <c r="BB46" i="1"/>
  <c r="AZ44" i="1"/>
  <c r="AZ45" i="1"/>
  <c r="AZ24" i="1"/>
  <c r="AZ33" i="1"/>
  <c r="AZ31" i="1"/>
  <c r="AZ20" i="1"/>
  <c r="AZ36" i="1"/>
  <c r="AZ39" i="1"/>
  <c r="AZ37" i="1"/>
  <c r="AZ32" i="1"/>
  <c r="AZ21" i="1"/>
  <c r="AZ34" i="1"/>
  <c r="AZ41" i="1"/>
  <c r="AZ27" i="1"/>
  <c r="AZ28" i="1"/>
  <c r="AZ29" i="1"/>
  <c r="AZ25" i="1"/>
  <c r="AZ35" i="1"/>
  <c r="AZ22" i="1"/>
  <c r="AZ43" i="1"/>
  <c r="AZ38" i="1"/>
  <c r="AZ23" i="1"/>
  <c r="AZ40" i="1"/>
  <c r="AZ42" i="1"/>
  <c r="BB48" i="1" l="1"/>
  <c r="AL35" i="1"/>
  <c r="AH46" i="1"/>
  <c r="AI47" i="1" s="1"/>
  <c r="BA40" i="1"/>
  <c r="BA27" i="1"/>
  <c r="BA23" i="1"/>
  <c r="BA43" i="1"/>
  <c r="BA20" i="1"/>
  <c r="BA38" i="1"/>
  <c r="BA41" i="1"/>
  <c r="BA31" i="1"/>
  <c r="BA33" i="1"/>
  <c r="BA21" i="1"/>
  <c r="BA24" i="1"/>
  <c r="BA35" i="1"/>
  <c r="BA45" i="1"/>
  <c r="BA34" i="1"/>
  <c r="BA22" i="1"/>
  <c r="BA32" i="1"/>
  <c r="BA25" i="1"/>
  <c r="BA37" i="1"/>
  <c r="BA44" i="1"/>
  <c r="BA42" i="1"/>
  <c r="BA29" i="1"/>
  <c r="BA39" i="1"/>
  <c r="BA28" i="1"/>
  <c r="BA36" i="1"/>
  <c r="BA26" i="1"/>
  <c r="BA30" i="1"/>
  <c r="AP35" i="1" l="1"/>
  <c r="AL46" i="1"/>
  <c r="AM47" i="1" s="1"/>
  <c r="R46" i="1"/>
  <c r="S47" i="1" s="1"/>
  <c r="AT35" i="1" l="1"/>
  <c r="AX35" i="1" s="1"/>
  <c r="BN35" i="1" s="1"/>
  <c r="A7" i="12" l="1"/>
  <c r="A7" i="13" s="1"/>
  <c r="A10" i="12"/>
  <c r="A10" i="13" s="1"/>
  <c r="A11" i="12"/>
  <c r="A11" i="13" s="1"/>
  <c r="A13" i="3" l="1"/>
  <c r="A13" i="4" s="1"/>
  <c r="A6" i="3"/>
  <c r="A13" i="5" l="1"/>
  <c r="A13" i="6" s="1"/>
  <c r="A13" i="7" s="1"/>
  <c r="A13" i="8" s="1"/>
  <c r="A13" i="9" s="1"/>
  <c r="A6" i="4"/>
  <c r="A6" i="5" l="1"/>
  <c r="A6" i="6" l="1"/>
  <c r="A6" i="7" l="1"/>
  <c r="A6" i="8" l="1"/>
  <c r="A6" i="9" s="1"/>
  <c r="A8" i="3"/>
  <c r="A8" i="4" s="1"/>
  <c r="A8" i="5" s="1"/>
  <c r="A8" i="6" s="1"/>
  <c r="A8" i="7" s="1"/>
  <c r="A8" i="8" s="1"/>
  <c r="A8" i="9" s="1"/>
  <c r="A11" i="3"/>
  <c r="A11" i="4"/>
  <c r="A11" i="5" s="1"/>
  <c r="A11" i="6" s="1"/>
  <c r="A11" i="7" s="1"/>
  <c r="A11" i="8" s="1"/>
  <c r="A11" i="9" s="1"/>
  <c r="A9" i="3"/>
  <c r="A9" i="4" s="1"/>
  <c r="A9" i="5" s="1"/>
  <c r="A9" i="6" s="1"/>
  <c r="A9" i="7" s="1"/>
  <c r="A9" i="8" s="1"/>
  <c r="A9" i="9" s="1"/>
  <c r="A9" i="10" s="1"/>
  <c r="A9" i="11" s="1"/>
  <c r="A9" i="12" s="1"/>
  <c r="A9" i="13" s="1"/>
  <c r="A12" i="3"/>
  <c r="A12" i="4"/>
  <c r="A12" i="5"/>
  <c r="A12" i="6" s="1"/>
  <c r="A12" i="7" s="1"/>
  <c r="A12" i="8" s="1"/>
  <c r="A12" i="9" s="1"/>
  <c r="A10" i="3"/>
  <c r="A10" i="4"/>
  <c r="A10" i="5"/>
  <c r="A10" i="6"/>
  <c r="A10" i="7" s="1"/>
  <c r="A10" i="8" s="1"/>
  <c r="A10" i="9" s="1"/>
  <c r="A7" i="3"/>
  <c r="A7" i="4" s="1"/>
  <c r="A6" i="10" l="1"/>
  <c r="A7" i="5"/>
  <c r="A6" i="11" l="1"/>
  <c r="A7" i="6"/>
  <c r="A6" i="12" l="1"/>
  <c r="A7" i="7"/>
  <c r="A6" i="13" l="1"/>
  <c r="A7" i="8"/>
  <c r="A7" i="9" s="1"/>
  <c r="A16" i="3"/>
  <c r="A16" i="4" s="1"/>
  <c r="A16" i="5" s="1"/>
  <c r="A16" i="6" s="1"/>
  <c r="A16" i="7" s="1"/>
  <c r="A16" i="8" s="1"/>
  <c r="A16" i="9" s="1"/>
  <c r="A15" i="3"/>
  <c r="A15" i="4" s="1"/>
  <c r="A15" i="5" s="1"/>
  <c r="A15" i="6" s="1"/>
  <c r="A15" i="7" s="1"/>
  <c r="A15" i="8" s="1"/>
  <c r="A15" i="9" s="1"/>
  <c r="A13" i="10" s="1"/>
  <c r="A13" i="11" s="1"/>
  <c r="A13" i="12" s="1"/>
  <c r="A13" i="13" s="1"/>
  <c r="A20" i="2"/>
  <c r="A14" i="3"/>
  <c r="A20" i="3" s="1"/>
  <c r="A14" i="4" l="1"/>
  <c r="A20" i="4" l="1"/>
  <c r="A14" i="5"/>
  <c r="A14" i="6" l="1"/>
  <c r="A20" i="5"/>
  <c r="A14" i="7" l="1"/>
  <c r="A20" i="6"/>
  <c r="A20" i="7" l="1"/>
  <c r="A14" i="8"/>
  <c r="B440" i="11"/>
  <c r="AN41" i="1" s="1"/>
  <c r="A20" i="8" l="1"/>
  <c r="A14" i="9"/>
  <c r="AP41" i="1"/>
  <c r="AR41" i="1"/>
  <c r="AR46" i="1" s="1"/>
  <c r="AR47" i="1" s="1"/>
  <c r="AP46" i="1"/>
  <c r="AQ47" i="1" s="1"/>
  <c r="AN46" i="1"/>
  <c r="AN47" i="1" s="1"/>
  <c r="A12" i="10" l="1"/>
  <c r="A20" i="9"/>
  <c r="AT41" i="1"/>
  <c r="B440" i="13" l="1"/>
  <c r="AV41" i="1" s="1"/>
  <c r="AX41" i="1" s="1"/>
  <c r="AX46" i="1" s="1"/>
  <c r="AT46" i="1"/>
  <c r="AU47" i="1" s="1"/>
  <c r="A12" i="11"/>
  <c r="A20" i="10"/>
  <c r="A22" i="10" s="1"/>
  <c r="BN41" i="1" l="1"/>
  <c r="BN46" i="1" s="1"/>
  <c r="AV46" i="1"/>
  <c r="AV47" i="1" s="1"/>
  <c r="BI41" i="1"/>
  <c r="A12" i="12"/>
  <c r="A20" i="11"/>
  <c r="BL41" i="1" l="1"/>
  <c r="BL46" i="1" s="1"/>
  <c r="BI46" i="1"/>
  <c r="BJ41" i="1" s="1"/>
  <c r="A12" i="13"/>
  <c r="A20" i="13" s="1"/>
  <c r="A20" i="12"/>
  <c r="BJ37" i="1" l="1"/>
  <c r="BJ27" i="1"/>
  <c r="BJ32" i="1"/>
  <c r="BJ34" i="1"/>
  <c r="BJ36" i="1"/>
  <c r="BJ24" i="1"/>
  <c r="BJ22" i="1"/>
  <c r="BJ43" i="1"/>
  <c r="BJ33" i="1"/>
  <c r="BJ26" i="1"/>
  <c r="BJ25" i="1"/>
  <c r="BJ45" i="1"/>
  <c r="BJ44" i="1"/>
  <c r="BJ31" i="1"/>
  <c r="BJ21" i="1"/>
  <c r="BJ35" i="1"/>
  <c r="BJ30" i="1"/>
  <c r="BJ40" i="1"/>
  <c r="BJ42" i="1"/>
  <c r="BJ39" i="1"/>
  <c r="BJ23" i="1"/>
  <c r="BJ20" i="1"/>
  <c r="BJ38" i="1"/>
  <c r="BJ28" i="1"/>
  <c r="BJ29" i="1"/>
  <c r="BK31" i="1" l="1"/>
  <c r="BK38" i="1"/>
  <c r="BK36" i="1"/>
  <c r="BK21" i="1"/>
  <c r="BK34" i="1"/>
  <c r="BK22" i="1"/>
  <c r="BK32" i="1"/>
  <c r="BK24" i="1"/>
  <c r="BK44" i="1"/>
  <c r="BK45" i="1"/>
  <c r="BK40" i="1"/>
  <c r="BK27" i="1"/>
  <c r="BK37" i="1"/>
  <c r="BK20" i="1"/>
  <c r="BK23" i="1"/>
  <c r="BK39" i="1"/>
  <c r="BK42" i="1"/>
  <c r="BK25" i="1"/>
  <c r="BK26" i="1"/>
  <c r="BK29" i="1"/>
  <c r="BK30" i="1"/>
  <c r="BK33" i="1"/>
  <c r="BK28" i="1"/>
  <c r="BK35" i="1"/>
  <c r="BK43" i="1"/>
  <c r="BK41" i="1"/>
</calcChain>
</file>

<file path=xl/sharedStrings.xml><?xml version="1.0" encoding="utf-8"?>
<sst xmlns="http://schemas.openxmlformats.org/spreadsheetml/2006/main" count="5457" uniqueCount="787">
  <si>
    <t>ENERO</t>
  </si>
  <si>
    <t>FEBRERO</t>
  </si>
  <si>
    <t>MARZO</t>
  </si>
  <si>
    <t>ABRIL</t>
  </si>
  <si>
    <t>SALDO REAL</t>
  </si>
  <si>
    <t>TOTAL</t>
  </si>
  <si>
    <t>INGRESOS</t>
  </si>
  <si>
    <t>Cobrado</t>
  </si>
  <si>
    <t>INGRESOS ANUALALES</t>
  </si>
  <si>
    <t>GASTOS</t>
  </si>
  <si>
    <t>Aportación</t>
  </si>
  <si>
    <t>Gasto</t>
  </si>
  <si>
    <t>Final</t>
  </si>
  <si>
    <t>GASTOS ANUALES</t>
  </si>
  <si>
    <t>% de gasto sobre el total</t>
  </si>
  <si>
    <t>Ranking de gastos</t>
  </si>
  <si>
    <t>Gasto medio mensual</t>
  </si>
  <si>
    <t>Comida+Limpieza</t>
  </si>
  <si>
    <t>Ocio</t>
  </si>
  <si>
    <t>Transportes</t>
  </si>
  <si>
    <t>Gatos</t>
  </si>
  <si>
    <t>Vacaciones</t>
  </si>
  <si>
    <t>Ropa</t>
  </si>
  <si>
    <t>Belleza</t>
  </si>
  <si>
    <t>Deportes</t>
  </si>
  <si>
    <t>Regalos</t>
  </si>
  <si>
    <t>Impuestos</t>
  </si>
  <si>
    <t>Gastos Curros</t>
  </si>
  <si>
    <t>Dreamed Holidays</t>
  </si>
  <si>
    <t>Ahorros Colchón</t>
  </si>
  <si>
    <t>OTROS</t>
  </si>
  <si>
    <t>NULO</t>
  </si>
  <si>
    <t>€</t>
  </si>
  <si>
    <t>Concepto</t>
  </si>
  <si>
    <t>Hipoteca Reseva Mensual (400€)</t>
  </si>
  <si>
    <t>Hipoteca</t>
  </si>
  <si>
    <t>Mensual</t>
  </si>
  <si>
    <t>IBI</t>
  </si>
  <si>
    <t>Endesa</t>
  </si>
  <si>
    <t>Comunidad</t>
  </si>
  <si>
    <t>Aqualia</t>
  </si>
  <si>
    <t>Seguro</t>
  </si>
  <si>
    <t>Alquiler</t>
  </si>
  <si>
    <t>Mensual (60€)</t>
  </si>
  <si>
    <t>Electrabel</t>
  </si>
  <si>
    <t>Agua</t>
  </si>
  <si>
    <t>Otros</t>
  </si>
  <si>
    <t>Carrefour</t>
  </si>
  <si>
    <t>Colruyt</t>
  </si>
  <si>
    <t>Lidl</t>
  </si>
  <si>
    <t>Gym</t>
  </si>
  <si>
    <t>Mensual (150€)</t>
  </si>
  <si>
    <t>Gasofa</t>
  </si>
  <si>
    <t>Bus</t>
  </si>
  <si>
    <t>Tren</t>
  </si>
  <si>
    <t>Coche Prestamo</t>
  </si>
  <si>
    <t>Coche  Seguro</t>
  </si>
  <si>
    <t>Internet</t>
  </si>
  <si>
    <t>Base</t>
  </si>
  <si>
    <t>Skype</t>
  </si>
  <si>
    <t>Fijo Mensual (55€)</t>
  </si>
  <si>
    <t>Tom&amp;Co</t>
  </si>
  <si>
    <t>Waterloo</t>
  </si>
  <si>
    <t>Coche</t>
  </si>
  <si>
    <t>Teléfono</t>
  </si>
  <si>
    <t>Financieros</t>
  </si>
  <si>
    <t>Total</t>
  </si>
  <si>
    <t>Mes</t>
  </si>
  <si>
    <t>BE</t>
  </si>
  <si>
    <t>ES</t>
  </si>
  <si>
    <t>Entidad</t>
  </si>
  <si>
    <t>IBAN</t>
  </si>
  <si>
    <t>Saldo a dia 1 de mes (€)</t>
  </si>
  <si>
    <t>Ibercaja</t>
  </si>
  <si>
    <t>ES85 2085 8262 6403 3001 0167</t>
  </si>
  <si>
    <t>ES97 2085 8262 6309 3004 9866</t>
  </si>
  <si>
    <t>ING (BE)</t>
  </si>
  <si>
    <t>BE42 3770 5523 3554 (Lion)</t>
  </si>
  <si>
    <t>BE54 3774 4151 1297 (Deposit)</t>
  </si>
  <si>
    <t>BE52 3631 4505 0709 (Invest REAL)</t>
  </si>
  <si>
    <t>BE52 3631 4505 0709 (Invest EST.)</t>
  </si>
  <si>
    <t>BE94 3635 4959 9414 (Green)</t>
  </si>
  <si>
    <t>Fianza Apartamento, No contabilizada</t>
  </si>
  <si>
    <t>SUMA TOTAL</t>
  </si>
  <si>
    <t>Delheize</t>
  </si>
  <si>
    <t>La Brioche</t>
  </si>
  <si>
    <t>Sequoia</t>
  </si>
  <si>
    <t>Quick</t>
  </si>
  <si>
    <t>Taller</t>
  </si>
  <si>
    <t>Lavado</t>
  </si>
  <si>
    <t>Metro</t>
  </si>
  <si>
    <t>Curro Manolo</t>
  </si>
  <si>
    <t>Curro Rocío</t>
  </si>
  <si>
    <t>Casa</t>
  </si>
  <si>
    <t>Efectivo</t>
  </si>
  <si>
    <t>JUNIO</t>
  </si>
  <si>
    <t>Di</t>
  </si>
  <si>
    <t>Farmacia</t>
  </si>
  <si>
    <t>Action</t>
  </si>
  <si>
    <t>MAYO</t>
  </si>
  <si>
    <t>Seguro (56)</t>
  </si>
  <si>
    <t>Mutua</t>
  </si>
  <si>
    <t>Pilates</t>
  </si>
  <si>
    <t>JULIO</t>
  </si>
  <si>
    <t>AGOSTO</t>
  </si>
  <si>
    <t>Bodas/Parejas</t>
  </si>
  <si>
    <t>Seguros</t>
  </si>
  <si>
    <t>SEPTIEMBRE</t>
  </si>
  <si>
    <t>SEPT…</t>
  </si>
  <si>
    <t>OCTUBRE</t>
  </si>
  <si>
    <t>Café</t>
  </si>
  <si>
    <t>Aldi</t>
  </si>
  <si>
    <t>Fianza Cartama, SI contabilizada</t>
  </si>
  <si>
    <t>NOVIEMBRE</t>
  </si>
  <si>
    <t>NOV…</t>
  </si>
  <si>
    <t>BE49 3635 9162 5571 (Green)</t>
  </si>
  <si>
    <t>Disponible</t>
  </si>
  <si>
    <t>Meses:</t>
  </si>
  <si>
    <t>DICIEMBRE</t>
  </si>
  <si>
    <t>Fija al més (30€)</t>
  </si>
  <si>
    <t>Brico</t>
  </si>
  <si>
    <t>2017 Final</t>
  </si>
  <si>
    <t>Formación</t>
  </si>
  <si>
    <t>Salud</t>
  </si>
  <si>
    <t>Manolo Salario (1)</t>
  </si>
  <si>
    <t>Rocío Salario (2)</t>
  </si>
  <si>
    <t>Rocío en Negro (3)</t>
  </si>
  <si>
    <t>Finanacieros (4)</t>
  </si>
  <si>
    <t>Regalos (5)</t>
  </si>
  <si>
    <t>Gubernamental (6)</t>
  </si>
  <si>
    <t>Mutualite/DKV (7)</t>
  </si>
  <si>
    <t>Alquiler Cartama (8)</t>
  </si>
  <si>
    <t>Otros (9)</t>
  </si>
  <si>
    <t>Notas</t>
  </si>
  <si>
    <t>Cantidad</t>
  </si>
  <si>
    <t>DATOS A INSERTAR</t>
  </si>
  <si>
    <t xml:space="preserve">Plazo (en meses) = </t>
  </si>
  <si>
    <t>Tabla Amortizacion</t>
  </si>
  <si>
    <t>Intereses</t>
  </si>
  <si>
    <t>Amortización</t>
  </si>
  <si>
    <t>Euribor (mensual) =</t>
  </si>
  <si>
    <t>%</t>
  </si>
  <si>
    <t>CÁLCULOS INTERMEDIOS</t>
  </si>
  <si>
    <t>MES_1</t>
  </si>
  <si>
    <t>MES_2</t>
  </si>
  <si>
    <t>MES_3</t>
  </si>
  <si>
    <t xml:space="preserve">F1: (1+(Interés/100)) = </t>
  </si>
  <si>
    <t>MES_4</t>
  </si>
  <si>
    <t xml:space="preserve">F2: F1^(-Plazo) = </t>
  </si>
  <si>
    <t>MES_5</t>
  </si>
  <si>
    <t>RESULTADOS</t>
  </si>
  <si>
    <t>F3: 100*(1-F2) =</t>
  </si>
  <si>
    <t>MES_6</t>
  </si>
  <si>
    <t xml:space="preserve">Cuota Mensual = </t>
  </si>
  <si>
    <t xml:space="preserve">Cuota Intereses = </t>
  </si>
  <si>
    <t>Cuota Amortización =</t>
  </si>
  <si>
    <t xml:space="preserve">Diferencia = </t>
  </si>
  <si>
    <t>ENTRE lo que ponga en G45</t>
  </si>
  <si>
    <t>DIA</t>
  </si>
  <si>
    <t>SUMA</t>
  </si>
  <si>
    <t>Amortización Prevista =</t>
  </si>
  <si>
    <t>Capital Esperado =</t>
  </si>
  <si>
    <t>FECHAS REVISIÓN</t>
  </si>
  <si>
    <t>EURIBOR</t>
  </si>
  <si>
    <t>CUOTA</t>
  </si>
  <si>
    <t>INCREMENTO</t>
  </si>
  <si>
    <t>FECHAS ACTUALIZACIÓN</t>
  </si>
  <si>
    <t>TotalPasivos</t>
  </si>
  <si>
    <t>TotalActivos</t>
  </si>
  <si>
    <t>RIQUEZA MONETARIA</t>
  </si>
  <si>
    <t>fijo</t>
  </si>
  <si>
    <t xml:space="preserve">Total gastado = </t>
  </si>
  <si>
    <t>CA</t>
  </si>
  <si>
    <t>CF</t>
  </si>
  <si>
    <t>Cosas Bélgica</t>
  </si>
  <si>
    <t>ID</t>
  </si>
  <si>
    <t>05555329 42</t>
  </si>
  <si>
    <t>Card</t>
  </si>
  <si>
    <t>6703 3031 3710 9201 1</t>
  </si>
  <si>
    <t>Pw</t>
  </si>
  <si>
    <t xml:space="preserve">Comida </t>
  </si>
  <si>
    <t>Location appartement: 1410 Waterloo - 24 B drève des Dix Mètres</t>
  </si>
  <si>
    <t>001 2760275 22</t>
  </si>
  <si>
    <t>Mr et Mme Bruno Somers – De Watcher</t>
  </si>
  <si>
    <t>5 Avenue des Blés d'Or ; 1410 Waterloo</t>
  </si>
  <si>
    <t>BE06001276027522</t>
  </si>
  <si>
    <t>PPG</t>
  </si>
  <si>
    <t>ES76 1465 0100 93 1710619657</t>
  </si>
  <si>
    <t>Location maison: Allée de l'Aqueduc, 5  à 1410 Waterloo.</t>
  </si>
  <si>
    <t>BE21 9531 2426 0403</t>
  </si>
  <si>
    <t>Mme Sabrina De Greef</t>
  </si>
  <si>
    <t>Fechas</t>
  </si>
  <si>
    <t>Capital Pagado</t>
  </si>
  <si>
    <t>Capital Restante</t>
  </si>
  <si>
    <t>&lt;--</t>
  </si>
  <si>
    <t>IslaTrans Mudanza</t>
  </si>
  <si>
    <t>Reinversion en la casa</t>
  </si>
  <si>
    <t>NOTAS</t>
  </si>
  <si>
    <t>Fecha</t>
  </si>
  <si>
    <t>Base Rocio</t>
  </si>
  <si>
    <t>Vacaciones 17-tarde,18,19,22</t>
  </si>
  <si>
    <t>Horas Vacaciones= 26</t>
  </si>
  <si>
    <t>Restantes = 126</t>
  </si>
  <si>
    <t>Parkings</t>
  </si>
  <si>
    <t>Hogar</t>
  </si>
  <si>
    <t>Ikea</t>
  </si>
  <si>
    <t>Seguro Alquiler</t>
  </si>
  <si>
    <t>Sushi</t>
  </si>
  <si>
    <t>Lion</t>
  </si>
  <si>
    <t>Lion Intereses</t>
  </si>
  <si>
    <t>Green Intereses</t>
  </si>
  <si>
    <t>Ryanair Grecia</t>
  </si>
  <si>
    <t>Venta de acciones MT.AS</t>
  </si>
  <si>
    <t>Cierre operacion MT.AS</t>
  </si>
  <si>
    <t>Beneficios 11% operacion MT.AS</t>
  </si>
  <si>
    <t>CAPAC 17/12</t>
  </si>
  <si>
    <t>Chirec</t>
  </si>
  <si>
    <t>El Rubio</t>
  </si>
  <si>
    <t>Amazon</t>
  </si>
  <si>
    <t>Base Manolo</t>
  </si>
  <si>
    <t>Beneficios Rocio</t>
  </si>
  <si>
    <t>Celio</t>
  </si>
  <si>
    <t>Libanes</t>
  </si>
  <si>
    <t>Allocation famillier</t>
  </si>
  <si>
    <t>IslaTrans(43.62)</t>
  </si>
  <si>
    <t>Mutualite</t>
  </si>
  <si>
    <t>Inimisimi</t>
  </si>
  <si>
    <t>Shishoes</t>
  </si>
  <si>
    <t>Pilatess</t>
  </si>
  <si>
    <t>Babysuite</t>
  </si>
  <si>
    <t>De roover chanta (Chocolate)</t>
  </si>
  <si>
    <t>Dominos</t>
  </si>
  <si>
    <t>Verita</t>
  </si>
  <si>
    <t>Etam</t>
  </si>
  <si>
    <t>Club???</t>
  </si>
  <si>
    <t>Zara</t>
  </si>
  <si>
    <t>Hema</t>
  </si>
  <si>
    <t>Custodia de Acciones MT.AS</t>
  </si>
  <si>
    <t>Pilas Detector Carrefour</t>
  </si>
  <si>
    <t>Pediatra</t>
  </si>
  <si>
    <t>Beneficios Manuel</t>
  </si>
  <si>
    <t>Viaje Papa</t>
  </si>
  <si>
    <t>Regalo Vero cumple Martina</t>
  </si>
  <si>
    <t>Peluqeria Julia</t>
  </si>
  <si>
    <t>Cena Teatinos</t>
  </si>
  <si>
    <t>Comida Fuengirola</t>
  </si>
  <si>
    <t>Fuengirola</t>
  </si>
  <si>
    <t>Plusvalia</t>
  </si>
  <si>
    <t>Cumple Martina</t>
  </si>
  <si>
    <t>RomeroTorres Viviana</t>
  </si>
  <si>
    <t>Romero Torres Jamon</t>
  </si>
  <si>
    <t>Comida+Limpieza Keep</t>
  </si>
  <si>
    <t>Aeropuertos</t>
  </si>
  <si>
    <t>Hotel</t>
  </si>
  <si>
    <t>Sillita coche</t>
  </si>
  <si>
    <t>Happy Papes</t>
  </si>
  <si>
    <t>Electrabel devolucion</t>
  </si>
  <si>
    <t>Aeropuerto</t>
  </si>
  <si>
    <t>Ryanair Malaga Maleta</t>
  </si>
  <si>
    <t>Jamon</t>
  </si>
  <si>
    <t>MAC Aeropuerto</t>
  </si>
  <si>
    <t>Ibercaja Intereses</t>
  </si>
  <si>
    <t>Fianza apartamento</t>
  </si>
  <si>
    <t>Dinero Bloqueado</t>
  </si>
  <si>
    <t>Fianza Casa Waterloo BE49 3635 9162 5571 (Green)</t>
  </si>
  <si>
    <t>Fianza Waterloo. Bloqueada.</t>
  </si>
  <si>
    <t>Fianza Cartama, Disponible.</t>
  </si>
  <si>
    <t>BE52 3631 4505 0709 (Invest)</t>
  </si>
  <si>
    <t>Parking Zaventem</t>
  </si>
  <si>
    <t>Oftalmologo</t>
  </si>
  <si>
    <t>Pasteles</t>
  </si>
  <si>
    <t>Amazon Agenda</t>
  </si>
  <si>
    <t>Base Rocio o antes</t>
  </si>
  <si>
    <t>Circulacion Verso hasta Diciembre</t>
  </si>
  <si>
    <t>Papa, regalo Martina</t>
  </si>
  <si>
    <t>Regalo Papa cumple Martina</t>
  </si>
  <si>
    <t>Kids&amp;Us</t>
  </si>
  <si>
    <t>Ajuste Enero</t>
  </si>
  <si>
    <t>CAPAC 18/01</t>
  </si>
  <si>
    <t>INBW devolucion Agua Apartamento</t>
  </si>
  <si>
    <t>Agua Devolucion</t>
  </si>
  <si>
    <t>Oscar</t>
  </si>
  <si>
    <t>Baba</t>
  </si>
  <si>
    <t>Vacaciones 16-tarde</t>
  </si>
  <si>
    <t>Horas Vacaciones= 3</t>
  </si>
  <si>
    <t>Restantes = 123</t>
  </si>
  <si>
    <t>Pablito sobrino</t>
  </si>
  <si>
    <t>Base Manolo SURF10</t>
  </si>
  <si>
    <t>Orchestra</t>
  </si>
  <si>
    <t>Benficios Rocio</t>
  </si>
  <si>
    <t>Nespresso</t>
  </si>
  <si>
    <t>Ryanair Malaga</t>
  </si>
  <si>
    <t>Vacaciones 28,29,30</t>
  </si>
  <si>
    <t>Horas Vacaciones= 22</t>
  </si>
  <si>
    <t>Restantes = 101</t>
  </si>
  <si>
    <t>Bureau</t>
  </si>
  <si>
    <t>Oftalmologa</t>
  </si>
  <si>
    <t>Monica</t>
  </si>
  <si>
    <t>Dermatologa Zaventem</t>
  </si>
  <si>
    <t>Hacienda a ingresar</t>
  </si>
  <si>
    <t>Taller de destete</t>
  </si>
  <si>
    <t>Ancho</t>
  </si>
  <si>
    <t>Comisiones+Impuestos Compra 196 acciones ITX.MC</t>
  </si>
  <si>
    <t>ING(BE)</t>
  </si>
  <si>
    <t>363-1450507-09-0</t>
  </si>
  <si>
    <t>Salida Bruselas</t>
  </si>
  <si>
    <t>Bonus</t>
  </si>
  <si>
    <t>Valor inicial</t>
  </si>
  <si>
    <t>Papa</t>
  </si>
  <si>
    <t>Papa Ryanair</t>
  </si>
  <si>
    <t>196 acciones ITX.MC</t>
  </si>
  <si>
    <t>Hipoteca Reseva Mensual (398.31€)</t>
  </si>
  <si>
    <t>GeonX 2017 Bonus</t>
  </si>
  <si>
    <t>Panaderias</t>
  </si>
  <si>
    <t xml:space="preserve">mes anterior/més actual </t>
  </si>
  <si>
    <t>Amazon Timbre</t>
  </si>
  <si>
    <t>Amazon Cuentos</t>
  </si>
  <si>
    <t>Rodas, coche fianza</t>
  </si>
  <si>
    <t>Lidia Sephora</t>
  </si>
  <si>
    <t>Tess</t>
  </si>
  <si>
    <t>Amazon libro</t>
  </si>
  <si>
    <t>Panaderia</t>
  </si>
  <si>
    <t>CreaCorner</t>
  </si>
  <si>
    <t>Pain quotidien</t>
  </si>
  <si>
    <t>CAPAC Febrero</t>
  </si>
  <si>
    <t>Seguro (60)</t>
  </si>
  <si>
    <t>Braine</t>
  </si>
  <si>
    <t>Action Maleta</t>
  </si>
  <si>
    <t>Pagar Agua INBW</t>
  </si>
  <si>
    <t>Marzo</t>
  </si>
  <si>
    <t>Xavier</t>
  </si>
  <si>
    <t>Muelle 1</t>
  </si>
  <si>
    <t>Malaga</t>
  </si>
  <si>
    <t>Primor Malaga</t>
  </si>
  <si>
    <t>Ajuste Marzo</t>
  </si>
  <si>
    <t>Abril</t>
  </si>
  <si>
    <t>CAPAC</t>
  </si>
  <si>
    <t>Netflix</t>
  </si>
  <si>
    <t>Delhaize</t>
  </si>
  <si>
    <t>Triciclo</t>
  </si>
  <si>
    <t>Flying tiger LLN</t>
  </si>
  <si>
    <t>Tarjetas Ibercaja</t>
  </si>
  <si>
    <t>Exki</t>
  </si>
  <si>
    <t>Lush</t>
  </si>
  <si>
    <t>Body Shop LaVane</t>
  </si>
  <si>
    <t>Kruidvat</t>
  </si>
  <si>
    <t>Chirec Oftalmologo</t>
  </si>
  <si>
    <t>SportsDirect</t>
  </si>
  <si>
    <t>GrasPop</t>
  </si>
  <si>
    <t>Lidl online</t>
  </si>
  <si>
    <t>Oscars</t>
  </si>
  <si>
    <t xml:space="preserve">IB </t>
  </si>
  <si>
    <t>Impuesto Basura</t>
  </si>
  <si>
    <t>Fija al més (23€)</t>
  </si>
  <si>
    <t>Se une con Regalos</t>
  </si>
  <si>
    <t>Hacienda BE</t>
  </si>
  <si>
    <t>Papa Parking Zaventem</t>
  </si>
  <si>
    <t>Intereses Ibercaja</t>
  </si>
  <si>
    <t>Hacienda</t>
  </si>
  <si>
    <t>Base Rocio SURF10</t>
  </si>
  <si>
    <t>Rocio en negro</t>
  </si>
  <si>
    <t>Dividendos ITX.MC</t>
  </si>
  <si>
    <t>Hema Martina</t>
  </si>
  <si>
    <t>Jugetes Hema</t>
  </si>
  <si>
    <t>Rocio</t>
  </si>
  <si>
    <t>L'Amusoir</t>
  </si>
  <si>
    <t>Zara LaVane</t>
  </si>
  <si>
    <t>Aniversario</t>
  </si>
  <si>
    <t>Boulangerie Michel</t>
  </si>
  <si>
    <t>Aniversario (Ocio)</t>
  </si>
  <si>
    <t>IslaTrans En Efectivo</t>
  </si>
  <si>
    <t>IslaTrans Ahorrado</t>
  </si>
  <si>
    <t>IslaTrans Que Queda</t>
  </si>
  <si>
    <t>Cumple Manolo</t>
  </si>
  <si>
    <t>Vacaciones 29</t>
  </si>
  <si>
    <t>Horas Vacaciones= 8</t>
  </si>
  <si>
    <t>Restantes = 93</t>
  </si>
  <si>
    <t>Huizingen</t>
  </si>
  <si>
    <t>Reglote</t>
  </si>
  <si>
    <t>Vacaciones 22</t>
  </si>
  <si>
    <t>Horas Vacaciones= 6</t>
  </si>
  <si>
    <t>Restantes = 87</t>
  </si>
  <si>
    <t>Bateria portatil</t>
  </si>
  <si>
    <t>Vacaciones 29,30,31,3,4,5</t>
  </si>
  <si>
    <t>Horas Vacaciones= 46</t>
  </si>
  <si>
    <t>Restantes = 41</t>
  </si>
  <si>
    <t>Hubo</t>
  </si>
  <si>
    <t>Martina</t>
  </si>
  <si>
    <t>Pelota Lidl</t>
  </si>
  <si>
    <t>Zapatos Martina</t>
  </si>
  <si>
    <t>PayPal Martina</t>
  </si>
  <si>
    <t>Protector Portatil</t>
  </si>
  <si>
    <t>Mayo Deficit</t>
  </si>
  <si>
    <t>Concepto/Dia</t>
  </si>
  <si>
    <t>Fianza Cartama= 550€, Disponible.</t>
  </si>
  <si>
    <t>Curro Manolo Comer</t>
  </si>
  <si>
    <t>Ancho 3</t>
  </si>
  <si>
    <t>Aldi 31/05, 2/06</t>
  </si>
  <si>
    <t>Sequoia 2</t>
  </si>
  <si>
    <t>HM 2</t>
  </si>
  <si>
    <t>Tom&amp;Co 2</t>
  </si>
  <si>
    <t>Chirec 6</t>
  </si>
  <si>
    <t>Lidl 6</t>
  </si>
  <si>
    <t>Nespreso</t>
  </si>
  <si>
    <t>Deficit Julio</t>
  </si>
  <si>
    <t>Aldi 9</t>
  </si>
  <si>
    <t>Delhaize 1, 2, 9</t>
  </si>
  <si>
    <t>Surgic eye 8</t>
  </si>
  <si>
    <t>Kids&amp;Us Material</t>
  </si>
  <si>
    <t>Gasofa 12</t>
  </si>
  <si>
    <t>Brussels Airlines 13</t>
  </si>
  <si>
    <t>SS - La primera en mayusculas</t>
  </si>
  <si>
    <t>Engie</t>
  </si>
  <si>
    <t>deltoyaMRM2001</t>
  </si>
  <si>
    <t>Lolo2001</t>
  </si>
  <si>
    <t>Link</t>
  </si>
  <si>
    <t>Delhaize 9</t>
  </si>
  <si>
    <t>Delhaize 15</t>
  </si>
  <si>
    <t>Di 15</t>
  </si>
  <si>
    <t>Disfraz Rocio 15</t>
  </si>
  <si>
    <t>Farmacia 16</t>
  </si>
  <si>
    <t>Oscar 15</t>
  </si>
  <si>
    <t>Joli bois 16</t>
  </si>
  <si>
    <t>Delhaize Proxy 16</t>
  </si>
  <si>
    <t>Hamman 20</t>
  </si>
  <si>
    <t>Aldi 20</t>
  </si>
  <si>
    <t>Graspop, Marina y Lucia</t>
  </si>
  <si>
    <t>Graspop</t>
  </si>
  <si>
    <t>Sushi shop 24</t>
  </si>
  <si>
    <t>Gasofa 22</t>
  </si>
  <si>
    <t>Delhaize 21, ,22, 24</t>
  </si>
  <si>
    <t>Paga Extra bruto</t>
  </si>
  <si>
    <t>Paga Extra neto</t>
  </si>
  <si>
    <t>Lush 22</t>
  </si>
  <si>
    <t>Peck 22</t>
  </si>
  <si>
    <t>Dominos 21</t>
  </si>
  <si>
    <t>Aquatre (Crea Corne) 25</t>
  </si>
  <si>
    <t>Q-Park 25</t>
  </si>
  <si>
    <t>Action 26 (7,35)</t>
  </si>
  <si>
    <t>PayPal 28</t>
  </si>
  <si>
    <t>Delhaize 22</t>
  </si>
  <si>
    <t>Aldi 28</t>
  </si>
  <si>
    <t>Lidl 29</t>
  </si>
  <si>
    <t>Exki 28</t>
  </si>
  <si>
    <t>HM 28</t>
  </si>
  <si>
    <t>De junio</t>
  </si>
  <si>
    <t>Carrefour MARKET 2, 7,28</t>
  </si>
  <si>
    <t>Carrefour 28</t>
  </si>
  <si>
    <t>Gasofa 28</t>
  </si>
  <si>
    <t>Dreambaby 2</t>
  </si>
  <si>
    <t>Delhaize 2</t>
  </si>
  <si>
    <t>Fianza Cartama</t>
  </si>
  <si>
    <t>Mango 1</t>
  </si>
  <si>
    <t>Springfield 1</t>
  </si>
  <si>
    <t>Woman Secret 1</t>
  </si>
  <si>
    <t>196 acciones ITX.MC. Bloqueado.</t>
  </si>
  <si>
    <t>Amazon Sillon</t>
  </si>
  <si>
    <t>Superabit Junio</t>
  </si>
  <si>
    <t>Bolas Braine 7</t>
  </si>
  <si>
    <t>Sushi shop 8</t>
  </si>
  <si>
    <t>Medi Market 7</t>
  </si>
  <si>
    <t>Colruyt 6</t>
  </si>
  <si>
    <t>IslaTrans</t>
  </si>
  <si>
    <t>Elevador Mudanzas</t>
  </si>
  <si>
    <t>Parking Bruxelles</t>
  </si>
  <si>
    <t>CAPAC 6,5 dias</t>
  </si>
  <si>
    <t>Cartama Finanazas</t>
  </si>
  <si>
    <t>Fianza</t>
  </si>
  <si>
    <t>Aldi 2,11,14</t>
  </si>
  <si>
    <t>Delhaize 2,14</t>
  </si>
  <si>
    <t>Salida Julio Papa</t>
  </si>
  <si>
    <t>Casa 14</t>
  </si>
  <si>
    <t>Fijo Mensual (100€)</t>
  </si>
  <si>
    <t>CAPAC complement</t>
  </si>
  <si>
    <t>Multa (66€ restantes)</t>
  </si>
  <si>
    <t>Multa Uccle</t>
  </si>
  <si>
    <t>Prevision de ingresos Total Anual =</t>
  </si>
  <si>
    <t>Lidl 19</t>
  </si>
  <si>
    <t>Action 19</t>
  </si>
  <si>
    <t>Oscar's 20</t>
  </si>
  <si>
    <t>Delhaize Proxy 21</t>
  </si>
  <si>
    <t>Chirec 22</t>
  </si>
  <si>
    <t xml:space="preserve"> </t>
  </si>
  <si>
    <t>Waterloo fest</t>
  </si>
  <si>
    <t>Añadir a Fianza (hasta 550€)</t>
  </si>
  <si>
    <t>Total -Papa</t>
  </si>
  <si>
    <t>Papa Julio</t>
  </si>
  <si>
    <t>Mensual (50€)</t>
  </si>
  <si>
    <t>Amazon carro</t>
  </si>
  <si>
    <t>Comer Waterloo 24</t>
  </si>
  <si>
    <t>Amazon tinta 24</t>
  </si>
  <si>
    <t>bPost Edu/Monica</t>
  </si>
  <si>
    <t>Amazon Claudia 24</t>
  </si>
  <si>
    <t>Amazon Cuerdas 24</t>
  </si>
  <si>
    <t>Di Viviana 24</t>
  </si>
  <si>
    <t>Di 24</t>
  </si>
  <si>
    <t>Cártama Gastos</t>
  </si>
  <si>
    <t>Lidl 25</t>
  </si>
  <si>
    <t>Mango 24</t>
  </si>
  <si>
    <t>Hema 24</t>
  </si>
  <si>
    <t>Delhaize 26</t>
  </si>
  <si>
    <t>Orchestra 28</t>
  </si>
  <si>
    <t>Action 28</t>
  </si>
  <si>
    <t>Action Eva 28</t>
  </si>
  <si>
    <t>Orchestra Eva 28</t>
  </si>
  <si>
    <t>Van den Borre TV 28</t>
  </si>
  <si>
    <t>Mensual (70€)</t>
  </si>
  <si>
    <t>Proximus</t>
  </si>
  <si>
    <t>Gasofa 8, 17, 27</t>
  </si>
  <si>
    <t>IKEA 29</t>
  </si>
  <si>
    <t>Aldi 30</t>
  </si>
  <si>
    <t>Amazon tinta Devolucion</t>
  </si>
  <si>
    <t>Action 31</t>
  </si>
  <si>
    <t>Ajustes Julio</t>
  </si>
  <si>
    <t>Fijo</t>
  </si>
  <si>
    <t>Cuenta ahorro Ibercaja</t>
  </si>
  <si>
    <t>AmazonFr Prime</t>
  </si>
  <si>
    <t>CAPAC 13 dias</t>
  </si>
  <si>
    <t>02 - Genval</t>
  </si>
  <si>
    <t>04 - Aldi</t>
  </si>
  <si>
    <t>04 - Delhaize</t>
  </si>
  <si>
    <t>04 - Di</t>
  </si>
  <si>
    <t>04 - Casa</t>
  </si>
  <si>
    <t>04 - Boulangerie</t>
  </si>
  <si>
    <t>06 - Sequoia</t>
  </si>
  <si>
    <t>06 - Esso</t>
  </si>
  <si>
    <t>Amazon Prime Devolucion</t>
  </si>
  <si>
    <t>Deficit Agosto</t>
  </si>
  <si>
    <t>07 - Dominos</t>
  </si>
  <si>
    <t>05 - Bruxelles</t>
  </si>
  <si>
    <t>Capital =</t>
  </si>
  <si>
    <t>Proxima Fecha</t>
  </si>
  <si>
    <t>01 - Delhaize</t>
  </si>
  <si>
    <t>08 - Tom&amp;Co</t>
  </si>
  <si>
    <t>11 - Action</t>
  </si>
  <si>
    <t>11 - Delhaize</t>
  </si>
  <si>
    <t>11 - Action, Eva.</t>
  </si>
  <si>
    <t>11 - Lidl</t>
  </si>
  <si>
    <t>14 - PayPal</t>
  </si>
  <si>
    <t>13 - Media Markt</t>
  </si>
  <si>
    <t>15 - Pain quotidien</t>
  </si>
  <si>
    <t>16 - AliExpress</t>
  </si>
  <si>
    <t>17 - Colruyt</t>
  </si>
  <si>
    <t>17 - Car Hire Europcar</t>
  </si>
  <si>
    <t>17 - Action</t>
  </si>
  <si>
    <t>18 - Aldi</t>
  </si>
  <si>
    <t>18 - Delhaize</t>
  </si>
  <si>
    <t>17,19 - Genk</t>
  </si>
  <si>
    <t>18 - Decathlon</t>
  </si>
  <si>
    <t>18 - Shell</t>
  </si>
  <si>
    <t>18 - Nyx Bruselas</t>
  </si>
  <si>
    <t>18 - Primark</t>
  </si>
  <si>
    <t>18 - Ellis</t>
  </si>
  <si>
    <t>21 - Erasme</t>
  </si>
  <si>
    <t>21 - Parking Erasme</t>
  </si>
  <si>
    <t>18 - Parking Bruselas</t>
  </si>
  <si>
    <t>23 - Exky Waterloo</t>
  </si>
  <si>
    <t>23 - Veritas</t>
  </si>
  <si>
    <t>Multa (36€ restantes)</t>
  </si>
  <si>
    <t>Deficit Septiembre</t>
  </si>
  <si>
    <t>Multa (06€ restantes)</t>
  </si>
  <si>
    <t>23 - Shell</t>
  </si>
  <si>
    <t>27 - DKV</t>
  </si>
  <si>
    <t>Empieza el dia 28 de Agosto</t>
  </si>
  <si>
    <t>28 - Lidl</t>
  </si>
  <si>
    <t>21;25 - Delhaize</t>
  </si>
  <si>
    <t>21;25 - Aldi</t>
  </si>
  <si>
    <t>25 - Delhaize</t>
  </si>
  <si>
    <t>27 - Sequoia</t>
  </si>
  <si>
    <t>Efectivo en Rodas</t>
  </si>
  <si>
    <t>Parking</t>
  </si>
  <si>
    <t>28/08 - Farmacia</t>
  </si>
  <si>
    <t>28/08 - Sushi</t>
  </si>
  <si>
    <t>28/08 - Zara</t>
  </si>
  <si>
    <t>29/08</t>
  </si>
  <si>
    <t>Alter-nos</t>
  </si>
  <si>
    <t>30/08</t>
  </si>
  <si>
    <t>01/09</t>
  </si>
  <si>
    <t>03/09</t>
  </si>
  <si>
    <t>04/09</t>
  </si>
  <si>
    <t>Cartama: Alquiler+Luz+Agua-Fontanero</t>
  </si>
  <si>
    <t>Fontanero*</t>
  </si>
  <si>
    <t>* Realmente no ha salido dinero, sino que no ha llegado a entrar</t>
  </si>
  <si>
    <t>Hipoteca Reseva Mensual (399,59€)</t>
  </si>
  <si>
    <t>06/09 - Pediatra</t>
  </si>
  <si>
    <t>06/09 - Action</t>
  </si>
  <si>
    <t>CAPITAL RESTANTE</t>
  </si>
  <si>
    <t>Multa (0€ restantes)</t>
  </si>
  <si>
    <t>07/09; 08/09 - Delhaize</t>
  </si>
  <si>
    <t>08/09 - Aldi</t>
  </si>
  <si>
    <t>07/09 - Shell</t>
  </si>
  <si>
    <t>08/09/2018 - Hema</t>
  </si>
  <si>
    <t>10/09 - Basura Waterloo</t>
  </si>
  <si>
    <t>05/09 - Chrysa studios</t>
  </si>
  <si>
    <t>A vacaciones</t>
  </si>
  <si>
    <t>de Regalos</t>
  </si>
  <si>
    <t>11/09 - Papeterie</t>
  </si>
  <si>
    <t>Interés: (Euribor+0,5) mensual =</t>
  </si>
  <si>
    <t>13/09 - Sequoia</t>
  </si>
  <si>
    <t>14/09 - L'Oreal</t>
  </si>
  <si>
    <t>13/09 Parking Erasme</t>
  </si>
  <si>
    <t>16/09 Parking Erasme</t>
  </si>
  <si>
    <t>15/09 - Action</t>
  </si>
  <si>
    <t>15/09 - Delhaize</t>
  </si>
  <si>
    <t>15/09 - Aldi</t>
  </si>
  <si>
    <t>15/09 - Sushi</t>
  </si>
  <si>
    <t>Kids &amp; Us - Trimestre 1</t>
  </si>
  <si>
    <t>15/09 - Farmacia</t>
  </si>
  <si>
    <t>Acumulado</t>
  </si>
  <si>
    <t>Amortizar ultima cuota (hasta 398€)</t>
  </si>
  <si>
    <t>Reinversion casa (hasta 300€)</t>
  </si>
  <si>
    <t>17/09 Esso</t>
  </si>
  <si>
    <t>Inflar Ruedas</t>
  </si>
  <si>
    <t>18/09 - Farmacia</t>
  </si>
  <si>
    <t>17/09 Parking Erasme</t>
  </si>
  <si>
    <t>Ultima cuota (hasta 9.486,92)</t>
  </si>
  <si>
    <t>Mantenimiento</t>
  </si>
  <si>
    <t>19/09 Delhaize</t>
  </si>
  <si>
    <t>Ingresos medio mensual</t>
  </si>
  <si>
    <t>Aportaciones ANUALES</t>
  </si>
  <si>
    <t xml:space="preserve">Ranking </t>
  </si>
  <si>
    <t>Media mensual</t>
  </si>
  <si>
    <t>% sobre el total</t>
  </si>
  <si>
    <t>familia.rojas.palomino</t>
  </si>
  <si>
    <t>AQ-AT</t>
  </si>
  <si>
    <t xml:space="preserve">Prevision de gasto Total Anual = </t>
  </si>
  <si>
    <t>Prevision Actual:</t>
  </si>
  <si>
    <t>22/09 Delhaize</t>
  </si>
  <si>
    <t>23/09 Hamburgueza</t>
  </si>
  <si>
    <t>23/09 Parking Erasme</t>
  </si>
  <si>
    <t>25/09 Lidl</t>
  </si>
  <si>
    <t>25/09 Neuhaus</t>
  </si>
  <si>
    <t>25/09 Amazon</t>
  </si>
  <si>
    <t>AU-AX</t>
  </si>
  <si>
    <t>26/09 Aldi</t>
  </si>
  <si>
    <t>Deficit Noviembre</t>
  </si>
  <si>
    <t>Deficit Octubre</t>
  </si>
  <si>
    <t>27/09 Libro google</t>
  </si>
  <si>
    <t>27/09 Delhaize</t>
  </si>
  <si>
    <t>27/09 Esso</t>
  </si>
  <si>
    <t>28/09 Multa Charleroi</t>
  </si>
  <si>
    <t>SURF10</t>
  </si>
  <si>
    <t>Fija al més (45€)</t>
  </si>
  <si>
    <t>30/09 Salida Bruxelles</t>
  </si>
  <si>
    <t>tablet Rocio y salida 30/09</t>
  </si>
  <si>
    <t>Salida 30/09</t>
  </si>
  <si>
    <t>Cumple Rocio</t>
  </si>
  <si>
    <t>28/09 Action</t>
  </si>
  <si>
    <t>01/10 Delhaize</t>
  </si>
  <si>
    <t>01/10 Colruyt</t>
  </si>
  <si>
    <t>01/10 Van den Borre</t>
  </si>
  <si>
    <t>Deficit Agosto (-AJ47)</t>
  </si>
  <si>
    <t>Seguro (Hasta 720€)</t>
  </si>
  <si>
    <t>Impuesto Basura (Hasta 83€)</t>
  </si>
  <si>
    <t>01/10 comocomo</t>
  </si>
  <si>
    <t>Kids &amp; Us</t>
  </si>
  <si>
    <t>02/10 Delhaize</t>
  </si>
  <si>
    <t>02/10 Shushi</t>
  </si>
  <si>
    <t>Mensual (160€)</t>
  </si>
  <si>
    <t>Vacaciones 02</t>
  </si>
  <si>
    <t>Restantes = 13</t>
  </si>
  <si>
    <t>deltoya_23</t>
  </si>
  <si>
    <t>pp</t>
  </si>
  <si>
    <t>02/10 Parking Erasme</t>
  </si>
  <si>
    <t>05/10 Rituals (Yasmina)</t>
  </si>
  <si>
    <t>05/10 Aldi</t>
  </si>
  <si>
    <t>Cambiar filtro Brita</t>
  </si>
  <si>
    <t>06/10 Zara-LaVane</t>
  </si>
  <si>
    <t>06/10 L'amesoir</t>
  </si>
  <si>
    <t>Mutuallite</t>
  </si>
  <si>
    <t>05/10 Colruyt</t>
  </si>
  <si>
    <t>05/10 PayPal-Martina</t>
  </si>
  <si>
    <t>Ultima (hasta 9.486,92€)(137€/mes)</t>
  </si>
  <si>
    <t>08/10 Shell</t>
  </si>
  <si>
    <t>06/10 IKEA</t>
  </si>
  <si>
    <t>09/10 Parking centro</t>
  </si>
  <si>
    <t>09/10 Amazon Brita</t>
  </si>
  <si>
    <t>09/10 Amazon Funda tablet</t>
  </si>
  <si>
    <t>09/10 Delhaize</t>
  </si>
  <si>
    <t>10/10 Medi Market</t>
  </si>
  <si>
    <t>10/10 Nespresso</t>
  </si>
  <si>
    <t>10/10 Erasme</t>
  </si>
  <si>
    <t>12/10 Aldi</t>
  </si>
  <si>
    <t>12/10 Lidl</t>
  </si>
  <si>
    <t>12/10 Tom&amp;Co</t>
  </si>
  <si>
    <t>13/10 Oscar</t>
  </si>
  <si>
    <t>Seguro de Alquiler</t>
  </si>
  <si>
    <t>Tarjetas IberCaja</t>
  </si>
  <si>
    <t>Cuenta ahorros Ibercaja</t>
  </si>
  <si>
    <t>Cuenta ahorros IberCaja</t>
  </si>
  <si>
    <t>Seguro Alquiler (Hasta 270 €)</t>
  </si>
  <si>
    <t>Toyota</t>
  </si>
  <si>
    <t>lolo2001</t>
  </si>
  <si>
    <t>CAPAC Septiembre</t>
  </si>
  <si>
    <t>17/10 Colruyt</t>
  </si>
  <si>
    <t>18/10 Shell</t>
  </si>
  <si>
    <t>18/10 Sushi</t>
  </si>
  <si>
    <t>19/10 Auto 5</t>
  </si>
  <si>
    <t>20/10 Carrefour</t>
  </si>
  <si>
    <t>Auto5</t>
  </si>
  <si>
    <t>24/10 Colruyt</t>
  </si>
  <si>
    <t>AM</t>
  </si>
  <si>
    <t>AQ</t>
  </si>
  <si>
    <t>AU</t>
  </si>
  <si>
    <t>Alter-Nos</t>
  </si>
  <si>
    <t>26/10 Aldi</t>
  </si>
  <si>
    <t>25/10 Internet</t>
  </si>
  <si>
    <t>29/10 Delhaize</t>
  </si>
  <si>
    <t>29/10 TEC</t>
  </si>
  <si>
    <t>26/10 Shell</t>
  </si>
  <si>
    <t>29/10 Farmacia</t>
  </si>
  <si>
    <t>29/10 Hema</t>
  </si>
  <si>
    <t>31/10 Sushi</t>
  </si>
  <si>
    <t>31/10 Multa parking</t>
  </si>
  <si>
    <t>Papeles Mutua</t>
  </si>
  <si>
    <t>02/11 Aldi</t>
  </si>
  <si>
    <t>02/11 Bus</t>
  </si>
  <si>
    <t>05/11 DATS 24</t>
  </si>
  <si>
    <t>02/11 Parking</t>
  </si>
  <si>
    <t>03/11 Brujas</t>
  </si>
  <si>
    <t>07/11 Toyota Garage</t>
  </si>
  <si>
    <t>07/11 Delhaize</t>
  </si>
  <si>
    <t>08/11 Medi Market</t>
  </si>
  <si>
    <t>08/11 Exki W</t>
  </si>
  <si>
    <t>08/11 Colruyt</t>
  </si>
  <si>
    <t>08/11 Panaderia</t>
  </si>
  <si>
    <t>12/11 Sequoia</t>
  </si>
  <si>
    <t>12/11 Tintoreria</t>
  </si>
  <si>
    <t>14/11 Delhaize</t>
  </si>
  <si>
    <t>13/11 AliExpress</t>
  </si>
  <si>
    <t>14/11 Zapatero W</t>
  </si>
  <si>
    <t>15/11 Erasme</t>
  </si>
  <si>
    <t>12;15/11 Aldi</t>
  </si>
  <si>
    <t>15/11 Action</t>
  </si>
  <si>
    <t>15/11 Aldi</t>
  </si>
  <si>
    <t>16/11 Shell</t>
  </si>
  <si>
    <t>19/11 Mousy</t>
  </si>
  <si>
    <t>20/11 Zalando</t>
  </si>
  <si>
    <t>21/11 Auto 5</t>
  </si>
  <si>
    <t>22/11 Colruyt</t>
  </si>
  <si>
    <t>23/11 Delhaize</t>
  </si>
  <si>
    <t>23/12 Notino</t>
  </si>
  <si>
    <t>23/11 Notino</t>
  </si>
  <si>
    <t>23/11 Nias(Papeterie) 3.94 AlterNos</t>
  </si>
  <si>
    <t>24/11 Sushi</t>
  </si>
  <si>
    <t>24/11 Aldi</t>
  </si>
  <si>
    <t>26/11 Pay-Pal 118.28 a deber</t>
  </si>
  <si>
    <t>26/11 Pay-Pal</t>
  </si>
  <si>
    <t>26/11 Unicaja</t>
  </si>
  <si>
    <t>26/11 Lukoil</t>
  </si>
  <si>
    <t>Balance Anual</t>
  </si>
  <si>
    <t>28/11 Esso</t>
  </si>
  <si>
    <t>27/11 Zara</t>
  </si>
  <si>
    <t>27/11 Mango</t>
  </si>
  <si>
    <t>De mi Padre</t>
  </si>
  <si>
    <t>29/11 MaxiToys</t>
  </si>
  <si>
    <t>12/11 Mifa</t>
  </si>
  <si>
    <t>30/11 Action</t>
  </si>
  <si>
    <t>30/11 Amazon Deshumificador</t>
  </si>
  <si>
    <t>118.28 € a deber</t>
  </si>
  <si>
    <t>Brussels</t>
  </si>
  <si>
    <t>Cine</t>
  </si>
  <si>
    <t>Brussels Papa</t>
  </si>
  <si>
    <t>Alter Nos</t>
  </si>
  <si>
    <t>Cartama</t>
  </si>
  <si>
    <t>Vacaciones 19,20,21,27,28</t>
  </si>
  <si>
    <t>Horas Vacaciones= 35</t>
  </si>
  <si>
    <t>Restantes = 0</t>
  </si>
  <si>
    <t>Subida Noviembre</t>
  </si>
  <si>
    <t>09/12 Rocio</t>
  </si>
  <si>
    <t>08/12 Braine</t>
  </si>
  <si>
    <t>07/12 Tren</t>
  </si>
  <si>
    <t>05/12 Esso</t>
  </si>
  <si>
    <t>10/12 Lentillas</t>
  </si>
  <si>
    <t>01/12 Aldi</t>
  </si>
  <si>
    <t>01/12 Sequoia</t>
  </si>
  <si>
    <t>01/12 Delhaize</t>
  </si>
  <si>
    <t>06/12 Carrefour</t>
  </si>
  <si>
    <t>06/12 Lidl</t>
  </si>
  <si>
    <t>04/12 Erasme</t>
  </si>
  <si>
    <t>Brussels Airlines Papa</t>
  </si>
  <si>
    <t>10/12 Ellis</t>
  </si>
  <si>
    <t>10/12 Neuhaus</t>
  </si>
  <si>
    <t>10/12 Pimkie</t>
  </si>
  <si>
    <t>13/12 Hema</t>
  </si>
  <si>
    <t>13/12 Colruyt</t>
  </si>
  <si>
    <t>13/12 Tom&amp;Co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</si>
</sst>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6" formatCode="#,##0\ &quot;€&quot;;[Red]\-#,##0\ &quot;€&quot;"/>
    <numFmt numFmtId="8" formatCode="#,##0.00\ &quot;€&quot;;[Red]\-#,##0.00\ &quot;€&quot;"/>
    <numFmt numFmtId="164" formatCode="&quot;€&quot;#,##0.00;[Red]\-&quot;€&quot;#,##0.00"/>
    <numFmt numFmtId="165" formatCode="_-* #,##0.00_-;\-* #,##0.00_-;_-* &quot;-&quot;??_-;_-@_-"/>
    <numFmt numFmtId="166" formatCode="&quot;€&quot;#,##0.00"/>
    <numFmt numFmtId="167" formatCode="#,##0.00\ &quot;€&quot;"/>
    <numFmt numFmtId="168" formatCode="#,##0.0;[Red]#,##0.0"/>
    <numFmt numFmtId="169" formatCode="0.00000"/>
    <numFmt numFmtId="170" formatCode="0.000"/>
    <numFmt numFmtId="171" formatCode="#,##0.00&quot; €&quot;"/>
    <numFmt numFmtId="172" formatCode="#,##0.00&quot; €&quot;;[Red]\-#,##0.00&quot; €&quot;"/>
    <numFmt numFmtId="173" formatCode="mmmm\-yy;@"/>
    <numFmt numFmtId="174" formatCode="#,##0.00\ [$€-80C];[Red]\-#,##0.00\ [$€-80C]"/>
    <numFmt numFmtId="175" formatCode="0.000%"/>
    <numFmt numFmtId="176" formatCode="#,##0.00&quot; €&quot;;\-#,##0.00&quot; €&quot;"/>
  </numFmts>
  <fonts count="21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2"/>
      <color theme="10"/>
      <name val="宋体"/>
    </font>
    <font>
      <u/>
      <sz val="12"/>
      <color theme="10"/>
      <name val="Calibri"/>
      <family val="2"/>
      <scheme val="minor"/>
    </font>
    <font>
      <sz val="11"/>
      <color rgb="FFFFFFFF"/>
      <name val="Calibri"/>
      <family val="2"/>
      <scheme val="minor"/>
    </font>
    <font>
      <sz val="12"/>
      <color rgb="FFFFFFFF"/>
      <name val="Calibri"/>
      <family val="2"/>
      <scheme val="minor"/>
    </font>
    <font>
      <b/>
      <sz val="12"/>
      <color rgb="FF000000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7030A0"/>
      <name val="Calibri"/>
      <family val="2"/>
      <scheme val="minor"/>
    </font>
    <font>
      <u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  <charset val="1"/>
    </font>
    <font>
      <sz val="10"/>
      <color rgb="FF7030A0"/>
      <name val="Arial"/>
      <family val="2"/>
      <charset val="1"/>
    </font>
    <font>
      <strike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92D05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7B2523"/>
        <bgColor rgb="FF000000"/>
      </patternFill>
    </fill>
    <fill>
      <patternFill patternType="solid">
        <fgColor rgb="FFEAF1DD"/>
        <bgColor rgb="FF000000"/>
      </patternFill>
    </fill>
    <fill>
      <patternFill patternType="solid">
        <fgColor rgb="FFDBEEF3"/>
        <bgColor rgb="FF000000"/>
      </patternFill>
    </fill>
    <fill>
      <patternFill patternType="solid">
        <fgColor rgb="FFD9E4F1"/>
        <bgColor rgb="FF000000"/>
      </patternFill>
    </fill>
    <fill>
      <patternFill patternType="solid">
        <fgColor theme="6" tint="0.59996337778862885"/>
        <bgColor rgb="FF000000"/>
      </patternFill>
    </fill>
    <fill>
      <patternFill patternType="solid">
        <fgColor theme="8" tint="0.59996337778862885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FFFFCC"/>
        <bgColor indexed="64"/>
      </patternFill>
    </fill>
    <fill>
      <patternFill patternType="solid">
        <fgColor rgb="FFFFDC6D"/>
        <bgColor rgb="FF000000"/>
      </patternFill>
    </fill>
    <fill>
      <patternFill patternType="solid">
        <fgColor indexed="11"/>
        <bgColor indexed="49"/>
      </patternFill>
    </fill>
    <fill>
      <patternFill patternType="solid">
        <fgColor indexed="15"/>
        <bgColor indexed="35"/>
      </patternFill>
    </fill>
    <fill>
      <patternFill patternType="solid">
        <fgColor theme="0"/>
        <bgColor indexed="64"/>
      </patternFill>
    </fill>
  </fills>
  <borders count="112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/>
      <right/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ck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ck">
        <color rgb="FF000000"/>
      </left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ck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/>
      <diagonal/>
    </border>
    <border>
      <left/>
      <right style="thick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indexed="64"/>
      </bottom>
      <diagonal/>
    </border>
    <border>
      <left/>
      <right/>
      <top style="medium">
        <color auto="1"/>
      </top>
      <bottom style="thin">
        <color indexed="64"/>
      </bottom>
      <diagonal/>
    </border>
    <border>
      <left/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indexed="8"/>
      </right>
      <top style="medium">
        <color indexed="8"/>
      </top>
      <bottom style="medium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20">
    <xf numFmtId="0" fontId="0" fillId="0" borderId="0" xfId="0"/>
    <xf numFmtId="0" fontId="1" fillId="0" borderId="0" xfId="0" applyFont="1"/>
    <xf numFmtId="166" fontId="1" fillId="0" borderId="0" xfId="0" applyNumberFormat="1" applyFont="1"/>
    <xf numFmtId="0" fontId="2" fillId="0" borderId="0" xfId="0" applyFont="1"/>
    <xf numFmtId="167" fontId="1" fillId="0" borderId="0" xfId="0" applyNumberFormat="1" applyFont="1"/>
    <xf numFmtId="8" fontId="2" fillId="0" borderId="0" xfId="0" applyNumberFormat="1" applyFont="1"/>
    <xf numFmtId="0" fontId="3" fillId="0" borderId="5" xfId="0" applyFont="1" applyBorder="1" applyAlignment="1">
      <alignment vertical="center"/>
    </xf>
    <xf numFmtId="8" fontId="2" fillId="0" borderId="0" xfId="0" applyNumberFormat="1" applyFont="1" applyAlignment="1">
      <alignment horizontal="right"/>
    </xf>
    <xf numFmtId="10" fontId="2" fillId="0" borderId="0" xfId="0" applyNumberFormat="1" applyFont="1" applyAlignment="1">
      <alignment horizontal="right"/>
    </xf>
    <xf numFmtId="0" fontId="3" fillId="0" borderId="0" xfId="0" applyFont="1" applyAlignment="1">
      <alignment vertical="center"/>
    </xf>
    <xf numFmtId="49" fontId="6" fillId="2" borderId="9" xfId="0" applyNumberFormat="1" applyFont="1" applyFill="1" applyBorder="1" applyAlignment="1">
      <alignment horizontal="center"/>
    </xf>
    <xf numFmtId="0" fontId="3" fillId="3" borderId="2" xfId="0" applyFont="1" applyFill="1" applyBorder="1"/>
    <xf numFmtId="167" fontId="1" fillId="3" borderId="15" xfId="0" applyNumberFormat="1" applyFont="1" applyFill="1" applyBorder="1"/>
    <xf numFmtId="49" fontId="3" fillId="0" borderId="2" xfId="0" applyNumberFormat="1" applyFont="1" applyBorder="1"/>
    <xf numFmtId="167" fontId="1" fillId="0" borderId="2" xfId="0" applyNumberFormat="1" applyFont="1" applyBorder="1"/>
    <xf numFmtId="49" fontId="3" fillId="3" borderId="2" xfId="0" applyNumberFormat="1" applyFont="1" applyFill="1" applyBorder="1"/>
    <xf numFmtId="167" fontId="1" fillId="3" borderId="2" xfId="0" applyNumberFormat="1" applyFont="1" applyFill="1" applyBorder="1"/>
    <xf numFmtId="167" fontId="1" fillId="0" borderId="2" xfId="0" applyNumberFormat="1" applyFont="1" applyBorder="1" applyAlignment="1">
      <alignment horizontal="right"/>
    </xf>
    <xf numFmtId="167" fontId="7" fillId="2" borderId="5" xfId="0" applyNumberFormat="1" applyFont="1" applyFill="1" applyBorder="1" applyAlignment="1">
      <alignment horizontal="right"/>
    </xf>
    <xf numFmtId="49" fontId="3" fillId="0" borderId="0" xfId="0" applyNumberFormat="1" applyFont="1"/>
    <xf numFmtId="167" fontId="2" fillId="0" borderId="0" xfId="0" applyNumberFormat="1" applyFont="1"/>
    <xf numFmtId="49" fontId="2" fillId="0" borderId="17" xfId="0" applyNumberFormat="1" applyFont="1" applyBorder="1" applyAlignment="1">
      <alignment horizontal="center" vertical="center"/>
    </xf>
    <xf numFmtId="49" fontId="2" fillId="0" borderId="10" xfId="0" applyNumberFormat="1" applyFont="1" applyBorder="1" applyAlignment="1">
      <alignment horizontal="center" vertical="center"/>
    </xf>
    <xf numFmtId="49" fontId="2" fillId="0" borderId="18" xfId="0" applyNumberFormat="1" applyFont="1" applyBorder="1" applyAlignment="1">
      <alignment horizontal="center" vertical="center"/>
    </xf>
    <xf numFmtId="49" fontId="6" fillId="2" borderId="9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5" fillId="5" borderId="19" xfId="1" applyNumberFormat="1" applyFont="1" applyFill="1" applyBorder="1" applyAlignment="1">
      <alignment horizontal="center"/>
    </xf>
    <xf numFmtId="49" fontId="5" fillId="0" borderId="19" xfId="1" applyNumberFormat="1" applyFont="1" applyBorder="1" applyAlignment="1">
      <alignment horizontal="center"/>
    </xf>
    <xf numFmtId="167" fontId="7" fillId="2" borderId="9" xfId="0" applyNumberFormat="1" applyFont="1" applyFill="1" applyBorder="1" applyAlignment="1">
      <alignment horizontal="right"/>
    </xf>
    <xf numFmtId="40" fontId="1" fillId="0" borderId="0" xfId="0" applyNumberFormat="1" applyFont="1"/>
    <xf numFmtId="0" fontId="9" fillId="0" borderId="0" xfId="0" applyFont="1"/>
    <xf numFmtId="0" fontId="2" fillId="0" borderId="40" xfId="0" applyFont="1" applyBorder="1" applyAlignment="1">
      <alignment vertical="center"/>
    </xf>
    <xf numFmtId="0" fontId="2" fillId="0" borderId="26" xfId="0" applyFont="1" applyBorder="1"/>
    <xf numFmtId="49" fontId="2" fillId="0" borderId="43" xfId="0" applyNumberFormat="1" applyFont="1" applyBorder="1"/>
    <xf numFmtId="49" fontId="2" fillId="0" borderId="36" xfId="0" applyNumberFormat="1" applyFont="1" applyBorder="1"/>
    <xf numFmtId="0" fontId="2" fillId="0" borderId="14" xfId="0" applyFont="1" applyBorder="1"/>
    <xf numFmtId="49" fontId="2" fillId="0" borderId="45" xfId="0" applyNumberFormat="1" applyFont="1" applyBorder="1"/>
    <xf numFmtId="0" fontId="2" fillId="0" borderId="28" xfId="0" applyFont="1" applyBorder="1"/>
    <xf numFmtId="49" fontId="8" fillId="4" borderId="15" xfId="0" applyNumberFormat="1" applyFont="1" applyFill="1" applyBorder="1" applyAlignment="1"/>
    <xf numFmtId="167" fontId="1" fillId="4" borderId="22" xfId="0" applyNumberFormat="1" applyFont="1" applyFill="1" applyBorder="1" applyAlignment="1"/>
    <xf numFmtId="10" fontId="1" fillId="0" borderId="3" xfId="0" applyNumberFormat="1" applyFont="1" applyBorder="1" applyAlignment="1"/>
    <xf numFmtId="1" fontId="1" fillId="0" borderId="14" xfId="0" applyNumberFormat="1" applyFont="1" applyBorder="1" applyAlignment="1"/>
    <xf numFmtId="167" fontId="1" fillId="4" borderId="23" xfId="0" applyNumberFormat="1" applyFont="1" applyFill="1" applyBorder="1" applyAlignment="1"/>
    <xf numFmtId="49" fontId="8" fillId="0" borderId="24" xfId="0" applyNumberFormat="1" applyFont="1" applyBorder="1" applyAlignment="1"/>
    <xf numFmtId="167" fontId="1" fillId="0" borderId="23" xfId="0" applyNumberFormat="1" applyFont="1" applyBorder="1" applyAlignment="1"/>
    <xf numFmtId="49" fontId="8" fillId="4" borderId="24" xfId="0" applyNumberFormat="1" applyFont="1" applyFill="1" applyBorder="1" applyAlignment="1"/>
    <xf numFmtId="49" fontId="8" fillId="4" borderId="2" xfId="0" applyNumberFormat="1" applyFont="1" applyFill="1" applyBorder="1" applyAlignment="1"/>
    <xf numFmtId="49" fontId="2" fillId="0" borderId="9" xfId="0" applyNumberFormat="1" applyFont="1" applyBorder="1" applyAlignment="1">
      <alignment horizontal="center"/>
    </xf>
    <xf numFmtId="49" fontId="3" fillId="6" borderId="9" xfId="0" applyNumberFormat="1" applyFont="1" applyFill="1" applyBorder="1" applyAlignment="1">
      <alignment horizontal="center"/>
    </xf>
    <xf numFmtId="49" fontId="8" fillId="7" borderId="9" xfId="0" applyNumberFormat="1" applyFont="1" applyFill="1" applyBorder="1" applyAlignment="1">
      <alignment horizontal="center" vertical="center"/>
    </xf>
    <xf numFmtId="49" fontId="8" fillId="0" borderId="23" xfId="0" applyNumberFormat="1" applyFont="1" applyBorder="1" applyAlignment="1"/>
    <xf numFmtId="49" fontId="1" fillId="8" borderId="11" xfId="0" applyNumberFormat="1" applyFont="1" applyFill="1" applyBorder="1" applyAlignment="1">
      <alignment horizontal="center" vertical="center"/>
    </xf>
    <xf numFmtId="0" fontId="2" fillId="0" borderId="59" xfId="0" applyFont="1" applyBorder="1" applyAlignment="1">
      <alignment horizontal="center" vertical="center"/>
    </xf>
    <xf numFmtId="0" fontId="2" fillId="0" borderId="55" xfId="0" applyFont="1" applyBorder="1" applyAlignment="1">
      <alignment horizontal="center" vertical="center"/>
    </xf>
    <xf numFmtId="164" fontId="2" fillId="0" borderId="60" xfId="0" applyNumberFormat="1" applyFont="1" applyBorder="1"/>
    <xf numFmtId="164" fontId="2" fillId="0" borderId="61" xfId="0" applyNumberFormat="1" applyFont="1" applyBorder="1" applyAlignment="1">
      <alignment vertical="center"/>
    </xf>
    <xf numFmtId="164" fontId="2" fillId="0" borderId="62" xfId="0" applyNumberFormat="1" applyFont="1" applyBorder="1"/>
    <xf numFmtId="164" fontId="2" fillId="0" borderId="61" xfId="0" applyNumberFormat="1" applyFont="1" applyBorder="1"/>
    <xf numFmtId="164" fontId="2" fillId="0" borderId="12" xfId="0" applyNumberFormat="1" applyFont="1" applyBorder="1"/>
    <xf numFmtId="164" fontId="2" fillId="0" borderId="63" xfId="0" applyNumberFormat="1" applyFont="1" applyBorder="1"/>
    <xf numFmtId="0" fontId="2" fillId="0" borderId="41" xfId="0" applyFont="1" applyBorder="1" applyAlignment="1">
      <alignment horizontal="center"/>
    </xf>
    <xf numFmtId="0" fontId="2" fillId="0" borderId="42" xfId="0" applyFont="1" applyBorder="1" applyAlignment="1">
      <alignment vertical="center"/>
    </xf>
    <xf numFmtId="0" fontId="2" fillId="0" borderId="44" xfId="0" applyFont="1" applyBorder="1" applyAlignment="1">
      <alignment vertical="center"/>
    </xf>
    <xf numFmtId="0" fontId="2" fillId="0" borderId="34" xfId="0" applyFont="1" applyBorder="1" applyAlignment="1">
      <alignment vertical="center"/>
    </xf>
    <xf numFmtId="0" fontId="1" fillId="0" borderId="50" xfId="0" applyNumberFormat="1" applyFont="1" applyBorder="1" applyAlignment="1">
      <alignment horizontal="center" vertical="center"/>
    </xf>
    <xf numFmtId="164" fontId="1" fillId="0" borderId="7" xfId="0" applyNumberFormat="1" applyFont="1" applyBorder="1" applyAlignment="1">
      <alignment vertical="center"/>
    </xf>
    <xf numFmtId="49" fontId="2" fillId="0" borderId="14" xfId="0" applyNumberFormat="1" applyFont="1" applyBorder="1"/>
    <xf numFmtId="0" fontId="10" fillId="0" borderId="0" xfId="0" applyFont="1"/>
    <xf numFmtId="0" fontId="11" fillId="0" borderId="0" xfId="0" applyFont="1"/>
    <xf numFmtId="49" fontId="2" fillId="0" borderId="45" xfId="0" applyNumberFormat="1" applyFont="1" applyBorder="1" applyAlignment="1">
      <alignment wrapText="1"/>
    </xf>
    <xf numFmtId="0" fontId="2" fillId="0" borderId="43" xfId="0" applyFont="1" applyBorder="1"/>
    <xf numFmtId="49" fontId="12" fillId="0" borderId="14" xfId="0" applyNumberFormat="1" applyFont="1" applyBorder="1"/>
    <xf numFmtId="49" fontId="13" fillId="0" borderId="14" xfId="0" applyNumberFormat="1" applyFont="1" applyBorder="1"/>
    <xf numFmtId="0" fontId="2" fillId="0" borderId="43" xfId="0" applyFont="1" applyBorder="1" applyAlignment="1">
      <alignment horizontal="left" vertical="center"/>
    </xf>
    <xf numFmtId="167" fontId="1" fillId="0" borderId="0" xfId="0" applyNumberFormat="1" applyFont="1"/>
    <xf numFmtId="49" fontId="8" fillId="4" borderId="23" xfId="0" applyNumberFormat="1" applyFont="1" applyFill="1" applyBorder="1" applyAlignment="1"/>
    <xf numFmtId="49" fontId="8" fillId="0" borderId="66" xfId="0" applyNumberFormat="1" applyFont="1" applyBorder="1" applyAlignment="1"/>
    <xf numFmtId="49" fontId="5" fillId="0" borderId="69" xfId="1" applyNumberFormat="1" applyFont="1" applyBorder="1" applyAlignment="1">
      <alignment horizontal="center"/>
    </xf>
    <xf numFmtId="167" fontId="1" fillId="0" borderId="66" xfId="0" applyNumberFormat="1" applyFont="1" applyBorder="1" applyAlignment="1"/>
    <xf numFmtId="0" fontId="3" fillId="9" borderId="1" xfId="0" applyFont="1" applyFill="1" applyBorder="1" applyAlignment="1"/>
    <xf numFmtId="0" fontId="3" fillId="10" borderId="9" xfId="0" applyFont="1" applyFill="1" applyBorder="1"/>
    <xf numFmtId="8" fontId="2" fillId="10" borderId="17" xfId="0" applyNumberFormat="1" applyFont="1" applyFill="1" applyBorder="1"/>
    <xf numFmtId="164" fontId="1" fillId="0" borderId="0" xfId="0" applyNumberFormat="1" applyFont="1"/>
    <xf numFmtId="168" fontId="1" fillId="0" borderId="0" xfId="0" applyNumberFormat="1" applyFont="1"/>
    <xf numFmtId="167" fontId="2" fillId="0" borderId="61" xfId="0" applyNumberFormat="1" applyFont="1" applyBorder="1" applyAlignment="1">
      <alignment vertical="center"/>
    </xf>
    <xf numFmtId="167" fontId="1" fillId="3" borderId="16" xfId="0" applyNumberFormat="1" applyFont="1" applyFill="1" applyBorder="1"/>
    <xf numFmtId="164" fontId="0" fillId="0" borderId="0" xfId="0" applyNumberFormat="1"/>
    <xf numFmtId="0" fontId="0" fillId="0" borderId="0" xfId="0" applyNumberFormat="1"/>
    <xf numFmtId="0" fontId="2" fillId="0" borderId="74" xfId="0" applyFont="1" applyBorder="1" applyAlignment="1">
      <alignment vertical="center"/>
    </xf>
    <xf numFmtId="2" fontId="0" fillId="0" borderId="0" xfId="0" applyNumberFormat="1"/>
    <xf numFmtId="169" fontId="0" fillId="0" borderId="0" xfId="0" applyNumberFormat="1"/>
    <xf numFmtId="0" fontId="14" fillId="0" borderId="0" xfId="0" applyFont="1" applyAlignment="1">
      <alignment horizontal="center"/>
    </xf>
    <xf numFmtId="0" fontId="15" fillId="0" borderId="0" xfId="0" applyFont="1"/>
    <xf numFmtId="169" fontId="15" fillId="0" borderId="0" xfId="0" applyNumberFormat="1" applyFont="1"/>
    <xf numFmtId="1" fontId="0" fillId="0" borderId="0" xfId="0" applyNumberFormat="1"/>
    <xf numFmtId="0" fontId="14" fillId="0" borderId="0" xfId="0" applyFont="1"/>
    <xf numFmtId="170" fontId="0" fillId="0" borderId="0" xfId="0" applyNumberFormat="1" applyAlignment="1">
      <alignment horizontal="right"/>
    </xf>
    <xf numFmtId="171" fontId="0" fillId="0" borderId="0" xfId="0" applyNumberFormat="1" applyAlignment="1">
      <alignment horizontal="right"/>
    </xf>
    <xf numFmtId="169" fontId="0" fillId="0" borderId="0" xfId="0" applyNumberFormat="1" applyAlignment="1">
      <alignment horizontal="center"/>
    </xf>
    <xf numFmtId="171" fontId="0" fillId="0" borderId="75" xfId="0" applyNumberFormat="1" applyBorder="1" applyAlignment="1">
      <alignment horizontal="right"/>
    </xf>
    <xf numFmtId="171" fontId="0" fillId="11" borderId="0" xfId="0" applyNumberFormat="1" applyFill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right"/>
    </xf>
    <xf numFmtId="171" fontId="0" fillId="12" borderId="0" xfId="0" applyNumberFormat="1" applyFill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right"/>
    </xf>
    <xf numFmtId="10" fontId="0" fillId="0" borderId="0" xfId="0" applyNumberFormat="1" applyAlignment="1">
      <alignment horizontal="right"/>
    </xf>
    <xf numFmtId="10" fontId="0" fillId="0" borderId="0" xfId="0" applyNumberFormat="1"/>
    <xf numFmtId="0" fontId="16" fillId="0" borderId="0" xfId="0" applyFont="1"/>
    <xf numFmtId="0" fontId="15" fillId="0" borderId="76" xfId="0" applyFont="1" applyBorder="1" applyAlignment="1">
      <alignment horizontal="center"/>
    </xf>
    <xf numFmtId="0" fontId="15" fillId="0" borderId="77" xfId="0" applyFont="1" applyBorder="1" applyAlignment="1">
      <alignment horizontal="center"/>
    </xf>
    <xf numFmtId="0" fontId="15" fillId="0" borderId="78" xfId="0" applyFont="1" applyBorder="1" applyAlignment="1">
      <alignment horizontal="center"/>
    </xf>
    <xf numFmtId="0" fontId="15" fillId="0" borderId="79" xfId="0" applyFont="1" applyBorder="1" applyAlignment="1">
      <alignment horizontal="center"/>
    </xf>
    <xf numFmtId="0" fontId="15" fillId="0" borderId="81" xfId="0" applyFont="1" applyBorder="1"/>
    <xf numFmtId="171" fontId="0" fillId="0" borderId="82" xfId="0" applyNumberFormat="1" applyBorder="1"/>
    <xf numFmtId="40" fontId="0" fillId="0" borderId="82" xfId="0" applyNumberFormat="1" applyBorder="1"/>
    <xf numFmtId="174" fontId="0" fillId="0" borderId="0" xfId="0" applyNumberFormat="1"/>
    <xf numFmtId="173" fontId="0" fillId="0" borderId="83" xfId="0" applyNumberFormat="1" applyBorder="1" applyAlignment="1">
      <alignment horizontal="center"/>
    </xf>
    <xf numFmtId="171" fontId="0" fillId="0" borderId="84" xfId="0" applyNumberFormat="1" applyBorder="1"/>
    <xf numFmtId="175" fontId="0" fillId="0" borderId="75" xfId="0" applyNumberFormat="1" applyBorder="1"/>
    <xf numFmtId="40" fontId="0" fillId="0" borderId="85" xfId="0" applyNumberFormat="1" applyBorder="1"/>
    <xf numFmtId="171" fontId="0" fillId="0" borderId="85" xfId="0" applyNumberFormat="1" applyBorder="1"/>
    <xf numFmtId="176" fontId="0" fillId="0" borderId="85" xfId="0" applyNumberFormat="1" applyBorder="1"/>
    <xf numFmtId="171" fontId="0" fillId="0" borderId="86" xfId="0" applyNumberFormat="1" applyBorder="1"/>
    <xf numFmtId="171" fontId="15" fillId="0" borderId="85" xfId="0" applyNumberFormat="1" applyFont="1" applyBorder="1"/>
    <xf numFmtId="171" fontId="15" fillId="0" borderId="86" xfId="0" applyNumberFormat="1" applyFont="1" applyBorder="1"/>
    <xf numFmtId="173" fontId="15" fillId="0" borderId="83" xfId="0" applyNumberFormat="1" applyFont="1" applyBorder="1" applyAlignment="1">
      <alignment horizontal="center"/>
    </xf>
    <xf numFmtId="14" fontId="0" fillId="0" borderId="83" xfId="0" applyNumberFormat="1" applyBorder="1" applyAlignment="1">
      <alignment horizontal="center"/>
    </xf>
    <xf numFmtId="175" fontId="0" fillId="0" borderId="88" xfId="0" applyNumberFormat="1" applyBorder="1"/>
    <xf numFmtId="171" fontId="0" fillId="0" borderId="89" xfId="0" applyNumberFormat="1" applyBorder="1"/>
    <xf numFmtId="40" fontId="0" fillId="0" borderId="90" xfId="0" applyNumberFormat="1" applyBorder="1"/>
    <xf numFmtId="171" fontId="0" fillId="0" borderId="90" xfId="0" applyNumberFormat="1" applyBorder="1"/>
    <xf numFmtId="175" fontId="0" fillId="0" borderId="0" xfId="0" applyNumberFormat="1"/>
    <xf numFmtId="171" fontId="0" fillId="0" borderId="0" xfId="0" applyNumberFormat="1"/>
    <xf numFmtId="40" fontId="0" fillId="0" borderId="0" xfId="0" applyNumberFormat="1"/>
    <xf numFmtId="49" fontId="0" fillId="0" borderId="0" xfId="0" applyNumberFormat="1" applyFont="1"/>
    <xf numFmtId="0" fontId="0" fillId="0" borderId="0" xfId="0" applyAlignment="1">
      <alignment wrapText="1"/>
    </xf>
    <xf numFmtId="0" fontId="0" fillId="0" borderId="0" xfId="0" applyFont="1"/>
    <xf numFmtId="171" fontId="0" fillId="0" borderId="0" xfId="0" applyNumberFormat="1" applyBorder="1"/>
    <xf numFmtId="14" fontId="0" fillId="0" borderId="90" xfId="0" applyNumberFormat="1" applyBorder="1" applyAlignment="1">
      <alignment horizontal="center"/>
    </xf>
    <xf numFmtId="164" fontId="0" fillId="0" borderId="0" xfId="0" applyNumberFormat="1" applyFont="1"/>
    <xf numFmtId="0" fontId="0" fillId="0" borderId="92" xfId="0" applyBorder="1" applyAlignment="1"/>
    <xf numFmtId="0" fontId="0" fillId="0" borderId="93" xfId="0" applyBorder="1" applyAlignment="1"/>
    <xf numFmtId="14" fontId="0" fillId="0" borderId="99" xfId="0" applyNumberFormat="1" applyBorder="1"/>
    <xf numFmtId="14" fontId="0" fillId="0" borderId="100" xfId="0" applyNumberFormat="1" applyBorder="1"/>
    <xf numFmtId="14" fontId="0" fillId="0" borderId="101" xfId="0" applyNumberFormat="1" applyBorder="1"/>
    <xf numFmtId="164" fontId="0" fillId="0" borderId="91" xfId="0" applyNumberFormat="1" applyBorder="1"/>
    <xf numFmtId="164" fontId="0" fillId="0" borderId="93" xfId="0" applyNumberFormat="1" applyBorder="1"/>
    <xf numFmtId="166" fontId="0" fillId="0" borderId="91" xfId="0" applyNumberFormat="1" applyBorder="1"/>
    <xf numFmtId="166" fontId="0" fillId="0" borderId="93" xfId="0" applyNumberFormat="1" applyBorder="1"/>
    <xf numFmtId="0" fontId="2" fillId="0" borderId="60" xfId="0" applyNumberFormat="1" applyFont="1" applyBorder="1" applyAlignment="1">
      <alignment horizontal="center" vertical="center"/>
    </xf>
    <xf numFmtId="0" fontId="2" fillId="0" borderId="61" xfId="0" applyNumberFormat="1" applyFont="1" applyBorder="1" applyAlignment="1">
      <alignment horizontal="center" vertical="center"/>
    </xf>
    <xf numFmtId="0" fontId="2" fillId="0" borderId="62" xfId="0" applyNumberFormat="1" applyFont="1" applyBorder="1" applyAlignment="1">
      <alignment horizontal="center" vertical="center"/>
    </xf>
    <xf numFmtId="166" fontId="18" fillId="0" borderId="91" xfId="0" applyNumberFormat="1" applyFont="1" applyBorder="1"/>
    <xf numFmtId="165" fontId="0" fillId="0" borderId="91" xfId="0" applyNumberFormat="1" applyFont="1" applyBorder="1"/>
    <xf numFmtId="166" fontId="0" fillId="0" borderId="91" xfId="0" applyNumberFormat="1" applyFont="1" applyBorder="1"/>
    <xf numFmtId="0" fontId="2" fillId="0" borderId="108" xfId="0" applyFont="1" applyBorder="1"/>
    <xf numFmtId="0" fontId="2" fillId="0" borderId="60" xfId="0" applyFont="1" applyBorder="1" applyAlignment="1">
      <alignment vertical="center"/>
    </xf>
    <xf numFmtId="0" fontId="2" fillId="0" borderId="12" xfId="0" applyFont="1" applyBorder="1"/>
    <xf numFmtId="0" fontId="2" fillId="0" borderId="61" xfId="0" applyFont="1" applyBorder="1" applyAlignment="1">
      <alignment vertical="center"/>
    </xf>
    <xf numFmtId="0" fontId="2" fillId="0" borderId="62" xfId="0" applyFont="1" applyBorder="1" applyAlignment="1">
      <alignment vertical="center"/>
    </xf>
    <xf numFmtId="0" fontId="2" fillId="0" borderId="63" xfId="0" applyFont="1" applyBorder="1"/>
    <xf numFmtId="167" fontId="0" fillId="0" borderId="0" xfId="0" applyNumberFormat="1"/>
    <xf numFmtId="8" fontId="1" fillId="0" borderId="0" xfId="0" applyNumberFormat="1" applyFont="1"/>
    <xf numFmtId="8" fontId="0" fillId="0" borderId="0" xfId="0" applyNumberFormat="1" applyFont="1"/>
    <xf numFmtId="14" fontId="0" fillId="0" borderId="0" xfId="0" applyNumberFormat="1"/>
    <xf numFmtId="0" fontId="15" fillId="0" borderId="109" xfId="0" applyFont="1" applyBorder="1" applyAlignment="1">
      <alignment horizontal="center"/>
    </xf>
    <xf numFmtId="8" fontId="0" fillId="0" borderId="110" xfId="0" applyNumberFormat="1" applyBorder="1" applyAlignment="1">
      <alignment horizontal="center"/>
    </xf>
    <xf numFmtId="8" fontId="15" fillId="0" borderId="110" xfId="0" applyNumberFormat="1" applyFont="1" applyBorder="1" applyAlignment="1">
      <alignment horizontal="center"/>
    </xf>
    <xf numFmtId="8" fontId="0" fillId="0" borderId="111" xfId="0" applyNumberFormat="1" applyBorder="1" applyAlignment="1">
      <alignment horizontal="center"/>
    </xf>
    <xf numFmtId="8" fontId="0" fillId="0" borderId="0" xfId="0" applyNumberFormat="1"/>
    <xf numFmtId="14" fontId="0" fillId="0" borderId="80" xfId="0" applyNumberFormat="1" applyBorder="1" applyAlignment="1">
      <alignment horizontal="center"/>
    </xf>
    <xf numFmtId="14" fontId="15" fillId="0" borderId="80" xfId="0" applyNumberFormat="1" applyFont="1" applyBorder="1" applyAlignment="1">
      <alignment horizontal="center"/>
    </xf>
    <xf numFmtId="14" fontId="0" fillId="0" borderId="87" xfId="0" applyNumberFormat="1" applyBorder="1" applyAlignment="1">
      <alignment horizontal="center"/>
    </xf>
    <xf numFmtId="16" fontId="2" fillId="0" borderId="43" xfId="0" applyNumberFormat="1" applyFont="1" applyBorder="1"/>
    <xf numFmtId="167" fontId="1" fillId="8" borderId="22" xfId="0" applyNumberFormat="1" applyFont="1" applyFill="1" applyBorder="1" applyAlignment="1"/>
    <xf numFmtId="6" fontId="1" fillId="0" borderId="0" xfId="0" applyNumberFormat="1" applyFont="1"/>
    <xf numFmtId="8" fontId="2" fillId="4" borderId="20" xfId="0" applyNumberFormat="1" applyFont="1" applyFill="1" applyBorder="1" applyAlignment="1"/>
    <xf numFmtId="8" fontId="2" fillId="4" borderId="21" xfId="0" applyNumberFormat="1" applyFont="1" applyFill="1" applyBorder="1" applyAlignment="1"/>
    <xf numFmtId="8" fontId="2" fillId="0" borderId="55" xfId="0" applyNumberFormat="1" applyFont="1" applyBorder="1" applyAlignment="1"/>
    <xf numFmtId="8" fontId="2" fillId="0" borderId="26" xfId="0" applyNumberFormat="1" applyFont="1" applyBorder="1" applyAlignment="1"/>
    <xf numFmtId="8" fontId="2" fillId="0" borderId="25" xfId="0" applyNumberFormat="1" applyFont="1" applyBorder="1" applyAlignment="1"/>
    <xf numFmtId="8" fontId="2" fillId="4" borderId="14" xfId="0" applyNumberFormat="1" applyFont="1" applyFill="1" applyBorder="1" applyAlignment="1"/>
    <xf numFmtId="8" fontId="2" fillId="4" borderId="27" xfId="0" applyNumberFormat="1" applyFont="1" applyFill="1" applyBorder="1" applyAlignment="1"/>
    <xf numFmtId="8" fontId="2" fillId="0" borderId="57" xfId="0" applyNumberFormat="1" applyFont="1" applyBorder="1" applyAlignment="1"/>
    <xf numFmtId="8" fontId="2" fillId="4" borderId="56" xfId="0" applyNumberFormat="1" applyFont="1" applyFill="1" applyBorder="1" applyAlignment="1"/>
    <xf numFmtId="8" fontId="2" fillId="0" borderId="29" xfId="0" applyNumberFormat="1" applyFont="1" applyBorder="1" applyAlignment="1"/>
    <xf numFmtId="8" fontId="2" fillId="4" borderId="29" xfId="0" applyNumberFormat="1" applyFont="1" applyFill="1" applyBorder="1" applyAlignment="1"/>
    <xf numFmtId="8" fontId="2" fillId="4" borderId="12" xfId="0" applyNumberFormat="1" applyFont="1" applyFill="1" applyBorder="1" applyAlignment="1"/>
    <xf numFmtId="8" fontId="2" fillId="0" borderId="30" xfId="0" applyNumberFormat="1" applyFont="1" applyBorder="1" applyAlignment="1"/>
    <xf numFmtId="8" fontId="2" fillId="4" borderId="30" xfId="0" applyNumberFormat="1" applyFont="1" applyFill="1" applyBorder="1" applyAlignment="1"/>
    <xf numFmtId="8" fontId="2" fillId="4" borderId="26" xfId="0" applyNumberFormat="1" applyFont="1" applyFill="1" applyBorder="1" applyAlignment="1"/>
    <xf numFmtId="8" fontId="2" fillId="4" borderId="57" xfId="0" applyNumberFormat="1" applyFont="1" applyFill="1" applyBorder="1" applyAlignment="1"/>
    <xf numFmtId="8" fontId="2" fillId="0" borderId="70" xfId="0" applyNumberFormat="1" applyFont="1" applyBorder="1" applyAlignment="1"/>
    <xf numFmtId="8" fontId="2" fillId="0" borderId="71" xfId="0" applyNumberFormat="1" applyFont="1" applyBorder="1" applyAlignment="1"/>
    <xf numFmtId="8" fontId="2" fillId="0" borderId="72" xfId="0" applyNumberFormat="1" applyFont="1" applyBorder="1" applyAlignment="1"/>
    <xf numFmtId="8" fontId="2" fillId="10" borderId="10" xfId="0" applyNumberFormat="1" applyFont="1" applyFill="1" applyBorder="1"/>
    <xf numFmtId="8" fontId="2" fillId="10" borderId="18" xfId="0" applyNumberFormat="1" applyFont="1" applyFill="1" applyBorder="1"/>
    <xf numFmtId="8" fontId="10" fillId="0" borderId="0" xfId="0" applyNumberFormat="1" applyFont="1"/>
    <xf numFmtId="8" fontId="1" fillId="3" borderId="12" xfId="0" applyNumberFormat="1" applyFont="1" applyFill="1" applyBorder="1"/>
    <xf numFmtId="8" fontId="1" fillId="0" borderId="2" xfId="0" applyNumberFormat="1" applyFont="1" applyBorder="1"/>
    <xf numFmtId="8" fontId="1" fillId="3" borderId="2" xfId="0" applyNumberFormat="1" applyFont="1" applyFill="1" applyBorder="1"/>
    <xf numFmtId="8" fontId="1" fillId="0" borderId="2" xfId="0" applyNumberFormat="1" applyFont="1" applyBorder="1" applyAlignment="1">
      <alignment horizontal="right"/>
    </xf>
    <xf numFmtId="8" fontId="1" fillId="3" borderId="16" xfId="0" applyNumberFormat="1" applyFont="1" applyFill="1" applyBorder="1"/>
    <xf numFmtId="8" fontId="1" fillId="0" borderId="5" xfId="0" applyNumberFormat="1" applyFont="1" applyBorder="1" applyAlignment="1">
      <alignment horizontal="right"/>
    </xf>
    <xf numFmtId="8" fontId="2" fillId="4" borderId="3" xfId="0" applyNumberFormat="1" applyFont="1" applyFill="1" applyBorder="1" applyAlignment="1">
      <alignment horizontal="right"/>
    </xf>
    <xf numFmtId="8" fontId="2" fillId="0" borderId="47" xfId="0" applyNumberFormat="1" applyFont="1" applyBorder="1" applyAlignment="1">
      <alignment horizontal="right"/>
    </xf>
    <xf numFmtId="8" fontId="2" fillId="4" borderId="47" xfId="0" applyNumberFormat="1" applyFont="1" applyFill="1" applyBorder="1" applyAlignment="1">
      <alignment horizontal="right"/>
    </xf>
    <xf numFmtId="8" fontId="2" fillId="0" borderId="23" xfId="0" applyNumberFormat="1" applyFont="1" applyBorder="1" applyAlignment="1">
      <alignment horizontal="right"/>
    </xf>
    <xf numFmtId="8" fontId="2" fillId="4" borderId="67" xfId="0" applyNumberFormat="1" applyFont="1" applyFill="1" applyBorder="1" applyAlignment="1">
      <alignment horizontal="right"/>
    </xf>
    <xf numFmtId="8" fontId="2" fillId="0" borderId="68" xfId="0" applyNumberFormat="1" applyFont="1" applyBorder="1" applyAlignment="1">
      <alignment horizontal="right"/>
    </xf>
    <xf numFmtId="8" fontId="2" fillId="10" borderId="11" xfId="0" applyNumberFormat="1" applyFont="1" applyFill="1" applyBorder="1"/>
    <xf numFmtId="8" fontId="17" fillId="0" borderId="86" xfId="0" applyNumberFormat="1" applyFont="1" applyBorder="1"/>
    <xf numFmtId="8" fontId="0" fillId="0" borderId="85" xfId="0" applyNumberFormat="1" applyBorder="1"/>
    <xf numFmtId="8" fontId="0" fillId="0" borderId="86" xfId="0" applyNumberFormat="1" applyBorder="1"/>
    <xf numFmtId="8" fontId="0" fillId="0" borderId="90" xfId="0" applyNumberFormat="1" applyBorder="1"/>
    <xf numFmtId="8" fontId="0" fillId="0" borderId="89" xfId="0" applyNumberFormat="1" applyBorder="1"/>
    <xf numFmtId="8" fontId="1" fillId="0" borderId="0" xfId="0" applyNumberFormat="1" applyFont="1" applyAlignment="1">
      <alignment vertical="top"/>
    </xf>
    <xf numFmtId="8" fontId="2" fillId="0" borderId="59" xfId="0" applyNumberFormat="1" applyFont="1" applyBorder="1" applyAlignment="1">
      <alignment horizontal="center" vertical="center"/>
    </xf>
    <xf numFmtId="8" fontId="2" fillId="0" borderId="60" xfId="0" applyNumberFormat="1" applyFont="1" applyBorder="1"/>
    <xf numFmtId="8" fontId="2" fillId="0" borderId="61" xfId="0" applyNumberFormat="1" applyFont="1" applyBorder="1" applyAlignment="1">
      <alignment vertical="center"/>
    </xf>
    <xf numFmtId="8" fontId="2" fillId="0" borderId="62" xfId="0" applyNumberFormat="1" applyFont="1" applyBorder="1"/>
    <xf numFmtId="8" fontId="2" fillId="0" borderId="55" xfId="0" applyNumberFormat="1" applyFont="1" applyBorder="1" applyAlignment="1">
      <alignment horizontal="center" vertical="center"/>
    </xf>
    <xf numFmtId="8" fontId="2" fillId="0" borderId="61" xfId="0" applyNumberFormat="1" applyFont="1" applyBorder="1"/>
    <xf numFmtId="8" fontId="2" fillId="0" borderId="12" xfId="0" applyNumberFormat="1" applyFont="1" applyBorder="1"/>
    <xf numFmtId="8" fontId="2" fillId="0" borderId="63" xfId="0" applyNumberFormat="1" applyFont="1" applyBorder="1"/>
    <xf numFmtId="0" fontId="0" fillId="0" borderId="0" xfId="0" quotePrefix="1" applyFont="1"/>
    <xf numFmtId="2" fontId="10" fillId="0" borderId="0" xfId="0" applyNumberFormat="1" applyFont="1"/>
    <xf numFmtId="49" fontId="19" fillId="13" borderId="0" xfId="0" applyNumberFormat="1" applyFont="1" applyFill="1"/>
    <xf numFmtId="0" fontId="20" fillId="0" borderId="0" xfId="0" applyFont="1"/>
    <xf numFmtId="8" fontId="1" fillId="0" borderId="22" xfId="0" applyNumberFormat="1" applyFont="1" applyFill="1" applyBorder="1" applyAlignment="1"/>
    <xf numFmtId="8" fontId="2" fillId="3" borderId="3" xfId="0" applyNumberFormat="1" applyFont="1" applyFill="1" applyBorder="1" applyAlignment="1">
      <alignment horizontal="right"/>
    </xf>
    <xf numFmtId="8" fontId="2" fillId="3" borderId="0" xfId="0" applyNumberFormat="1" applyFont="1" applyFill="1" applyBorder="1" applyAlignment="1">
      <alignment horizontal="right"/>
    </xf>
    <xf numFmtId="8" fontId="2" fillId="3" borderId="4" xfId="0" applyNumberFormat="1" applyFont="1" applyFill="1" applyBorder="1" applyAlignment="1">
      <alignment horizontal="right"/>
    </xf>
    <xf numFmtId="8" fontId="2" fillId="0" borderId="3" xfId="0" applyNumberFormat="1" applyFont="1" applyBorder="1" applyAlignment="1">
      <alignment horizontal="right"/>
    </xf>
    <xf numFmtId="8" fontId="2" fillId="0" borderId="0" xfId="0" applyNumberFormat="1" applyFont="1" applyBorder="1" applyAlignment="1">
      <alignment horizontal="right"/>
    </xf>
    <xf numFmtId="8" fontId="2" fillId="0" borderId="4" xfId="0" applyNumberFormat="1" applyFont="1" applyBorder="1" applyAlignment="1">
      <alignment horizontal="right"/>
    </xf>
    <xf numFmtId="49" fontId="5" fillId="0" borderId="51" xfId="1" applyNumberFormat="1" applyFont="1" applyBorder="1" applyAlignment="1">
      <alignment horizontal="center" vertical="center"/>
    </xf>
    <xf numFmtId="49" fontId="5" fillId="0" borderId="46" xfId="1" applyNumberFormat="1" applyFont="1" applyBorder="1" applyAlignment="1">
      <alignment horizontal="center" vertical="center"/>
    </xf>
    <xf numFmtId="49" fontId="5" fillId="0" borderId="52" xfId="1" applyNumberFormat="1" applyFont="1" applyBorder="1" applyAlignment="1">
      <alignment horizontal="center" vertical="center"/>
    </xf>
    <xf numFmtId="8" fontId="1" fillId="0" borderId="7" xfId="0" applyNumberFormat="1" applyFont="1" applyBorder="1" applyAlignment="1">
      <alignment vertical="center"/>
    </xf>
    <xf numFmtId="8" fontId="1" fillId="0" borderId="6" xfId="0" applyNumberFormat="1" applyFont="1" applyBorder="1" applyAlignment="1">
      <alignment vertical="center"/>
    </xf>
    <xf numFmtId="8" fontId="1" fillId="0" borderId="8" xfId="0" applyNumberFormat="1" applyFont="1" applyBorder="1" applyAlignment="1">
      <alignment vertical="center"/>
    </xf>
    <xf numFmtId="49" fontId="2" fillId="0" borderId="11" xfId="0" applyNumberFormat="1" applyFont="1" applyBorder="1" applyAlignment="1">
      <alignment horizontal="center"/>
    </xf>
    <xf numFmtId="49" fontId="2" fillId="0" borderId="46" xfId="0" applyNumberFormat="1" applyFont="1" applyBorder="1" applyAlignment="1">
      <alignment horizontal="center"/>
    </xf>
    <xf numFmtId="49" fontId="2" fillId="0" borderId="52" xfId="0" applyNumberFormat="1" applyFont="1" applyBorder="1" applyAlignment="1">
      <alignment horizontal="center"/>
    </xf>
    <xf numFmtId="8" fontId="2" fillId="3" borderId="53" xfId="0" applyNumberFormat="1" applyFont="1" applyFill="1" applyBorder="1" applyAlignment="1">
      <alignment horizontal="right"/>
    </xf>
    <xf numFmtId="8" fontId="2" fillId="3" borderId="32" xfId="0" applyNumberFormat="1" applyFont="1" applyFill="1" applyBorder="1" applyAlignment="1">
      <alignment horizontal="right"/>
    </xf>
    <xf numFmtId="8" fontId="2" fillId="3" borderId="54" xfId="0" applyNumberFormat="1" applyFont="1" applyFill="1" applyBorder="1" applyAlignment="1">
      <alignment horizontal="right"/>
    </xf>
    <xf numFmtId="8" fontId="1" fillId="0" borderId="7" xfId="0" quotePrefix="1" applyNumberFormat="1" applyFont="1" applyBorder="1" applyAlignment="1">
      <alignment vertical="center"/>
    </xf>
    <xf numFmtId="8" fontId="2" fillId="3" borderId="48" xfId="0" applyNumberFormat="1" applyFont="1" applyFill="1" applyBorder="1" applyAlignment="1">
      <alignment horizontal="right"/>
    </xf>
    <xf numFmtId="8" fontId="2" fillId="3" borderId="35" xfId="0" applyNumberFormat="1" applyFont="1" applyFill="1" applyBorder="1" applyAlignment="1">
      <alignment horizontal="right"/>
    </xf>
    <xf numFmtId="8" fontId="2" fillId="3" borderId="49" xfId="0" applyNumberFormat="1" applyFont="1" applyFill="1" applyBorder="1" applyAlignment="1">
      <alignment horizontal="right"/>
    </xf>
    <xf numFmtId="8" fontId="2" fillId="0" borderId="3" xfId="0" quotePrefix="1" applyNumberFormat="1" applyFont="1" applyBorder="1" applyAlignment="1">
      <alignment horizontal="right"/>
    </xf>
    <xf numFmtId="8" fontId="2" fillId="0" borderId="7" xfId="0" applyNumberFormat="1" applyFont="1" applyBorder="1" applyAlignment="1">
      <alignment horizontal="right"/>
    </xf>
    <xf numFmtId="8" fontId="2" fillId="0" borderId="6" xfId="0" applyNumberFormat="1" applyFont="1" applyBorder="1" applyAlignment="1">
      <alignment horizontal="right"/>
    </xf>
    <xf numFmtId="8" fontId="2" fillId="0" borderId="8" xfId="0" applyNumberFormat="1" applyFont="1" applyBorder="1" applyAlignment="1">
      <alignment horizontal="right"/>
    </xf>
    <xf numFmtId="0" fontId="1" fillId="0" borderId="73" xfId="0" applyFont="1" applyBorder="1" applyAlignment="1">
      <alignment vertical="top" wrapText="1"/>
    </xf>
    <xf numFmtId="0" fontId="0" fillId="0" borderId="94" xfId="0" applyBorder="1" applyAlignment="1">
      <alignment horizontal="center"/>
    </xf>
    <xf numFmtId="0" fontId="0" fillId="0" borderId="95" xfId="0" applyBorder="1" applyAlignment="1">
      <alignment horizontal="center"/>
    </xf>
    <xf numFmtId="0" fontId="0" fillId="0" borderId="96" xfId="0" applyBorder="1" applyAlignment="1">
      <alignment horizontal="center"/>
    </xf>
    <xf numFmtId="0" fontId="0" fillId="0" borderId="97" xfId="0" applyBorder="1" applyAlignment="1"/>
    <xf numFmtId="0" fontId="0" fillId="0" borderId="98" xfId="0" applyBorder="1" applyAlignment="1"/>
    <xf numFmtId="0" fontId="0" fillId="0" borderId="102" xfId="0" applyNumberFormat="1" applyBorder="1" applyAlignment="1"/>
    <xf numFmtId="0" fontId="0" fillId="0" borderId="103" xfId="0" applyNumberFormat="1" applyBorder="1" applyAlignment="1"/>
    <xf numFmtId="0" fontId="0" fillId="0" borderId="106" xfId="0" applyNumberFormat="1" applyBorder="1" applyAlignment="1"/>
    <xf numFmtId="0" fontId="0" fillId="0" borderId="107" xfId="0" applyNumberFormat="1" applyBorder="1" applyAlignment="1"/>
    <xf numFmtId="0" fontId="0" fillId="0" borderId="104" xfId="0" applyNumberFormat="1" applyBorder="1" applyAlignment="1"/>
    <xf numFmtId="0" fontId="0" fillId="0" borderId="105" xfId="0" applyNumberFormat="1" applyBorder="1" applyAlignment="1"/>
    <xf numFmtId="0" fontId="18" fillId="0" borderId="102" xfId="0" applyNumberFormat="1" applyFont="1" applyBorder="1" applyAlignment="1"/>
    <xf numFmtId="0" fontId="18" fillId="0" borderId="103" xfId="0" applyNumberFormat="1" applyFont="1" applyBorder="1" applyAlignment="1"/>
    <xf numFmtId="2" fontId="18" fillId="0" borderId="104" xfId="0" applyNumberFormat="1" applyFont="1" applyBorder="1" applyAlignment="1"/>
    <xf numFmtId="2" fontId="18" fillId="0" borderId="105" xfId="0" applyNumberFormat="1" applyFont="1" applyBorder="1" applyAlignment="1"/>
    <xf numFmtId="0" fontId="18" fillId="0" borderId="104" xfId="0" applyNumberFormat="1" applyFont="1" applyBorder="1" applyAlignment="1"/>
    <xf numFmtId="0" fontId="18" fillId="0" borderId="105" xfId="0" applyNumberFormat="1" applyFont="1" applyBorder="1" applyAlignment="1"/>
    <xf numFmtId="0" fontId="0" fillId="0" borderId="104" xfId="0" applyNumberFormat="1" applyBorder="1" applyAlignment="1">
      <alignment horizontal="left"/>
    </xf>
    <xf numFmtId="0" fontId="0" fillId="0" borderId="105" xfId="0" applyNumberFormat="1" applyBorder="1" applyAlignment="1">
      <alignment horizontal="left"/>
    </xf>
    <xf numFmtId="0" fontId="0" fillId="0" borderId="104" xfId="0" applyNumberFormat="1" applyBorder="1" applyAlignment="1">
      <alignment horizontal="center"/>
    </xf>
    <xf numFmtId="0" fontId="0" fillId="0" borderId="105" xfId="0" applyNumberFormat="1" applyBorder="1" applyAlignment="1">
      <alignment horizontal="center"/>
    </xf>
    <xf numFmtId="0" fontId="0" fillId="0" borderId="106" xfId="0" applyNumberFormat="1" applyBorder="1" applyAlignment="1">
      <alignment horizontal="center"/>
    </xf>
    <xf numFmtId="0" fontId="0" fillId="0" borderId="107" xfId="0" applyNumberFormat="1" applyBorder="1" applyAlignment="1">
      <alignment horizontal="center"/>
    </xf>
    <xf numFmtId="0" fontId="0" fillId="0" borderId="106" xfId="0" applyNumberFormat="1" applyBorder="1" applyAlignment="1">
      <alignment horizontal="left"/>
    </xf>
    <xf numFmtId="0" fontId="0" fillId="0" borderId="107" xfId="0" applyNumberFormat="1" applyBorder="1" applyAlignment="1">
      <alignment horizontal="left"/>
    </xf>
    <xf numFmtId="0" fontId="0" fillId="0" borderId="104" xfId="0" applyNumberFormat="1" applyFont="1" applyBorder="1" applyAlignment="1"/>
    <xf numFmtId="0" fontId="0" fillId="0" borderId="105" xfId="0" applyNumberFormat="1" applyFont="1" applyBorder="1" applyAlignment="1"/>
    <xf numFmtId="0" fontId="0" fillId="0" borderId="102" xfId="0" applyNumberFormat="1" applyBorder="1" applyAlignment="1">
      <alignment horizontal="center"/>
    </xf>
    <xf numFmtId="0" fontId="0" fillId="0" borderId="103" xfId="0" applyNumberFormat="1" applyBorder="1" applyAlignment="1">
      <alignment horizontal="center"/>
    </xf>
    <xf numFmtId="0" fontId="18" fillId="0" borderId="102" xfId="0" applyNumberFormat="1" applyFont="1" applyBorder="1" applyAlignment="1">
      <alignment horizontal="left"/>
    </xf>
    <xf numFmtId="0" fontId="18" fillId="0" borderId="103" xfId="0" applyNumberFormat="1" applyFont="1" applyBorder="1" applyAlignment="1">
      <alignment horizontal="left"/>
    </xf>
    <xf numFmtId="49" fontId="5" fillId="0" borderId="31" xfId="1" quotePrefix="1" applyNumberFormat="1" applyFont="1" applyBorder="1" applyAlignment="1">
      <alignment horizontal="center" vertical="center"/>
    </xf>
    <xf numFmtId="0" fontId="5" fillId="0" borderId="32" xfId="1" applyNumberFormat="1" applyFont="1" applyBorder="1" applyAlignment="1">
      <alignment horizontal="center" vertical="center"/>
    </xf>
    <xf numFmtId="0" fontId="5" fillId="0" borderId="33" xfId="1" applyNumberFormat="1" applyFont="1" applyBorder="1" applyAlignment="1">
      <alignment horizontal="center" vertical="center"/>
    </xf>
    <xf numFmtId="0" fontId="5" fillId="0" borderId="34" xfId="1" applyNumberFormat="1" applyFont="1" applyBorder="1" applyAlignment="1">
      <alignment horizontal="center" vertical="center"/>
    </xf>
    <xf numFmtId="0" fontId="5" fillId="0" borderId="35" xfId="1" applyNumberFormat="1" applyFont="1" applyBorder="1" applyAlignment="1">
      <alignment horizontal="center" vertical="center"/>
    </xf>
    <xf numFmtId="0" fontId="5" fillId="0" borderId="36" xfId="1" applyNumberFormat="1" applyFont="1" applyBorder="1" applyAlignment="1">
      <alignment horizontal="center" vertical="center"/>
    </xf>
    <xf numFmtId="0" fontId="2" fillId="0" borderId="38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164" fontId="2" fillId="0" borderId="13" xfId="0" applyNumberFormat="1" applyFont="1" applyBorder="1" applyAlignment="1">
      <alignment horizontal="right"/>
    </xf>
    <xf numFmtId="164" fontId="2" fillId="0" borderId="43" xfId="0" applyNumberFormat="1" applyFont="1" applyBorder="1" applyAlignment="1">
      <alignment horizontal="right"/>
    </xf>
    <xf numFmtId="164" fontId="2" fillId="0" borderId="65" xfId="0" applyNumberFormat="1" applyFont="1" applyBorder="1" applyAlignment="1">
      <alignment horizontal="right"/>
    </xf>
    <xf numFmtId="164" fontId="2" fillId="0" borderId="36" xfId="0" applyNumberFormat="1" applyFont="1" applyBorder="1" applyAlignment="1">
      <alignment horizontal="right"/>
    </xf>
    <xf numFmtId="49" fontId="5" fillId="0" borderId="31" xfId="1" applyNumberFormat="1" applyFont="1" applyBorder="1" applyAlignment="1">
      <alignment horizontal="center" vertical="center"/>
    </xf>
    <xf numFmtId="0" fontId="2" fillId="0" borderId="58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164" fontId="2" fillId="0" borderId="64" xfId="0" applyNumberFormat="1" applyFont="1" applyBorder="1" applyAlignment="1">
      <alignment horizontal="right"/>
    </xf>
    <xf numFmtId="164" fontId="2" fillId="0" borderId="45" xfId="0" applyNumberFormat="1" applyFont="1" applyBorder="1" applyAlignment="1">
      <alignment horizontal="right"/>
    </xf>
    <xf numFmtId="49" fontId="5" fillId="0" borderId="32" xfId="1" quotePrefix="1" applyNumberFormat="1" applyFont="1" applyBorder="1" applyAlignment="1">
      <alignment horizontal="center" vertical="center"/>
    </xf>
    <xf numFmtId="49" fontId="5" fillId="0" borderId="33" xfId="1" quotePrefix="1" applyNumberFormat="1" applyFont="1" applyBorder="1" applyAlignment="1">
      <alignment horizontal="center" vertical="center"/>
    </xf>
    <xf numFmtId="49" fontId="5" fillId="0" borderId="34" xfId="1" quotePrefix="1" applyNumberFormat="1" applyFont="1" applyBorder="1" applyAlignment="1">
      <alignment horizontal="center" vertical="center"/>
    </xf>
    <xf numFmtId="49" fontId="5" fillId="0" borderId="35" xfId="1" quotePrefix="1" applyNumberFormat="1" applyFont="1" applyBorder="1" applyAlignment="1">
      <alignment horizontal="center" vertical="center"/>
    </xf>
    <xf numFmtId="49" fontId="5" fillId="0" borderId="36" xfId="1" quotePrefix="1" applyNumberFormat="1" applyFont="1" applyBorder="1" applyAlignment="1">
      <alignment horizontal="center" vertical="center"/>
    </xf>
    <xf numFmtId="8" fontId="2" fillId="0" borderId="13" xfId="0" applyNumberFormat="1" applyFont="1" applyBorder="1" applyAlignment="1">
      <alignment horizontal="right"/>
    </xf>
    <xf numFmtId="8" fontId="2" fillId="0" borderId="43" xfId="0" applyNumberFormat="1" applyFont="1" applyBorder="1" applyAlignment="1">
      <alignment horizontal="right"/>
    </xf>
    <xf numFmtId="8" fontId="2" fillId="0" borderId="64" xfId="0" applyNumberFormat="1" applyFont="1" applyBorder="1" applyAlignment="1">
      <alignment horizontal="right"/>
    </xf>
    <xf numFmtId="8" fontId="2" fillId="0" borderId="45" xfId="0" applyNumberFormat="1" applyFont="1" applyBorder="1" applyAlignment="1">
      <alignment horizontal="right"/>
    </xf>
    <xf numFmtId="8" fontId="2" fillId="0" borderId="58" xfId="0" applyNumberFormat="1" applyFont="1" applyBorder="1" applyAlignment="1">
      <alignment horizontal="center" vertical="center"/>
    </xf>
    <xf numFmtId="8" fontId="2" fillId="0" borderId="39" xfId="0" applyNumberFormat="1" applyFont="1" applyBorder="1" applyAlignment="1">
      <alignment horizontal="center" vertical="center"/>
    </xf>
    <xf numFmtId="8" fontId="2" fillId="0" borderId="65" xfId="0" applyNumberFormat="1" applyFont="1" applyBorder="1" applyAlignment="1">
      <alignment horizontal="right"/>
    </xf>
    <xf numFmtId="8" fontId="2" fillId="0" borderId="36" xfId="0" applyNumberFormat="1" applyFont="1" applyBorder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colors>
    <mruColors>
      <color rgb="FFFFDC6D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N75"/>
  <sheetViews>
    <sheetView topLeftCell="A26" zoomScaleNormal="100" workbookViewId="0">
      <pane xSplit="1" topLeftCell="AO1" activePane="topRight" state="frozen"/>
      <selection pane="topRight" activeCell="AU38" sqref="AU38"/>
    </sheetView>
  </sheetViews>
  <sheetFormatPr defaultColWidth="9.140625" defaultRowHeight="15"/>
  <cols>
    <col min="1" max="1" width="20.140625" customWidth="1"/>
    <col min="2" max="2" width="13.7109375" customWidth="1"/>
    <col min="3" max="3" width="11.140625" customWidth="1"/>
    <col min="4" max="4" width="10.28515625" customWidth="1"/>
    <col min="5" max="5" width="10.140625" customWidth="1"/>
    <col min="6" max="6" width="10.85546875" customWidth="1"/>
    <col min="7" max="7" width="10.5703125" customWidth="1"/>
    <col min="8" max="8" width="10.42578125" customWidth="1"/>
    <col min="9" max="9" width="10" customWidth="1"/>
    <col min="10" max="10" width="10.85546875" customWidth="1"/>
    <col min="11" max="11" width="11" customWidth="1"/>
    <col min="12" max="12" width="10.28515625" customWidth="1"/>
    <col min="13" max="13" width="9.28515625" customWidth="1"/>
    <col min="14" max="14" width="10.5703125" customWidth="1"/>
    <col min="15" max="15" width="11.140625" customWidth="1"/>
    <col min="16" max="16" width="10.28515625" customWidth="1"/>
    <col min="17" max="17" width="9.5703125" customWidth="1"/>
    <col min="18" max="18" width="11.140625" customWidth="1"/>
    <col min="19" max="19" width="10.85546875" customWidth="1"/>
    <col min="20" max="20" width="9.5703125" bestFit="1" customWidth="1"/>
    <col min="21" max="21" width="9.85546875" customWidth="1"/>
    <col min="22" max="22" width="10.85546875" customWidth="1"/>
    <col min="23" max="23" width="10.5703125" customWidth="1"/>
    <col min="24" max="24" width="10" customWidth="1"/>
    <col min="25" max="25" width="9.5703125" customWidth="1"/>
    <col min="26" max="26" width="11.42578125" customWidth="1"/>
    <col min="27" max="28" width="11" customWidth="1"/>
    <col min="29" max="29" width="9.42578125" customWidth="1"/>
    <col min="30" max="30" width="11.140625" customWidth="1"/>
    <col min="31" max="31" width="10.5703125" customWidth="1"/>
    <col min="32" max="32" width="10.28515625" customWidth="1"/>
    <col min="33" max="33" width="10.7109375" customWidth="1"/>
    <col min="34" max="34" width="11.140625" customWidth="1"/>
    <col min="35" max="35" width="11.28515625" customWidth="1"/>
    <col min="36" max="36" width="10.42578125" customWidth="1"/>
    <col min="37" max="37" width="10.140625" customWidth="1"/>
    <col min="38" max="38" width="11.140625" customWidth="1"/>
    <col min="39" max="39" width="11.42578125" customWidth="1"/>
    <col min="40" max="40" width="10.140625" customWidth="1"/>
    <col min="41" max="41" width="9.85546875" customWidth="1"/>
    <col min="42" max="42" width="11.140625" customWidth="1"/>
    <col min="43" max="43" width="10.7109375" customWidth="1"/>
    <col min="44" max="44" width="11.140625" customWidth="1"/>
    <col min="45" max="45" width="10.28515625" customWidth="1"/>
    <col min="46" max="46" width="11.140625" customWidth="1"/>
    <col min="47" max="47" width="11.42578125" customWidth="1"/>
    <col min="48" max="48" width="10.7109375" customWidth="1"/>
    <col min="49" max="49" width="10.42578125" customWidth="1"/>
    <col min="50" max="50" width="11.140625" customWidth="1"/>
    <col min="51" max="51" width="21.7109375" customWidth="1"/>
    <col min="52" max="52" width="26.85546875" customWidth="1"/>
    <col min="53" max="53" width="19.28515625" customWidth="1"/>
    <col min="54" max="54" width="24" customWidth="1"/>
    <col min="55" max="55" width="11.140625" customWidth="1"/>
    <col min="61" max="61" width="23.42578125" customWidth="1"/>
    <col min="62" max="62" width="17.28515625" customWidth="1"/>
    <col min="64" max="64" width="16" customWidth="1"/>
    <col min="66" max="66" width="23.42578125" customWidth="1"/>
  </cols>
  <sheetData>
    <row r="1" spans="1:56" ht="15.7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</row>
    <row r="2" spans="1:56" ht="15.75">
      <c r="A2" s="1"/>
      <c r="B2" s="1"/>
      <c r="C2" s="1"/>
      <c r="D2" s="1"/>
      <c r="E2" s="1"/>
      <c r="F2" s="4"/>
      <c r="G2" s="1"/>
      <c r="H2" s="1"/>
      <c r="I2" s="82"/>
      <c r="J2" s="1"/>
      <c r="K2" s="1"/>
      <c r="L2" s="1"/>
      <c r="M2" s="1"/>
      <c r="N2" s="1"/>
      <c r="O2" s="1"/>
      <c r="P2" s="1"/>
      <c r="Q2" s="1"/>
      <c r="R2" s="4"/>
      <c r="S2" s="1"/>
      <c r="T2" s="1"/>
      <c r="U2" s="1"/>
      <c r="V2" s="74"/>
      <c r="W2" s="1"/>
      <c r="X2" s="1"/>
      <c r="Y2" s="1"/>
      <c r="Z2" s="83"/>
      <c r="AA2" s="1"/>
      <c r="AB2" s="1"/>
      <c r="AC2" s="82"/>
      <c r="AD2" s="74"/>
      <c r="AE2" s="1"/>
      <c r="AF2" s="1"/>
      <c r="AG2" s="1"/>
      <c r="AH2" s="74"/>
      <c r="AI2" s="1"/>
      <c r="AJ2" s="1"/>
      <c r="AK2" s="1"/>
      <c r="AL2" s="74"/>
      <c r="AM2" s="1"/>
      <c r="AN2" s="1"/>
      <c r="AO2" s="1"/>
      <c r="AP2" s="74"/>
      <c r="AQ2" s="1"/>
      <c r="AR2" s="1"/>
      <c r="AS2" s="1"/>
      <c r="AT2" s="74"/>
      <c r="AU2" s="1"/>
      <c r="AV2" s="1"/>
      <c r="AW2" s="1"/>
      <c r="AX2" s="74"/>
      <c r="AY2" s="1"/>
      <c r="AZ2" s="1"/>
      <c r="BA2" s="1"/>
      <c r="BB2" s="1"/>
    </row>
    <row r="3" spans="1:56" ht="16.5" thickBo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 t="s">
        <v>563</v>
      </c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</row>
    <row r="4" spans="1:56" ht="17.25" thickTop="1" thickBot="1">
      <c r="A4" s="79" t="s">
        <v>4</v>
      </c>
      <c r="B4" s="64">
        <v>2017</v>
      </c>
      <c r="C4" s="237" t="s">
        <v>0</v>
      </c>
      <c r="D4" s="238"/>
      <c r="E4" s="238"/>
      <c r="F4" s="239"/>
      <c r="G4" s="237" t="s">
        <v>1</v>
      </c>
      <c r="H4" s="238"/>
      <c r="I4" s="238"/>
      <c r="J4" s="239"/>
      <c r="K4" s="237" t="s">
        <v>2</v>
      </c>
      <c r="L4" s="238"/>
      <c r="M4" s="238"/>
      <c r="N4" s="239"/>
      <c r="O4" s="237" t="s">
        <v>3</v>
      </c>
      <c r="P4" s="238"/>
      <c r="Q4" s="238"/>
      <c r="R4" s="239"/>
      <c r="S4" s="237" t="s">
        <v>99</v>
      </c>
      <c r="T4" s="238"/>
      <c r="U4" s="238"/>
      <c r="V4" s="239"/>
      <c r="W4" s="237" t="s">
        <v>95</v>
      </c>
      <c r="X4" s="238"/>
      <c r="Y4" s="238"/>
      <c r="Z4" s="239"/>
      <c r="AA4" s="237" t="s">
        <v>103</v>
      </c>
      <c r="AB4" s="238"/>
      <c r="AC4" s="238"/>
      <c r="AD4" s="239"/>
      <c r="AE4" s="237" t="s">
        <v>104</v>
      </c>
      <c r="AF4" s="238"/>
      <c r="AG4" s="238"/>
      <c r="AH4" s="239"/>
      <c r="AI4" s="237" t="s">
        <v>107</v>
      </c>
      <c r="AJ4" s="238"/>
      <c r="AK4" s="238"/>
      <c r="AL4" s="239"/>
      <c r="AM4" s="237" t="s">
        <v>109</v>
      </c>
      <c r="AN4" s="238"/>
      <c r="AO4" s="238"/>
      <c r="AP4" s="239"/>
      <c r="AQ4" s="237" t="s">
        <v>113</v>
      </c>
      <c r="AR4" s="238"/>
      <c r="AS4" s="238"/>
      <c r="AT4" s="239"/>
      <c r="AU4" s="237" t="s">
        <v>118</v>
      </c>
      <c r="AV4" s="238"/>
      <c r="AW4" s="238"/>
      <c r="AX4" s="239"/>
      <c r="AY4" s="1"/>
      <c r="AZ4" s="1"/>
      <c r="BA4" s="1"/>
      <c r="BB4" s="1"/>
    </row>
    <row r="5" spans="1:56" ht="16.5" thickBot="1">
      <c r="A5" s="6" t="s">
        <v>5</v>
      </c>
      <c r="B5" s="65"/>
      <c r="C5" s="240">
        <f>'01'!K19</f>
        <v>17336.68</v>
      </c>
      <c r="D5" s="241"/>
      <c r="E5" s="241"/>
      <c r="F5" s="242"/>
      <c r="G5" s="240">
        <f>'02'!K19</f>
        <v>20217</v>
      </c>
      <c r="H5" s="241"/>
      <c r="I5" s="241"/>
      <c r="J5" s="242"/>
      <c r="K5" s="249">
        <f>'03'!K19</f>
        <v>21214.57</v>
      </c>
      <c r="L5" s="241"/>
      <c r="M5" s="241"/>
      <c r="N5" s="242"/>
      <c r="O5" s="249">
        <f>'04'!K19</f>
        <v>20719.909999999996</v>
      </c>
      <c r="P5" s="241"/>
      <c r="Q5" s="241"/>
      <c r="R5" s="242"/>
      <c r="S5" s="249">
        <f>'05'!K19</f>
        <v>22905.86</v>
      </c>
      <c r="T5" s="241"/>
      <c r="U5" s="241"/>
      <c r="V5" s="242"/>
      <c r="W5" s="249">
        <f>'06'!K19</f>
        <v>23622.14</v>
      </c>
      <c r="X5" s="241"/>
      <c r="Y5" s="241"/>
      <c r="Z5" s="242"/>
      <c r="AA5" s="249">
        <f>'07'!K19</f>
        <v>24911.559999999998</v>
      </c>
      <c r="AB5" s="241"/>
      <c r="AC5" s="241"/>
      <c r="AD5" s="242"/>
      <c r="AE5" s="249">
        <f>'08'!K19</f>
        <v>24488.75</v>
      </c>
      <c r="AF5" s="241"/>
      <c r="AG5" s="241"/>
      <c r="AH5" s="242"/>
      <c r="AI5" s="249">
        <f>'09'!K19</f>
        <v>24613.260000000002</v>
      </c>
      <c r="AJ5" s="241"/>
      <c r="AK5" s="241"/>
      <c r="AL5" s="242"/>
      <c r="AM5" s="249">
        <f>'10'!K19</f>
        <v>23755.86</v>
      </c>
      <c r="AN5" s="241"/>
      <c r="AO5" s="241"/>
      <c r="AP5" s="242"/>
      <c r="AQ5" s="249">
        <f>'11'!K19</f>
        <v>23313.940000000002</v>
      </c>
      <c r="AR5" s="241"/>
      <c r="AS5" s="241"/>
      <c r="AT5" s="242"/>
      <c r="AU5" s="249">
        <f>'12'!K19</f>
        <v>22909.4</v>
      </c>
      <c r="AV5" s="241"/>
      <c r="AW5" s="241"/>
      <c r="AX5" s="242"/>
      <c r="AY5" s="7"/>
      <c r="AZ5" s="8"/>
      <c r="BA5" s="1"/>
      <c r="BB5" s="1"/>
    </row>
    <row r="6" spans="1:56" ht="17.25" thickTop="1" thickBot="1">
      <c r="A6" s="9"/>
      <c r="B6" s="9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</row>
    <row r="7" spans="1:56" ht="17.25" thickTop="1" thickBot="1">
      <c r="A7" s="48" t="s">
        <v>6</v>
      </c>
      <c r="B7" s="47" t="s">
        <v>66</v>
      </c>
      <c r="C7" s="243" t="s">
        <v>7</v>
      </c>
      <c r="D7" s="244"/>
      <c r="E7" s="244"/>
      <c r="F7" s="245"/>
      <c r="G7" s="243" t="s">
        <v>7</v>
      </c>
      <c r="H7" s="244"/>
      <c r="I7" s="244"/>
      <c r="J7" s="245"/>
      <c r="K7" s="243" t="s">
        <v>7</v>
      </c>
      <c r="L7" s="244"/>
      <c r="M7" s="244"/>
      <c r="N7" s="245"/>
      <c r="O7" s="243" t="s">
        <v>7</v>
      </c>
      <c r="P7" s="244"/>
      <c r="Q7" s="244"/>
      <c r="R7" s="245"/>
      <c r="S7" s="243" t="s">
        <v>7</v>
      </c>
      <c r="T7" s="244"/>
      <c r="U7" s="244"/>
      <c r="V7" s="245"/>
      <c r="W7" s="243" t="s">
        <v>7</v>
      </c>
      <c r="X7" s="244"/>
      <c r="Y7" s="244"/>
      <c r="Z7" s="245"/>
      <c r="AA7" s="243" t="s">
        <v>7</v>
      </c>
      <c r="AB7" s="244"/>
      <c r="AC7" s="244"/>
      <c r="AD7" s="245"/>
      <c r="AE7" s="243" t="s">
        <v>7</v>
      </c>
      <c r="AF7" s="244"/>
      <c r="AG7" s="244"/>
      <c r="AH7" s="245"/>
      <c r="AI7" s="243" t="s">
        <v>7</v>
      </c>
      <c r="AJ7" s="244"/>
      <c r="AK7" s="244"/>
      <c r="AL7" s="245"/>
      <c r="AM7" s="243" t="s">
        <v>7</v>
      </c>
      <c r="AN7" s="244"/>
      <c r="AO7" s="244"/>
      <c r="AP7" s="245"/>
      <c r="AQ7" s="243" t="s">
        <v>7</v>
      </c>
      <c r="AR7" s="244"/>
      <c r="AS7" s="244"/>
      <c r="AT7" s="245"/>
      <c r="AU7" s="243" t="s">
        <v>7</v>
      </c>
      <c r="AV7" s="244"/>
      <c r="AW7" s="244"/>
      <c r="AX7" s="245"/>
      <c r="AY7" s="10" t="s">
        <v>8</v>
      </c>
      <c r="AZ7" s="25" t="s">
        <v>618</v>
      </c>
      <c r="BA7" s="1"/>
      <c r="BB7" s="1"/>
    </row>
    <row r="8" spans="1:56" ht="15.75">
      <c r="A8" s="11" t="s">
        <v>124</v>
      </c>
      <c r="B8" s="199">
        <v>28683.489999999998</v>
      </c>
      <c r="C8" s="246">
        <v>2317.46</v>
      </c>
      <c r="D8" s="247"/>
      <c r="E8" s="247"/>
      <c r="F8" s="248"/>
      <c r="G8" s="246">
        <f>2317.46+1638.24</f>
        <v>3955.7</v>
      </c>
      <c r="H8" s="247"/>
      <c r="I8" s="247"/>
      <c r="J8" s="248"/>
      <c r="K8" s="246">
        <v>2320.84</v>
      </c>
      <c r="L8" s="247"/>
      <c r="M8" s="247"/>
      <c r="N8" s="248"/>
      <c r="O8" s="246">
        <v>2325.9</v>
      </c>
      <c r="P8" s="247"/>
      <c r="Q8" s="247"/>
      <c r="R8" s="248"/>
      <c r="S8" s="246">
        <v>2321.1799999999998</v>
      </c>
      <c r="T8" s="247"/>
      <c r="U8" s="247"/>
      <c r="V8" s="248"/>
      <c r="W8" s="246">
        <v>3973.79</v>
      </c>
      <c r="X8" s="247"/>
      <c r="Y8" s="247"/>
      <c r="Z8" s="248"/>
      <c r="AA8" s="246">
        <v>2328.91</v>
      </c>
      <c r="AB8" s="247"/>
      <c r="AC8" s="247"/>
      <c r="AD8" s="248"/>
      <c r="AE8" s="246">
        <v>2318.6999999999998</v>
      </c>
      <c r="AF8" s="247"/>
      <c r="AG8" s="247"/>
      <c r="AH8" s="248"/>
      <c r="AI8" s="246">
        <v>2328.61</v>
      </c>
      <c r="AJ8" s="247"/>
      <c r="AK8" s="247"/>
      <c r="AL8" s="248"/>
      <c r="AM8" s="246">
        <v>2328.61</v>
      </c>
      <c r="AN8" s="247"/>
      <c r="AO8" s="247"/>
      <c r="AP8" s="248"/>
      <c r="AQ8" s="246">
        <v>2326.02</v>
      </c>
      <c r="AR8" s="247"/>
      <c r="AS8" s="247"/>
      <c r="AT8" s="248"/>
      <c r="AU8" s="246">
        <f>'12'!K26</f>
        <v>186.99</v>
      </c>
      <c r="AV8" s="247"/>
      <c r="AW8" s="247"/>
      <c r="AX8" s="248"/>
      <c r="AY8" s="12">
        <f>SUM(C8:AU8)</f>
        <v>29032.710000000003</v>
      </c>
      <c r="AZ8" s="163">
        <f t="shared" ref="AZ8:AZ16" ca="1" si="0">AY8/BB$17</f>
        <v>2419.3925000000004</v>
      </c>
      <c r="BA8" s="1"/>
      <c r="BB8" s="1"/>
    </row>
    <row r="9" spans="1:56" ht="15.75">
      <c r="A9" s="13" t="s">
        <v>125</v>
      </c>
      <c r="B9" s="200">
        <v>4981.99</v>
      </c>
      <c r="C9" s="234">
        <f>72.66+314.12</f>
        <v>386.78</v>
      </c>
      <c r="D9" s="235"/>
      <c r="E9" s="235"/>
      <c r="F9" s="236"/>
      <c r="G9" s="234">
        <f>176.46</f>
        <v>176.46</v>
      </c>
      <c r="H9" s="235"/>
      <c r="I9" s="235"/>
      <c r="J9" s="236"/>
      <c r="K9" s="234">
        <f>259.63+176.46</f>
        <v>436.09000000000003</v>
      </c>
      <c r="L9" s="235"/>
      <c r="M9" s="235"/>
      <c r="N9" s="236"/>
      <c r="O9" s="234">
        <f>249.22+197.22+325.64</f>
        <v>772.07999999999993</v>
      </c>
      <c r="P9" s="235"/>
      <c r="Q9" s="235"/>
      <c r="R9" s="236"/>
      <c r="S9" s="234">
        <f>155.7+267.29</f>
        <v>422.99</v>
      </c>
      <c r="T9" s="235"/>
      <c r="U9" s="235"/>
      <c r="V9" s="236"/>
      <c r="W9" s="234">
        <f>197.22</f>
        <v>197.22</v>
      </c>
      <c r="X9" s="235"/>
      <c r="Y9" s="235"/>
      <c r="Z9" s="236"/>
      <c r="AA9" s="234">
        <f>786.42+134.94+83.04</f>
        <v>1004.3999999999999</v>
      </c>
      <c r="AB9" s="235"/>
      <c r="AC9" s="235"/>
      <c r="AD9" s="236"/>
      <c r="AE9" s="234">
        <f>269.88</f>
        <v>269.88</v>
      </c>
      <c r="AF9" s="235"/>
      <c r="AG9" s="235"/>
      <c r="AH9" s="236"/>
      <c r="AI9" s="234">
        <v>280.26</v>
      </c>
      <c r="AJ9" s="235"/>
      <c r="AK9" s="235"/>
      <c r="AL9" s="236"/>
      <c r="AM9" s="234">
        <f>'10'!K25+'10'!K28+'10'!K29</f>
        <v>534.53</v>
      </c>
      <c r="AN9" s="235"/>
      <c r="AO9" s="235"/>
      <c r="AP9" s="236"/>
      <c r="AQ9" s="234">
        <f>'11'!K26+'11'!K27+'11'!K28+'11'!K30</f>
        <v>887.38</v>
      </c>
      <c r="AR9" s="235"/>
      <c r="AS9" s="235"/>
      <c r="AT9" s="236"/>
      <c r="AU9" s="234">
        <f>'12'!K25+'12'!K28</f>
        <v>397.67</v>
      </c>
      <c r="AV9" s="235"/>
      <c r="AW9" s="235"/>
      <c r="AX9" s="236"/>
      <c r="AY9" s="14">
        <f t="shared" ref="AY9:AY15" si="1">SUM(C9:AX9)</f>
        <v>5765.74</v>
      </c>
      <c r="AZ9" s="163">
        <f t="shared" ca="1" si="0"/>
        <v>480.4783333333333</v>
      </c>
      <c r="BA9" s="1"/>
      <c r="BB9" s="1"/>
    </row>
    <row r="10" spans="1:56" ht="15.75">
      <c r="A10" s="15" t="s">
        <v>126</v>
      </c>
      <c r="B10" s="201">
        <v>723.38</v>
      </c>
      <c r="C10" s="231">
        <v>90.43</v>
      </c>
      <c r="D10" s="232"/>
      <c r="E10" s="232"/>
      <c r="F10" s="233"/>
      <c r="G10" s="231">
        <f>1117.39-956.06</f>
        <v>161.33000000000015</v>
      </c>
      <c r="H10" s="232"/>
      <c r="I10" s="232"/>
      <c r="J10" s="233"/>
      <c r="K10" s="231">
        <v>285.58</v>
      </c>
      <c r="L10" s="232"/>
      <c r="M10" s="232"/>
      <c r="N10" s="233"/>
      <c r="O10" s="231">
        <f>275.29+42.8</f>
        <v>318.09000000000003</v>
      </c>
      <c r="P10" s="232"/>
      <c r="Q10" s="232"/>
      <c r="R10" s="233"/>
      <c r="S10" s="231">
        <f>421.56</f>
        <v>421.56</v>
      </c>
      <c r="T10" s="232"/>
      <c r="U10" s="232"/>
      <c r="V10" s="233"/>
      <c r="W10" s="231">
        <v>341.74</v>
      </c>
      <c r="X10" s="232"/>
      <c r="Y10" s="232"/>
      <c r="Z10" s="233"/>
      <c r="AA10" s="231">
        <v>234.71</v>
      </c>
      <c r="AB10" s="232"/>
      <c r="AC10" s="232"/>
      <c r="AD10" s="233"/>
      <c r="AE10" s="231">
        <v>83.23</v>
      </c>
      <c r="AF10" s="232"/>
      <c r="AG10" s="232"/>
      <c r="AH10" s="233"/>
      <c r="AI10" s="231">
        <f>300+99.65</f>
        <v>399.65</v>
      </c>
      <c r="AJ10" s="232"/>
      <c r="AK10" s="232"/>
      <c r="AL10" s="233"/>
      <c r="AM10" s="231">
        <v>246.4</v>
      </c>
      <c r="AN10" s="232"/>
      <c r="AO10" s="232"/>
      <c r="AP10" s="233"/>
      <c r="AQ10" s="231">
        <v>58.49</v>
      </c>
      <c r="AR10" s="232"/>
      <c r="AS10" s="232"/>
      <c r="AT10" s="233"/>
      <c r="AU10" s="231"/>
      <c r="AV10" s="232"/>
      <c r="AW10" s="232"/>
      <c r="AX10" s="233"/>
      <c r="AY10" s="16">
        <f t="shared" si="1"/>
        <v>2641.21</v>
      </c>
      <c r="AZ10" s="163">
        <f t="shared" ca="1" si="0"/>
        <v>220.10083333333333</v>
      </c>
      <c r="BA10" s="1"/>
      <c r="BB10" s="1"/>
    </row>
    <row r="11" spans="1:56" ht="15.75">
      <c r="A11" s="13" t="s">
        <v>127</v>
      </c>
      <c r="B11" s="200">
        <v>180.64</v>
      </c>
      <c r="C11" s="234">
        <f>1.01+0.04+2831.41+0.05</f>
        <v>2832.51</v>
      </c>
      <c r="D11" s="235"/>
      <c r="E11" s="235"/>
      <c r="F11" s="236"/>
      <c r="G11" s="234"/>
      <c r="H11" s="235"/>
      <c r="I11" s="235"/>
      <c r="J11" s="236"/>
      <c r="K11" s="234"/>
      <c r="L11" s="235"/>
      <c r="M11" s="235"/>
      <c r="N11" s="236"/>
      <c r="O11" s="234">
        <v>0.03</v>
      </c>
      <c r="P11" s="235"/>
      <c r="Q11" s="235"/>
      <c r="R11" s="236"/>
      <c r="S11" s="234">
        <f>38.64</f>
        <v>38.64</v>
      </c>
      <c r="T11" s="235"/>
      <c r="U11" s="235"/>
      <c r="V11" s="236"/>
      <c r="W11" s="234"/>
      <c r="X11" s="235"/>
      <c r="Y11" s="235"/>
      <c r="Z11" s="236"/>
      <c r="AA11" s="234">
        <f>0.02</f>
        <v>0.02</v>
      </c>
      <c r="AB11" s="235"/>
      <c r="AC11" s="235"/>
      <c r="AD11" s="236"/>
      <c r="AE11" s="234"/>
      <c r="AF11" s="235"/>
      <c r="AG11" s="235"/>
      <c r="AH11" s="236"/>
      <c r="AI11" s="234"/>
      <c r="AJ11" s="235"/>
      <c r="AK11" s="235"/>
      <c r="AL11" s="236"/>
      <c r="AM11" s="234">
        <f>'10'!K27</f>
        <v>0.06</v>
      </c>
      <c r="AN11" s="235"/>
      <c r="AO11" s="235"/>
      <c r="AP11" s="236"/>
      <c r="AQ11" s="234">
        <f>'11'!K25</f>
        <v>35.619999999999997</v>
      </c>
      <c r="AR11" s="235"/>
      <c r="AS11" s="235"/>
      <c r="AT11" s="236"/>
      <c r="AU11" s="234"/>
      <c r="AV11" s="235"/>
      <c r="AW11" s="235"/>
      <c r="AX11" s="236"/>
      <c r="AY11" s="14">
        <f t="shared" si="1"/>
        <v>2906.88</v>
      </c>
      <c r="AZ11" s="163">
        <f t="shared" ca="1" si="0"/>
        <v>242.24</v>
      </c>
      <c r="BA11" s="1"/>
      <c r="BB11" s="1"/>
    </row>
    <row r="12" spans="1:56" ht="15.75">
      <c r="A12" s="15" t="s">
        <v>128</v>
      </c>
      <c r="B12" s="201">
        <v>626.6</v>
      </c>
      <c r="C12" s="231">
        <f>700+50+449</f>
        <v>1199</v>
      </c>
      <c r="D12" s="232"/>
      <c r="E12" s="232"/>
      <c r="F12" s="233"/>
      <c r="G12" s="231">
        <v>447.43</v>
      </c>
      <c r="H12" s="232"/>
      <c r="I12" s="232"/>
      <c r="J12" s="233"/>
      <c r="K12" s="231"/>
      <c r="L12" s="232"/>
      <c r="M12" s="232"/>
      <c r="N12" s="233"/>
      <c r="O12" s="231">
        <f>80.1</f>
        <v>80.099999999999994</v>
      </c>
      <c r="P12" s="232"/>
      <c r="Q12" s="232"/>
      <c r="R12" s="233"/>
      <c r="S12" s="231"/>
      <c r="T12" s="232"/>
      <c r="U12" s="232"/>
      <c r="V12" s="233"/>
      <c r="W12" s="231">
        <f>200</f>
        <v>200</v>
      </c>
      <c r="X12" s="232"/>
      <c r="Y12" s="232"/>
      <c r="Z12" s="233"/>
      <c r="AA12" s="231">
        <f>106.3</f>
        <v>106.3</v>
      </c>
      <c r="AB12" s="232"/>
      <c r="AC12" s="232"/>
      <c r="AD12" s="233"/>
      <c r="AE12" s="231"/>
      <c r="AF12" s="232"/>
      <c r="AG12" s="232"/>
      <c r="AH12" s="233"/>
      <c r="AI12" s="231">
        <v>500</v>
      </c>
      <c r="AJ12" s="232"/>
      <c r="AK12" s="232"/>
      <c r="AL12" s="233"/>
      <c r="AM12" s="231"/>
      <c r="AN12" s="232"/>
      <c r="AO12" s="232"/>
      <c r="AP12" s="233"/>
      <c r="AQ12" s="231"/>
      <c r="AR12" s="232"/>
      <c r="AS12" s="232"/>
      <c r="AT12" s="233"/>
      <c r="AU12" s="231">
        <f>'12'!K27</f>
        <v>318.27999999999997</v>
      </c>
      <c r="AV12" s="232"/>
      <c r="AW12" s="232"/>
      <c r="AX12" s="233"/>
      <c r="AY12" s="16">
        <f t="shared" si="1"/>
        <v>2851.1099999999997</v>
      </c>
      <c r="AZ12" s="163">
        <f t="shared" ca="1" si="0"/>
        <v>237.59249999999997</v>
      </c>
      <c r="BA12" s="1"/>
      <c r="BB12" s="1"/>
    </row>
    <row r="13" spans="1:56" ht="15.75">
      <c r="A13" s="13" t="s">
        <v>129</v>
      </c>
      <c r="B13" s="202">
        <v>3448.3199999999993</v>
      </c>
      <c r="C13" s="234">
        <f>93.93</f>
        <v>93.93</v>
      </c>
      <c r="D13" s="235"/>
      <c r="E13" s="235"/>
      <c r="F13" s="236"/>
      <c r="G13" s="234">
        <f>93.93</f>
        <v>93.93</v>
      </c>
      <c r="H13" s="235"/>
      <c r="I13" s="235"/>
      <c r="J13" s="236"/>
      <c r="K13" s="234">
        <f>93.93</f>
        <v>93.93</v>
      </c>
      <c r="L13" s="235"/>
      <c r="M13" s="235"/>
      <c r="N13" s="236"/>
      <c r="O13" s="234">
        <f>93.93+2290.23</f>
        <v>2384.16</v>
      </c>
      <c r="P13" s="235"/>
      <c r="Q13" s="235"/>
      <c r="R13" s="236"/>
      <c r="S13" s="234">
        <f>93.93</f>
        <v>93.93</v>
      </c>
      <c r="T13" s="235"/>
      <c r="U13" s="235"/>
      <c r="V13" s="236"/>
      <c r="W13" s="234">
        <f>93.93</f>
        <v>93.93</v>
      </c>
      <c r="X13" s="235"/>
      <c r="Y13" s="235"/>
      <c r="Z13" s="236"/>
      <c r="AA13" s="234">
        <f>93.93</f>
        <v>93.93</v>
      </c>
      <c r="AB13" s="235"/>
      <c r="AC13" s="235"/>
      <c r="AD13" s="236"/>
      <c r="AE13" s="234">
        <v>114.74</v>
      </c>
      <c r="AF13" s="235"/>
      <c r="AG13" s="235"/>
      <c r="AH13" s="236"/>
      <c r="AI13" s="234">
        <v>93.93</v>
      </c>
      <c r="AJ13" s="235"/>
      <c r="AK13" s="235"/>
      <c r="AL13" s="236"/>
      <c r="AM13" s="234">
        <v>95.8</v>
      </c>
      <c r="AN13" s="235"/>
      <c r="AO13" s="235"/>
      <c r="AP13" s="236"/>
      <c r="AQ13" s="234">
        <v>95.8</v>
      </c>
      <c r="AR13" s="235"/>
      <c r="AS13" s="235"/>
      <c r="AT13" s="236"/>
      <c r="AU13" s="234">
        <v>95.8</v>
      </c>
      <c r="AV13" s="235"/>
      <c r="AW13" s="235"/>
      <c r="AX13" s="236"/>
      <c r="AY13" s="17">
        <f t="shared" si="1"/>
        <v>3443.8099999999995</v>
      </c>
      <c r="AZ13" s="163">
        <f t="shared" ca="1" si="0"/>
        <v>286.98416666666662</v>
      </c>
      <c r="BA13" s="1"/>
      <c r="BB13" s="1"/>
    </row>
    <row r="14" spans="1:56" ht="15.75">
      <c r="A14" s="15" t="s">
        <v>130</v>
      </c>
      <c r="B14" s="201">
        <v>795.41</v>
      </c>
      <c r="C14" s="231"/>
      <c r="D14" s="232"/>
      <c r="E14" s="232"/>
      <c r="F14" s="233"/>
      <c r="G14" s="231">
        <f>27.27+13.86+8.75+34.09</f>
        <v>83.97</v>
      </c>
      <c r="H14" s="232"/>
      <c r="I14" s="232"/>
      <c r="J14" s="233"/>
      <c r="K14" s="231"/>
      <c r="L14" s="232"/>
      <c r="M14" s="232"/>
      <c r="N14" s="233"/>
      <c r="O14" s="231">
        <f>25+27.27+16.9+26.12</f>
        <v>95.289999999999992</v>
      </c>
      <c r="P14" s="232"/>
      <c r="Q14" s="232"/>
      <c r="R14" s="233"/>
      <c r="S14" s="231">
        <f>22.09+27.27</f>
        <v>49.36</v>
      </c>
      <c r="T14" s="232"/>
      <c r="U14" s="232"/>
      <c r="V14" s="233"/>
      <c r="W14" s="231">
        <f>8.75+27.27+27.27</f>
        <v>63.289999999999992</v>
      </c>
      <c r="X14" s="232"/>
      <c r="Y14" s="232"/>
      <c r="Z14" s="233"/>
      <c r="AA14" s="231"/>
      <c r="AB14" s="232"/>
      <c r="AC14" s="232"/>
      <c r="AD14" s="233"/>
      <c r="AE14" s="231"/>
      <c r="AF14" s="232"/>
      <c r="AG14" s="232"/>
      <c r="AH14" s="233"/>
      <c r="AI14" s="231"/>
      <c r="AJ14" s="232"/>
      <c r="AK14" s="232"/>
      <c r="AL14" s="233"/>
      <c r="AM14" s="231"/>
      <c r="AN14" s="232"/>
      <c r="AO14" s="232"/>
      <c r="AP14" s="233"/>
      <c r="AQ14" s="231">
        <f>'11'!K29</f>
        <v>72.710000000000008</v>
      </c>
      <c r="AR14" s="232"/>
      <c r="AS14" s="232"/>
      <c r="AT14" s="233"/>
      <c r="AU14" s="231"/>
      <c r="AV14" s="232"/>
      <c r="AW14" s="232"/>
      <c r="AX14" s="233"/>
      <c r="AY14" s="16">
        <f t="shared" si="1"/>
        <v>364.62</v>
      </c>
      <c r="AZ14" s="163">
        <f t="shared" ca="1" si="0"/>
        <v>30.385000000000002</v>
      </c>
      <c r="BA14" s="3"/>
      <c r="BB14" s="3"/>
    </row>
    <row r="15" spans="1:56" ht="15.75">
      <c r="A15" s="13" t="s">
        <v>131</v>
      </c>
      <c r="B15" s="200">
        <v>2461.34</v>
      </c>
      <c r="C15" s="234">
        <v>648.49</v>
      </c>
      <c r="D15" s="235"/>
      <c r="E15" s="235"/>
      <c r="F15" s="236"/>
      <c r="G15" s="234">
        <v>550</v>
      </c>
      <c r="H15" s="235"/>
      <c r="I15" s="235"/>
      <c r="J15" s="236"/>
      <c r="K15" s="234">
        <v>690</v>
      </c>
      <c r="L15" s="235"/>
      <c r="M15" s="235"/>
      <c r="N15" s="236"/>
      <c r="O15" s="234">
        <f>550</f>
        <v>550</v>
      </c>
      <c r="P15" s="235"/>
      <c r="Q15" s="235"/>
      <c r="R15" s="236"/>
      <c r="S15" s="234">
        <v>650.01</v>
      </c>
      <c r="T15" s="235"/>
      <c r="U15" s="235"/>
      <c r="V15" s="236"/>
      <c r="W15" s="234">
        <v>568.34</v>
      </c>
      <c r="X15" s="235"/>
      <c r="Y15" s="235"/>
      <c r="Z15" s="236"/>
      <c r="AA15" s="234">
        <v>632.86</v>
      </c>
      <c r="AB15" s="235"/>
      <c r="AC15" s="235"/>
      <c r="AD15" s="236"/>
      <c r="AE15" s="234">
        <v>550</v>
      </c>
      <c r="AF15" s="235"/>
      <c r="AG15" s="235"/>
      <c r="AH15" s="236"/>
      <c r="AI15" s="234">
        <v>586.85</v>
      </c>
      <c r="AJ15" s="235"/>
      <c r="AK15" s="235"/>
      <c r="AL15" s="236"/>
      <c r="AM15" s="253">
        <f>'10'!K26</f>
        <v>550</v>
      </c>
      <c r="AN15" s="235"/>
      <c r="AO15" s="235"/>
      <c r="AP15" s="236"/>
      <c r="AQ15" s="234">
        <v>644.96</v>
      </c>
      <c r="AR15" s="235"/>
      <c r="AS15" s="235"/>
      <c r="AT15" s="236"/>
      <c r="AU15" s="234">
        <f>'12'!K29</f>
        <v>584.53</v>
      </c>
      <c r="AV15" s="235"/>
      <c r="AW15" s="235"/>
      <c r="AX15" s="236"/>
      <c r="AY15" s="14">
        <f t="shared" si="1"/>
        <v>7206.04</v>
      </c>
      <c r="AZ15" s="163">
        <f t="shared" ca="1" si="0"/>
        <v>600.50333333333333</v>
      </c>
      <c r="BA15" s="1"/>
      <c r="BB15" s="1"/>
    </row>
    <row r="16" spans="1:56" ht="16.5" thickBot="1">
      <c r="A16" s="15" t="s">
        <v>132</v>
      </c>
      <c r="B16" s="203">
        <v>15626.78</v>
      </c>
      <c r="C16" s="250">
        <f>28.78+200.62+1566.27</f>
        <v>1795.67</v>
      </c>
      <c r="D16" s="251"/>
      <c r="E16" s="251"/>
      <c r="F16" s="252"/>
      <c r="G16" s="250">
        <f>47.52</f>
        <v>47.52</v>
      </c>
      <c r="H16" s="251"/>
      <c r="I16" s="251"/>
      <c r="J16" s="252"/>
      <c r="K16" s="250"/>
      <c r="L16" s="251"/>
      <c r="M16" s="251"/>
      <c r="N16" s="252"/>
      <c r="O16" s="250"/>
      <c r="P16" s="251"/>
      <c r="Q16" s="251"/>
      <c r="R16" s="252"/>
      <c r="S16" s="250"/>
      <c r="T16" s="251"/>
      <c r="U16" s="251"/>
      <c r="V16" s="252"/>
      <c r="W16" s="250"/>
      <c r="X16" s="251"/>
      <c r="Y16" s="251"/>
      <c r="Z16" s="252"/>
      <c r="AA16" s="250">
        <v>26.77</v>
      </c>
      <c r="AB16" s="251"/>
      <c r="AC16" s="251"/>
      <c r="AD16" s="252"/>
      <c r="AE16" s="250">
        <v>49</v>
      </c>
      <c r="AF16" s="251"/>
      <c r="AG16" s="251"/>
      <c r="AH16" s="252"/>
      <c r="AI16" s="250"/>
      <c r="AJ16" s="251"/>
      <c r="AK16" s="251"/>
      <c r="AL16" s="252"/>
      <c r="AM16" s="250"/>
      <c r="AN16" s="251"/>
      <c r="AO16" s="251"/>
      <c r="AP16" s="252"/>
      <c r="AQ16" s="250"/>
      <c r="AR16" s="251"/>
      <c r="AS16" s="251"/>
      <c r="AT16" s="252"/>
      <c r="AU16" s="250"/>
      <c r="AV16" s="251"/>
      <c r="AW16" s="251"/>
      <c r="AX16" s="252"/>
      <c r="AY16" s="85">
        <f>SUM(C16:AX16)</f>
        <v>1918.96</v>
      </c>
      <c r="AZ16" s="163">
        <f t="shared" ca="1" si="0"/>
        <v>159.91333333333333</v>
      </c>
      <c r="BA16" s="3"/>
      <c r="BB16" s="3"/>
      <c r="BD16" s="228"/>
    </row>
    <row r="17" spans="1:66" ht="16.5" thickBot="1">
      <c r="A17" s="6" t="s">
        <v>5</v>
      </c>
      <c r="B17" s="204">
        <f>SUM(B8:B16)</f>
        <v>57527.95</v>
      </c>
      <c r="C17" s="254">
        <f>SUM(C8:C16)</f>
        <v>9364.27</v>
      </c>
      <c r="D17" s="255"/>
      <c r="E17" s="255"/>
      <c r="F17" s="256"/>
      <c r="G17" s="254">
        <f>SUM(G8:G16)</f>
        <v>5516.3400000000011</v>
      </c>
      <c r="H17" s="255"/>
      <c r="I17" s="255"/>
      <c r="J17" s="256"/>
      <c r="K17" s="254">
        <f>SUM(K8:K16)</f>
        <v>3826.44</v>
      </c>
      <c r="L17" s="255"/>
      <c r="M17" s="255"/>
      <c r="N17" s="256"/>
      <c r="O17" s="254">
        <f>SUM(O8:O16)</f>
        <v>6525.6500000000005</v>
      </c>
      <c r="P17" s="255"/>
      <c r="Q17" s="255"/>
      <c r="R17" s="256"/>
      <c r="S17" s="254">
        <f>SUM(S8:S16)</f>
        <v>3997.67</v>
      </c>
      <c r="T17" s="255"/>
      <c r="U17" s="255"/>
      <c r="V17" s="256"/>
      <c r="W17" s="254">
        <f>SUM(W8:W16)</f>
        <v>5438.31</v>
      </c>
      <c r="X17" s="255"/>
      <c r="Y17" s="255"/>
      <c r="Z17" s="256"/>
      <c r="AA17" s="254">
        <f>SUM(AA8:AA16)</f>
        <v>4427.8999999999996</v>
      </c>
      <c r="AB17" s="255"/>
      <c r="AC17" s="255"/>
      <c r="AD17" s="256"/>
      <c r="AE17" s="254">
        <f>SUM(AE8:AE16)</f>
        <v>3385.5499999999997</v>
      </c>
      <c r="AF17" s="255"/>
      <c r="AG17" s="255"/>
      <c r="AH17" s="256"/>
      <c r="AI17" s="254">
        <f>SUM(AI8:AI16)</f>
        <v>4189.3</v>
      </c>
      <c r="AJ17" s="255"/>
      <c r="AK17" s="255"/>
      <c r="AL17" s="256"/>
      <c r="AM17" s="254">
        <f>SUM(AM8:AM16)</f>
        <v>3755.4000000000005</v>
      </c>
      <c r="AN17" s="255"/>
      <c r="AO17" s="255"/>
      <c r="AP17" s="256"/>
      <c r="AQ17" s="254">
        <f>SUM(AQ8:AQ16)</f>
        <v>4120.9799999999996</v>
      </c>
      <c r="AR17" s="255"/>
      <c r="AS17" s="255"/>
      <c r="AT17" s="256"/>
      <c r="AU17" s="254">
        <f>SUM(AU8:AU16)</f>
        <v>1583.27</v>
      </c>
      <c r="AV17" s="255"/>
      <c r="AW17" s="255"/>
      <c r="AX17" s="256"/>
      <c r="AY17" s="18">
        <f>SUM(AY8:AY16)</f>
        <v>56131.08</v>
      </c>
      <c r="AZ17" s="163">
        <f ca="1">AY17/BB$17</f>
        <v>4677.59</v>
      </c>
      <c r="BA17" s="1" t="s">
        <v>117</v>
      </c>
      <c r="BB17" s="1">
        <f ca="1">MONTH(TODAY())</f>
        <v>12</v>
      </c>
      <c r="BC17" s="87"/>
      <c r="BD17" s="229"/>
    </row>
    <row r="18" spans="1:66" ht="32.25" customHeight="1" thickTop="1" thickBot="1">
      <c r="A18" s="19"/>
      <c r="B18" s="19"/>
      <c r="C18" s="257"/>
      <c r="D18" s="257"/>
      <c r="E18" s="257"/>
      <c r="F18" s="257"/>
      <c r="G18" s="257"/>
      <c r="H18" s="257"/>
      <c r="I18" s="257"/>
      <c r="J18" s="257"/>
      <c r="K18" s="257"/>
      <c r="L18" s="257"/>
      <c r="M18" s="257"/>
      <c r="N18" s="257"/>
      <c r="O18" s="257"/>
      <c r="P18" s="257"/>
      <c r="Q18" s="257"/>
      <c r="R18" s="257"/>
      <c r="S18" s="257"/>
      <c r="T18" s="257"/>
      <c r="U18" s="257"/>
      <c r="V18" s="257"/>
      <c r="W18" s="257"/>
      <c r="X18" s="257"/>
      <c r="Y18" s="257"/>
      <c r="Z18" s="257"/>
      <c r="AA18" s="257"/>
      <c r="AB18" s="257"/>
      <c r="AC18" s="257"/>
      <c r="AD18" s="257"/>
      <c r="AE18" s="257"/>
      <c r="AF18" s="257"/>
      <c r="AG18" s="257"/>
      <c r="AH18" s="257"/>
      <c r="AI18" s="257"/>
      <c r="AJ18" s="257"/>
      <c r="AK18" s="257"/>
      <c r="AL18" s="257"/>
      <c r="AM18" s="257"/>
      <c r="AN18" s="257"/>
      <c r="AO18" s="257"/>
      <c r="AP18" s="257"/>
      <c r="AQ18" s="257"/>
      <c r="AR18" s="257"/>
      <c r="AS18" s="257"/>
      <c r="AT18" s="257"/>
      <c r="AU18" s="257" t="s">
        <v>476</v>
      </c>
      <c r="AV18" s="257"/>
      <c r="AW18" s="257"/>
      <c r="AX18" s="257"/>
      <c r="AY18" s="217">
        <f>(2250*13)+5500+(550*12)+(93.93*12)</f>
        <v>42477.16</v>
      </c>
      <c r="AZ18" s="217">
        <f ca="1">12*AZ17</f>
        <v>56131.08</v>
      </c>
      <c r="BA18" s="1"/>
      <c r="BB18" s="1"/>
    </row>
    <row r="19" spans="1:66" ht="17.25" thickTop="1" thickBot="1">
      <c r="A19" s="49" t="s">
        <v>9</v>
      </c>
      <c r="B19" s="51" t="s">
        <v>121</v>
      </c>
      <c r="C19" s="21" t="s">
        <v>67</v>
      </c>
      <c r="D19" s="22" t="s">
        <v>10</v>
      </c>
      <c r="E19" s="22" t="s">
        <v>11</v>
      </c>
      <c r="F19" s="23" t="s">
        <v>12</v>
      </c>
      <c r="G19" s="21" t="s">
        <v>67</v>
      </c>
      <c r="H19" s="22" t="s">
        <v>10</v>
      </c>
      <c r="I19" s="22" t="s">
        <v>11</v>
      </c>
      <c r="J19" s="23" t="s">
        <v>12</v>
      </c>
      <c r="K19" s="21" t="s">
        <v>67</v>
      </c>
      <c r="L19" s="22" t="s">
        <v>10</v>
      </c>
      <c r="M19" s="22" t="s">
        <v>11</v>
      </c>
      <c r="N19" s="23" t="s">
        <v>12</v>
      </c>
      <c r="O19" s="21" t="s">
        <v>67</v>
      </c>
      <c r="P19" s="22" t="s">
        <v>10</v>
      </c>
      <c r="Q19" s="22" t="s">
        <v>11</v>
      </c>
      <c r="R19" s="23" t="s">
        <v>12</v>
      </c>
      <c r="S19" s="21" t="s">
        <v>67</v>
      </c>
      <c r="T19" s="22" t="s">
        <v>10</v>
      </c>
      <c r="U19" s="22" t="s">
        <v>11</v>
      </c>
      <c r="V19" s="23" t="s">
        <v>12</v>
      </c>
      <c r="W19" s="21" t="s">
        <v>67</v>
      </c>
      <c r="X19" s="22" t="s">
        <v>10</v>
      </c>
      <c r="Y19" s="22" t="s">
        <v>11</v>
      </c>
      <c r="Z19" s="23" t="s">
        <v>12</v>
      </c>
      <c r="AA19" s="21" t="s">
        <v>67</v>
      </c>
      <c r="AB19" s="22" t="s">
        <v>10</v>
      </c>
      <c r="AC19" s="22" t="s">
        <v>11</v>
      </c>
      <c r="AD19" s="23" t="s">
        <v>12</v>
      </c>
      <c r="AE19" s="21" t="s">
        <v>67</v>
      </c>
      <c r="AF19" s="22" t="s">
        <v>10</v>
      </c>
      <c r="AG19" s="22" t="s">
        <v>11</v>
      </c>
      <c r="AH19" s="23" t="s">
        <v>12</v>
      </c>
      <c r="AI19" s="21" t="s">
        <v>67</v>
      </c>
      <c r="AJ19" s="22" t="s">
        <v>10</v>
      </c>
      <c r="AK19" s="22" t="s">
        <v>11</v>
      </c>
      <c r="AL19" s="23" t="s">
        <v>12</v>
      </c>
      <c r="AM19" s="21" t="s">
        <v>67</v>
      </c>
      <c r="AN19" s="22" t="s">
        <v>10</v>
      </c>
      <c r="AO19" s="22" t="s">
        <v>11</v>
      </c>
      <c r="AP19" s="23" t="s">
        <v>12</v>
      </c>
      <c r="AQ19" s="21" t="s">
        <v>67</v>
      </c>
      <c r="AR19" s="22" t="s">
        <v>10</v>
      </c>
      <c r="AS19" s="22" t="s">
        <v>11</v>
      </c>
      <c r="AT19" s="23" t="s">
        <v>12</v>
      </c>
      <c r="AU19" s="21" t="s">
        <v>67</v>
      </c>
      <c r="AV19" s="22" t="s">
        <v>10</v>
      </c>
      <c r="AW19" s="22" t="s">
        <v>11</v>
      </c>
      <c r="AX19" s="23" t="s">
        <v>12</v>
      </c>
      <c r="AY19" s="24" t="s">
        <v>13</v>
      </c>
      <c r="AZ19" s="25" t="s">
        <v>14</v>
      </c>
      <c r="BA19" s="25" t="s">
        <v>15</v>
      </c>
      <c r="BB19" s="25" t="s">
        <v>16</v>
      </c>
      <c r="BI19" s="24" t="s">
        <v>619</v>
      </c>
      <c r="BJ19" s="25" t="s">
        <v>622</v>
      </c>
      <c r="BK19" s="25" t="s">
        <v>620</v>
      </c>
      <c r="BL19" s="25" t="s">
        <v>621</v>
      </c>
      <c r="BN19" s="24" t="s">
        <v>750</v>
      </c>
    </row>
    <row r="20" spans="1:66" ht="16.5" thickBot="1">
      <c r="A20" s="38" t="s">
        <v>496</v>
      </c>
      <c r="B20" s="205">
        <f>580.41-294</f>
        <v>286.40999999999997</v>
      </c>
      <c r="C20" s="26" t="s">
        <v>0</v>
      </c>
      <c r="D20" s="177">
        <f>'01'!B20</f>
        <v>879</v>
      </c>
      <c r="E20" s="177">
        <f>SUM('01'!D20:F20)</f>
        <v>536.24</v>
      </c>
      <c r="F20" s="178">
        <f t="shared" ref="F20:F45" si="2">B20+D20-E20</f>
        <v>629.16999999999985</v>
      </c>
      <c r="G20" s="26" t="s">
        <v>1</v>
      </c>
      <c r="H20" s="177">
        <f>'02'!B20</f>
        <v>700</v>
      </c>
      <c r="I20" s="177">
        <f>SUM('02'!D20:F20)</f>
        <v>605.65</v>
      </c>
      <c r="J20" s="178">
        <f t="shared" ref="J20:J45" si="3">F20+H20-I20</f>
        <v>723.51999999999987</v>
      </c>
      <c r="K20" s="26" t="s">
        <v>2</v>
      </c>
      <c r="L20" s="177">
        <f>'03'!B20</f>
        <v>720.1</v>
      </c>
      <c r="M20" s="177">
        <f>SUM('03'!D20:F20)</f>
        <v>1220.8099999999997</v>
      </c>
      <c r="N20" s="178">
        <f t="shared" ref="N20:N45" si="4">J20+L20-M20</f>
        <v>222.81000000000017</v>
      </c>
      <c r="O20" s="26" t="s">
        <v>3</v>
      </c>
      <c r="P20" s="177">
        <f>'04'!B20</f>
        <v>704</v>
      </c>
      <c r="Q20" s="177">
        <f>SUM('04'!D20:F20)</f>
        <v>684.59</v>
      </c>
      <c r="R20" s="178">
        <f t="shared" ref="R20:R45" si="5">N20+P20-Q20</f>
        <v>242.22000000000014</v>
      </c>
      <c r="S20" s="26" t="s">
        <v>99</v>
      </c>
      <c r="T20" s="177">
        <f>'05'!B20</f>
        <v>804.01</v>
      </c>
      <c r="U20" s="177">
        <f>SUM('05'!D20:F20)</f>
        <v>484.17</v>
      </c>
      <c r="V20" s="178">
        <f t="shared" ref="V20:V45" si="6">R20+T20-U20</f>
        <v>562.05999999999995</v>
      </c>
      <c r="W20" s="26" t="s">
        <v>95</v>
      </c>
      <c r="X20" s="177">
        <f>'06'!B20</f>
        <v>722.33999999999992</v>
      </c>
      <c r="Y20" s="177">
        <f>SUM('06'!D20:F20)</f>
        <v>585.27</v>
      </c>
      <c r="Z20" s="178">
        <f t="shared" ref="Z20:Z45" si="7">V20+X20-Y20</f>
        <v>699.12999999999988</v>
      </c>
      <c r="AA20" s="26" t="s">
        <v>103</v>
      </c>
      <c r="AB20" s="177">
        <f>'07'!B20</f>
        <v>1043.3</v>
      </c>
      <c r="AC20" s="177">
        <f>SUM('07'!D20:F20)</f>
        <v>1375.54</v>
      </c>
      <c r="AD20" s="178">
        <f t="shared" ref="AD20:AD45" si="8">Z20+AB20-AC20</f>
        <v>366.88999999999987</v>
      </c>
      <c r="AE20" s="26" t="s">
        <v>104</v>
      </c>
      <c r="AF20" s="177">
        <f>'08'!B20</f>
        <v>269</v>
      </c>
      <c r="AG20" s="177">
        <f>SUM('08'!D20:F20)</f>
        <v>150.94999999999999</v>
      </c>
      <c r="AH20" s="178">
        <f t="shared" ref="AH20:AH45" si="9">AD20+AF20-AG20</f>
        <v>484.93999999999988</v>
      </c>
      <c r="AI20" s="26" t="s">
        <v>108</v>
      </c>
      <c r="AJ20" s="177">
        <f>'09'!B20</f>
        <v>642.71</v>
      </c>
      <c r="AK20" s="177">
        <f>SUM('09'!D20:F20)</f>
        <v>866.99</v>
      </c>
      <c r="AL20" s="178">
        <f t="shared" ref="AL20:AL45" si="10">AH20+AJ20-AK20</f>
        <v>260.65999999999985</v>
      </c>
      <c r="AM20" s="26" t="s">
        <v>109</v>
      </c>
      <c r="AN20" s="177">
        <f>'10'!B20</f>
        <v>572.14</v>
      </c>
      <c r="AO20" s="177">
        <f>SUM('10'!D20:F20)</f>
        <v>798.75</v>
      </c>
      <c r="AP20" s="178">
        <f t="shared" ref="AP20:AP45" si="11">AL20+AN20-AO20</f>
        <v>34.049999999999841</v>
      </c>
      <c r="AQ20" s="26" t="s">
        <v>114</v>
      </c>
      <c r="AR20" s="177">
        <f>'11'!B20</f>
        <v>638.95999999999992</v>
      </c>
      <c r="AS20" s="177">
        <f>SUM('11'!D20:F20)</f>
        <v>441.82</v>
      </c>
      <c r="AT20" s="178">
        <f t="shared" ref="AT20:AT45" si="12">AP20+AR20-AS20</f>
        <v>231.18999999999977</v>
      </c>
      <c r="AU20" s="26" t="s">
        <v>118</v>
      </c>
      <c r="AV20" s="177">
        <f>'12'!B20</f>
        <v>578.53</v>
      </c>
      <c r="AW20" s="177">
        <f>SUM('12'!D20:F20)</f>
        <v>46.53</v>
      </c>
      <c r="AX20" s="178">
        <f t="shared" ref="AX20:AX45" si="13">AT20+AV20-AW20</f>
        <v>763.18999999999983</v>
      </c>
      <c r="AY20" s="39">
        <f t="shared" ref="AY20:AY27" si="14">E20+I20+M20+Q20+U20+Y20+AC20+AG20+AK20+AO20+AS20+AW20</f>
        <v>7797.3099999999986</v>
      </c>
      <c r="AZ20" s="40">
        <f t="shared" ref="AZ20:AZ45" si="15">AY20/AY$46</f>
        <v>0.1529417210663401</v>
      </c>
      <c r="BA20" s="41">
        <f>_xlfn.RANK.EQ(AZ20,$AZ$20:$AZ$45,)</f>
        <v>2</v>
      </c>
      <c r="BB20" s="41">
        <f t="shared" ref="BB20:BB45" ca="1" si="16">AY20/BB$17</f>
        <v>649.77583333333325</v>
      </c>
      <c r="BD20" s="170"/>
      <c r="BI20" s="39">
        <f ca="1">D20+IF(BB$17&lt;2,0,H20)+IF(BB$17&lt;3,0,L20)+IF(BB$17&lt;4,0,P20)+IF(BB$17&lt;5,0,T20)+IF(BB$17&lt;6,0,X20)+IF(BB$17&lt;7,0,AB20)+IF(BB$17&lt;8,0,AF20)+IF(BB$17&lt;9,0,AJ20)+IF(BB$17&lt;10,0,AN20)+IF(BB$17&lt;11,0,AR20)+IF(BB$17&lt;12,0,AV20)</f>
        <v>8274.09</v>
      </c>
      <c r="BJ20" s="40">
        <f t="shared" ref="BJ20:BJ45" ca="1" si="17">BI20/BI$46</f>
        <v>0.14740919663752486</v>
      </c>
      <c r="BK20" s="41">
        <f ca="1">_xlfn.RANK.EQ(BJ20,$BJ$20:$BJ$45,)</f>
        <v>2</v>
      </c>
      <c r="BL20" s="41">
        <f ca="1">BI20/BB$17</f>
        <v>689.50750000000005</v>
      </c>
      <c r="BN20" s="230">
        <f ca="1">IF(BB$17&lt;2,F20,IF(BB$17&lt;3,J20,IF(BB$17&lt;4,N20,IF(BB$17&lt;5,R20,IF(BB$17&lt;6,V20,IF(BB$17&lt;7,Z20,IF(BB$17&lt;8,AD20,IF(BB$17&lt;9,AH20,IF(BB$17&lt;10,AL20,IF(BB$17&lt;11,AP20,IF(BB$17&lt;12,AT20,IF(BB$17&lt;13,AX20,0))))))))))))-B20</f>
        <v>476.77999999999986</v>
      </c>
    </row>
    <row r="21" spans="1:66" ht="16.5" thickBot="1">
      <c r="A21" s="43" t="s">
        <v>62</v>
      </c>
      <c r="B21" s="206">
        <v>0</v>
      </c>
      <c r="C21" s="27" t="s">
        <v>0</v>
      </c>
      <c r="D21" s="179">
        <f>'01'!B40</f>
        <v>1387.4</v>
      </c>
      <c r="E21" s="180">
        <f>SUM('01'!D40:F40)</f>
        <v>1250.77</v>
      </c>
      <c r="F21" s="181">
        <f t="shared" si="2"/>
        <v>136.63000000000011</v>
      </c>
      <c r="G21" s="27" t="s">
        <v>1</v>
      </c>
      <c r="H21" s="179">
        <f>'02'!B40</f>
        <v>1205.52</v>
      </c>
      <c r="I21" s="180">
        <f>SUM('02'!D40:F40)</f>
        <v>1068.6300000000001</v>
      </c>
      <c r="J21" s="181">
        <f t="shared" si="3"/>
        <v>273.52</v>
      </c>
      <c r="K21" s="27" t="s">
        <v>2</v>
      </c>
      <c r="L21" s="179">
        <f>'03'!B40</f>
        <v>1158</v>
      </c>
      <c r="M21" s="180">
        <f>SUM('03'!D40:F40)</f>
        <v>917.46</v>
      </c>
      <c r="N21" s="181">
        <f t="shared" si="4"/>
        <v>514.05999999999995</v>
      </c>
      <c r="O21" s="27" t="s">
        <v>3</v>
      </c>
      <c r="P21" s="179">
        <f>'04'!B40</f>
        <v>1158</v>
      </c>
      <c r="Q21" s="180">
        <f>SUM('04'!D40:F40)</f>
        <v>1293.58</v>
      </c>
      <c r="R21" s="181">
        <f t="shared" si="5"/>
        <v>378.48</v>
      </c>
      <c r="S21" s="27" t="s">
        <v>99</v>
      </c>
      <c r="T21" s="179">
        <f>'05'!B40</f>
        <v>1158</v>
      </c>
      <c r="U21" s="180">
        <f>SUM('05'!D40:F40)</f>
        <v>1021.84</v>
      </c>
      <c r="V21" s="181">
        <f t="shared" si="6"/>
        <v>514.64</v>
      </c>
      <c r="W21" s="27" t="s">
        <v>95</v>
      </c>
      <c r="X21" s="179">
        <f>'06'!B40</f>
        <v>1128</v>
      </c>
      <c r="Y21" s="180">
        <f>SUM('06'!D40:F40)</f>
        <v>1118.78</v>
      </c>
      <c r="Z21" s="181">
        <f t="shared" si="7"/>
        <v>523.8599999999999</v>
      </c>
      <c r="AA21" s="27" t="s">
        <v>103</v>
      </c>
      <c r="AB21" s="179">
        <f>'07'!B40</f>
        <v>1128</v>
      </c>
      <c r="AC21" s="180">
        <f>SUM('07'!D40:F40)</f>
        <v>1021.84</v>
      </c>
      <c r="AD21" s="181">
        <f t="shared" si="8"/>
        <v>630.01999999999987</v>
      </c>
      <c r="AE21" s="27" t="s">
        <v>104</v>
      </c>
      <c r="AF21" s="179">
        <f>'08'!B40</f>
        <v>1128</v>
      </c>
      <c r="AG21" s="180">
        <f>SUM('08'!D40:F40)</f>
        <v>1084.46</v>
      </c>
      <c r="AH21" s="181">
        <f t="shared" si="9"/>
        <v>673.56</v>
      </c>
      <c r="AI21" s="27" t="s">
        <v>108</v>
      </c>
      <c r="AJ21" s="179">
        <f>'09'!B40</f>
        <v>1128</v>
      </c>
      <c r="AK21" s="180">
        <f>SUM('09'!D40:F40)</f>
        <v>1084.46</v>
      </c>
      <c r="AL21" s="181">
        <f t="shared" si="10"/>
        <v>717.09999999999991</v>
      </c>
      <c r="AM21" s="27" t="s">
        <v>109</v>
      </c>
      <c r="AN21" s="179">
        <f>'10'!B40</f>
        <v>1128</v>
      </c>
      <c r="AO21" s="180">
        <f>SUM('10'!D40:F40)</f>
        <v>1181.4000000000001</v>
      </c>
      <c r="AP21" s="181">
        <f t="shared" si="11"/>
        <v>663.69999999999982</v>
      </c>
      <c r="AQ21" s="27" t="s">
        <v>114</v>
      </c>
      <c r="AR21" s="179">
        <f>'11'!B40</f>
        <v>1128</v>
      </c>
      <c r="AS21" s="180">
        <f>SUM('11'!D40:F40)</f>
        <v>1084.95</v>
      </c>
      <c r="AT21" s="181">
        <f t="shared" si="12"/>
        <v>706.74999999999977</v>
      </c>
      <c r="AU21" s="27" t="s">
        <v>118</v>
      </c>
      <c r="AV21" s="179">
        <f>'12'!B40</f>
        <v>1128</v>
      </c>
      <c r="AW21" s="180">
        <f>SUM('12'!D40:F40)</f>
        <v>900</v>
      </c>
      <c r="AX21" s="181">
        <f t="shared" si="13"/>
        <v>934.74999999999977</v>
      </c>
      <c r="AY21" s="44">
        <f t="shared" si="14"/>
        <v>13028.17</v>
      </c>
      <c r="AZ21" s="40">
        <f t="shared" si="15"/>
        <v>0.25554335304673798</v>
      </c>
      <c r="BA21" s="41">
        <f t="shared" ref="BA21:BA45" si="18">_xlfn.RANK.EQ(AZ21,$AZ$20:$AZ$45,)</f>
        <v>1</v>
      </c>
      <c r="BB21" s="41">
        <f t="shared" ca="1" si="16"/>
        <v>1085.6808333333333</v>
      </c>
      <c r="BI21" s="175">
        <f t="shared" ref="BI21:BI45" ca="1" si="19">D21+IF(BB$17&lt;2,0,H21)+IF(BB$17&lt;3,0,L21)+IF(BB$17&lt;4,0,P21)+IF(BB$17&lt;5,0,T21)+IF(BB$17&lt;6,0,X21)+IF(BB$17&lt;7,0,AB21)+IF(BB$17&lt;8,0,AF21)+IF(BB$17&lt;9,0,AJ21)+IF(BB$17&lt;10,0,AN21)+IF(BB$17&lt;11,0,AR21)+IF(BB$17&lt;12,0,AV21)</f>
        <v>13962.92</v>
      </c>
      <c r="BJ21" s="40">
        <f t="shared" ca="1" si="17"/>
        <v>0.24876002314623463</v>
      </c>
      <c r="BK21" s="41">
        <f t="shared" ref="BK21:BK45" ca="1" si="20">_xlfn.RANK.EQ(BJ21,$BJ$20:$BJ$45,)</f>
        <v>1</v>
      </c>
      <c r="BL21" s="41">
        <f t="shared" ref="BL21:BL45" ca="1" si="21">BI21/BB$17</f>
        <v>1163.5766666666666</v>
      </c>
      <c r="BN21" s="230">
        <f ca="1">IF(BB$17&lt;2,F21,IF(BB$17&lt;3,J21,IF(BB$17&lt;4,N21,IF(BB$17&lt;5,R21,IF(BB$17&lt;6,V21,IF(BB$17&lt;7,Z21,IF(BB$17&lt;8,AD21,IF(BB$17&lt;9,AH21,IF(BB$17&lt;10,AL21,IF(BB$17&lt;11,AP21,IF(BB$17&lt;12,AT21,IF(BB$17&lt;13,AX21,0))))))))))))-B21</f>
        <v>934.74999999999977</v>
      </c>
    </row>
    <row r="22" spans="1:66" ht="16.5" thickBot="1">
      <c r="A22" s="45" t="s">
        <v>17</v>
      </c>
      <c r="B22" s="207">
        <v>0</v>
      </c>
      <c r="C22" s="26" t="s">
        <v>0</v>
      </c>
      <c r="D22" s="182">
        <f>'01'!B60</f>
        <v>400</v>
      </c>
      <c r="E22" s="182">
        <f>SUM('01'!D60:F60)</f>
        <v>446.3</v>
      </c>
      <c r="F22" s="183">
        <f t="shared" si="2"/>
        <v>-46.300000000000011</v>
      </c>
      <c r="G22" s="26" t="s">
        <v>1</v>
      </c>
      <c r="H22" s="182">
        <f>'02'!B60</f>
        <v>400</v>
      </c>
      <c r="I22" s="182">
        <f>SUM('02'!D60:F60)</f>
        <v>438.4</v>
      </c>
      <c r="J22" s="183">
        <f t="shared" si="3"/>
        <v>-84.699999999999989</v>
      </c>
      <c r="K22" s="26" t="s">
        <v>2</v>
      </c>
      <c r="L22" s="182">
        <f>'03'!B60</f>
        <v>471.46</v>
      </c>
      <c r="M22" s="182">
        <f>SUM('03'!D60:F60)</f>
        <v>423.7</v>
      </c>
      <c r="N22" s="183">
        <f t="shared" si="4"/>
        <v>-36.94</v>
      </c>
      <c r="O22" s="26" t="s">
        <v>3</v>
      </c>
      <c r="P22" s="182">
        <f>'04'!B60</f>
        <v>410</v>
      </c>
      <c r="Q22" s="182">
        <f>SUM('04'!D60:F60)</f>
        <v>606.42999999999995</v>
      </c>
      <c r="R22" s="183">
        <f t="shared" si="5"/>
        <v>-233.36999999999995</v>
      </c>
      <c r="S22" s="26" t="s">
        <v>99</v>
      </c>
      <c r="T22" s="182">
        <f>'05'!B60</f>
        <v>420</v>
      </c>
      <c r="U22" s="182">
        <f>SUM('05'!D60:F60)</f>
        <v>239.60999999999999</v>
      </c>
      <c r="V22" s="183">
        <f t="shared" si="6"/>
        <v>-52.979999999999933</v>
      </c>
      <c r="W22" s="26" t="s">
        <v>95</v>
      </c>
      <c r="X22" s="182">
        <f>'06'!B60</f>
        <v>478</v>
      </c>
      <c r="Y22" s="182">
        <f>SUM('06'!D60:F60)</f>
        <v>554.07000000000005</v>
      </c>
      <c r="Z22" s="183">
        <f t="shared" si="7"/>
        <v>-129.04999999999995</v>
      </c>
      <c r="AA22" s="26" t="s">
        <v>103</v>
      </c>
      <c r="AB22" s="182">
        <f>'07'!B60</f>
        <v>530</v>
      </c>
      <c r="AC22" s="182">
        <f>SUM('07'!D60:F60)</f>
        <v>389.21999999999997</v>
      </c>
      <c r="AD22" s="183">
        <f t="shared" si="8"/>
        <v>11.730000000000075</v>
      </c>
      <c r="AE22" s="26" t="s">
        <v>104</v>
      </c>
      <c r="AF22" s="182">
        <f>'08'!B60</f>
        <v>500</v>
      </c>
      <c r="AG22" s="182">
        <f>SUM('08'!D60:F60)</f>
        <v>415.88999999999993</v>
      </c>
      <c r="AH22" s="183">
        <f t="shared" si="9"/>
        <v>95.840000000000146</v>
      </c>
      <c r="AI22" s="26" t="s">
        <v>108</v>
      </c>
      <c r="AJ22" s="182">
        <f>'09'!B60</f>
        <v>460</v>
      </c>
      <c r="AK22" s="182">
        <f>SUM('09'!D60:F60)</f>
        <v>418.99999999999994</v>
      </c>
      <c r="AL22" s="183">
        <f t="shared" si="10"/>
        <v>136.8400000000002</v>
      </c>
      <c r="AM22" s="26" t="s">
        <v>109</v>
      </c>
      <c r="AN22" s="182">
        <f>'10'!B60</f>
        <v>490</v>
      </c>
      <c r="AO22" s="182">
        <f>SUM('10'!D60:F60)</f>
        <v>525.39</v>
      </c>
      <c r="AP22" s="183">
        <f t="shared" si="11"/>
        <v>101.45000000000016</v>
      </c>
      <c r="AQ22" s="26" t="s">
        <v>114</v>
      </c>
      <c r="AR22" s="182">
        <f>'11'!B60</f>
        <v>490</v>
      </c>
      <c r="AS22" s="182">
        <f>SUM('11'!D60:F60)</f>
        <v>400.86999999999995</v>
      </c>
      <c r="AT22" s="183">
        <f t="shared" si="12"/>
        <v>190.58000000000021</v>
      </c>
      <c r="AU22" s="26" t="s">
        <v>118</v>
      </c>
      <c r="AV22" s="182">
        <f>'12'!B60</f>
        <v>470</v>
      </c>
      <c r="AW22" s="182">
        <f>SUM('12'!D60:F60)</f>
        <v>240.77</v>
      </c>
      <c r="AX22" s="183">
        <f t="shared" si="13"/>
        <v>419.81000000000017</v>
      </c>
      <c r="AY22" s="42">
        <f t="shared" si="14"/>
        <v>5099.6500000000005</v>
      </c>
      <c r="AZ22" s="40">
        <f t="shared" si="15"/>
        <v>0.10002799014480142</v>
      </c>
      <c r="BA22" s="41">
        <f t="shared" si="18"/>
        <v>3</v>
      </c>
      <c r="BB22" s="41">
        <f t="shared" ca="1" si="16"/>
        <v>424.97083333333336</v>
      </c>
      <c r="BI22" s="39">
        <f t="shared" ca="1" si="19"/>
        <v>5519.46</v>
      </c>
      <c r="BJ22" s="40">
        <f t="shared" ca="1" si="17"/>
        <v>9.8333371340286718E-2</v>
      </c>
      <c r="BK22" s="41">
        <f t="shared" ca="1" si="20"/>
        <v>4</v>
      </c>
      <c r="BL22" s="41">
        <f t="shared" ca="1" si="21"/>
        <v>459.95499999999998</v>
      </c>
      <c r="BN22" s="230">
        <f t="shared" ref="BN22:BN45" ca="1" si="22">IF(BB$17&lt;2,F22,IF(BB$17&lt;3,J22,IF(BB$17&lt;4,N22,IF(BB$17&lt;5,R22,IF(BB$17&lt;6,V22,IF(BB$17&lt;7,Z22,IF(BB$17&lt;8,AD22,IF(BB$17&lt;9,AH22,IF(BB$17&lt;10,AL22,IF(BB$17&lt;11,AP22,IF(BB$17&lt;12,AT22,IF(BB$17&lt;13,AX22,0))))))))))))-B22</f>
        <v>419.81000000000017</v>
      </c>
    </row>
    <row r="23" spans="1:66" ht="16.5" thickBot="1">
      <c r="A23" s="43" t="s">
        <v>18</v>
      </c>
      <c r="B23" s="206">
        <v>3.26</v>
      </c>
      <c r="C23" s="27" t="s">
        <v>0</v>
      </c>
      <c r="D23" s="179">
        <f>'01'!B80</f>
        <v>150</v>
      </c>
      <c r="E23" s="180">
        <f>SUM('01'!D80:F80)</f>
        <v>161.19</v>
      </c>
      <c r="F23" s="181">
        <f t="shared" si="2"/>
        <v>-7.9300000000000068</v>
      </c>
      <c r="G23" s="27" t="s">
        <v>1</v>
      </c>
      <c r="H23" s="179">
        <f>'02'!B80</f>
        <v>201</v>
      </c>
      <c r="I23" s="180">
        <f>SUM('02'!D80:F80)</f>
        <v>147.35</v>
      </c>
      <c r="J23" s="181">
        <f t="shared" si="3"/>
        <v>45.72</v>
      </c>
      <c r="K23" s="27" t="s">
        <v>2</v>
      </c>
      <c r="L23" s="179">
        <f>'03'!B80</f>
        <v>88.539999999999992</v>
      </c>
      <c r="M23" s="180">
        <f>SUM('03'!D80:F80)</f>
        <v>180.05</v>
      </c>
      <c r="N23" s="181">
        <f t="shared" si="4"/>
        <v>-45.79000000000002</v>
      </c>
      <c r="O23" s="27" t="s">
        <v>3</v>
      </c>
      <c r="P23" s="179">
        <f>'04'!B80</f>
        <v>150</v>
      </c>
      <c r="Q23" s="180">
        <f>SUM('04'!D80:F80)</f>
        <v>98.300000000000011</v>
      </c>
      <c r="R23" s="181">
        <f t="shared" si="5"/>
        <v>5.9099999999999682</v>
      </c>
      <c r="S23" s="27" t="s">
        <v>99</v>
      </c>
      <c r="T23" s="179">
        <f>'05'!B80</f>
        <v>373</v>
      </c>
      <c r="U23" s="180">
        <f>SUM('05'!D80:F80)</f>
        <v>373.97999999999996</v>
      </c>
      <c r="V23" s="181">
        <f t="shared" si="6"/>
        <v>4.9300000000000068</v>
      </c>
      <c r="W23" s="27" t="s">
        <v>95</v>
      </c>
      <c r="X23" s="179">
        <f>'06'!B80</f>
        <v>150</v>
      </c>
      <c r="Y23" s="180">
        <f>SUM('06'!D80:F80)</f>
        <v>226.57</v>
      </c>
      <c r="Z23" s="181">
        <f t="shared" si="7"/>
        <v>-71.639999999999986</v>
      </c>
      <c r="AA23" s="27" t="s">
        <v>103</v>
      </c>
      <c r="AB23" s="179">
        <f>'07'!B80</f>
        <v>221</v>
      </c>
      <c r="AC23" s="180">
        <f>SUM('07'!D80:F80)</f>
        <v>205.9</v>
      </c>
      <c r="AD23" s="181">
        <f t="shared" si="8"/>
        <v>-56.539999999999992</v>
      </c>
      <c r="AE23" s="27" t="s">
        <v>104</v>
      </c>
      <c r="AF23" s="179">
        <f>'08'!B80</f>
        <v>256.3</v>
      </c>
      <c r="AG23" s="180">
        <f>SUM('08'!D80:F80)</f>
        <v>258.8</v>
      </c>
      <c r="AH23" s="181">
        <f t="shared" si="9"/>
        <v>-59.039999999999992</v>
      </c>
      <c r="AI23" s="27" t="s">
        <v>108</v>
      </c>
      <c r="AJ23" s="179">
        <f>'09'!B80</f>
        <v>247.1</v>
      </c>
      <c r="AK23" s="180">
        <f>SUM('09'!D80:F80)</f>
        <v>117.00999999999999</v>
      </c>
      <c r="AL23" s="181">
        <f t="shared" si="10"/>
        <v>71.050000000000011</v>
      </c>
      <c r="AM23" s="27" t="s">
        <v>109</v>
      </c>
      <c r="AN23" s="179">
        <f>'10'!B80</f>
        <v>150</v>
      </c>
      <c r="AO23" s="180">
        <f>SUM('10'!D80:F80)</f>
        <v>211.79</v>
      </c>
      <c r="AP23" s="181">
        <f t="shared" si="11"/>
        <v>9.2600000000000193</v>
      </c>
      <c r="AQ23" s="27" t="s">
        <v>114</v>
      </c>
      <c r="AR23" s="179">
        <f>'11'!B80</f>
        <v>150</v>
      </c>
      <c r="AS23" s="180">
        <f>SUM('11'!D80:F80)</f>
        <v>159.38999999999999</v>
      </c>
      <c r="AT23" s="181">
        <f t="shared" si="12"/>
        <v>-0.12999999999996703</v>
      </c>
      <c r="AU23" s="27" t="s">
        <v>118</v>
      </c>
      <c r="AV23" s="179">
        <f>'12'!B80</f>
        <v>155</v>
      </c>
      <c r="AW23" s="180">
        <f>SUM('12'!D80:F80)</f>
        <v>95.740000000000009</v>
      </c>
      <c r="AX23" s="181">
        <f t="shared" si="13"/>
        <v>59.130000000000024</v>
      </c>
      <c r="AY23" s="44">
        <f t="shared" si="14"/>
        <v>2236.0699999999997</v>
      </c>
      <c r="AZ23" s="40">
        <f t="shared" si="15"/>
        <v>4.3859791931423933E-2</v>
      </c>
      <c r="BA23" s="41">
        <f t="shared" si="18"/>
        <v>7</v>
      </c>
      <c r="BB23" s="41">
        <f t="shared" ca="1" si="16"/>
        <v>186.33916666666664</v>
      </c>
      <c r="BI23" s="175">
        <f t="shared" ca="1" si="19"/>
        <v>2291.9399999999996</v>
      </c>
      <c r="BJ23" s="40">
        <f t="shared" ca="1" si="17"/>
        <v>4.0832651583607216E-2</v>
      </c>
      <c r="BK23" s="41">
        <f t="shared" ca="1" si="20"/>
        <v>8</v>
      </c>
      <c r="BL23" s="41">
        <f t="shared" ca="1" si="21"/>
        <v>190.99499999999998</v>
      </c>
      <c r="BN23" s="230">
        <f t="shared" ca="1" si="22"/>
        <v>55.870000000000026</v>
      </c>
    </row>
    <row r="24" spans="1:66" ht="16.5" thickBot="1">
      <c r="A24" s="45" t="s">
        <v>19</v>
      </c>
      <c r="B24" s="207">
        <v>74.56</v>
      </c>
      <c r="C24" s="26" t="s">
        <v>0</v>
      </c>
      <c r="D24" s="182">
        <f>'01'!B100</f>
        <v>150</v>
      </c>
      <c r="E24" s="182">
        <f>SUM('01'!D100:F100)</f>
        <v>158.34</v>
      </c>
      <c r="F24" s="183">
        <f t="shared" si="2"/>
        <v>66.22</v>
      </c>
      <c r="G24" s="26" t="s">
        <v>1</v>
      </c>
      <c r="H24" s="182">
        <f>'02'!B100</f>
        <v>150</v>
      </c>
      <c r="I24" s="182">
        <f>SUM('02'!D100:F100)</f>
        <v>182.92</v>
      </c>
      <c r="J24" s="183">
        <f t="shared" si="3"/>
        <v>33.300000000000011</v>
      </c>
      <c r="K24" s="26" t="s">
        <v>2</v>
      </c>
      <c r="L24" s="182">
        <f>'03'!B100</f>
        <v>150</v>
      </c>
      <c r="M24" s="182">
        <f>SUM('03'!D100:F100)</f>
        <v>142.01</v>
      </c>
      <c r="N24" s="183">
        <f t="shared" si="4"/>
        <v>41.29000000000002</v>
      </c>
      <c r="O24" s="26" t="s">
        <v>3</v>
      </c>
      <c r="P24" s="182">
        <f>'04'!B100</f>
        <v>150</v>
      </c>
      <c r="Q24" s="182">
        <f>SUM('04'!D100:F100)</f>
        <v>89.83</v>
      </c>
      <c r="R24" s="183">
        <f t="shared" si="5"/>
        <v>101.46000000000002</v>
      </c>
      <c r="S24" s="26" t="s">
        <v>99</v>
      </c>
      <c r="T24" s="182">
        <f>'05'!B100</f>
        <v>140</v>
      </c>
      <c r="U24" s="182">
        <f>SUM('05'!D100:F100)</f>
        <v>191.8</v>
      </c>
      <c r="V24" s="183">
        <f t="shared" si="6"/>
        <v>49.660000000000025</v>
      </c>
      <c r="W24" s="26" t="s">
        <v>95</v>
      </c>
      <c r="X24" s="182">
        <f>'06'!B100</f>
        <v>150</v>
      </c>
      <c r="Y24" s="182">
        <f>SUM('06'!D100:F100)</f>
        <v>152.04</v>
      </c>
      <c r="Z24" s="183">
        <f t="shared" si="7"/>
        <v>47.620000000000033</v>
      </c>
      <c r="AA24" s="26" t="s">
        <v>103</v>
      </c>
      <c r="AB24" s="182">
        <f>'07'!B100</f>
        <v>150</v>
      </c>
      <c r="AC24" s="182">
        <f>SUM('07'!D100:F100)</f>
        <v>159.55000000000001</v>
      </c>
      <c r="AD24" s="183">
        <f t="shared" si="8"/>
        <v>38.070000000000022</v>
      </c>
      <c r="AE24" s="26" t="s">
        <v>104</v>
      </c>
      <c r="AF24" s="182">
        <f>'08'!B100</f>
        <v>150</v>
      </c>
      <c r="AG24" s="182">
        <f>SUM('08'!D100:F100)</f>
        <v>164.92</v>
      </c>
      <c r="AH24" s="183">
        <f t="shared" si="9"/>
        <v>23.150000000000034</v>
      </c>
      <c r="AI24" s="26" t="s">
        <v>108</v>
      </c>
      <c r="AJ24" s="182">
        <f>'09'!B100</f>
        <v>152.9</v>
      </c>
      <c r="AK24" s="182">
        <f>SUM('09'!D100:F100)</f>
        <v>180.69000000000003</v>
      </c>
      <c r="AL24" s="183">
        <f t="shared" si="10"/>
        <v>-4.6399999999999864</v>
      </c>
      <c r="AM24" s="26" t="s">
        <v>109</v>
      </c>
      <c r="AN24" s="182">
        <f>'10'!B100</f>
        <v>160</v>
      </c>
      <c r="AO24" s="182">
        <f>SUM('10'!D100:F100)</f>
        <v>172.11999999999998</v>
      </c>
      <c r="AP24" s="183">
        <f t="shared" si="11"/>
        <v>-16.759999999999962</v>
      </c>
      <c r="AQ24" s="26" t="s">
        <v>114</v>
      </c>
      <c r="AR24" s="182">
        <f>'11'!B100</f>
        <v>165</v>
      </c>
      <c r="AS24" s="182">
        <f>SUM('11'!D100:F100)</f>
        <v>202.10000000000002</v>
      </c>
      <c r="AT24" s="183">
        <f t="shared" si="12"/>
        <v>-53.859999999999985</v>
      </c>
      <c r="AU24" s="26" t="s">
        <v>118</v>
      </c>
      <c r="AV24" s="182">
        <f>'12'!B100</f>
        <v>175</v>
      </c>
      <c r="AW24" s="182">
        <f>SUM('12'!D100:F100)</f>
        <v>59.41</v>
      </c>
      <c r="AX24" s="183">
        <f t="shared" si="13"/>
        <v>61.730000000000018</v>
      </c>
      <c r="AY24" s="42">
        <f t="shared" si="14"/>
        <v>1855.7300000000002</v>
      </c>
      <c r="AZ24" s="40">
        <f t="shared" si="15"/>
        <v>3.6399545488692821E-2</v>
      </c>
      <c r="BA24" s="41">
        <f t="shared" si="18"/>
        <v>9</v>
      </c>
      <c r="BB24" s="41">
        <f t="shared" ca="1" si="16"/>
        <v>154.64416666666668</v>
      </c>
      <c r="BI24" s="39">
        <f t="shared" ca="1" si="19"/>
        <v>1842.9</v>
      </c>
      <c r="BJ24" s="40">
        <f t="shared" ca="1" si="17"/>
        <v>3.2832662985693241E-2</v>
      </c>
      <c r="BK24" s="41">
        <f t="shared" ca="1" si="20"/>
        <v>9</v>
      </c>
      <c r="BL24" s="41">
        <f t="shared" ca="1" si="21"/>
        <v>153.57500000000002</v>
      </c>
      <c r="BN24" s="230">
        <f t="shared" ca="1" si="22"/>
        <v>-12.829999999999984</v>
      </c>
    </row>
    <row r="25" spans="1:66" ht="16.5" thickBot="1">
      <c r="A25" s="43" t="s">
        <v>63</v>
      </c>
      <c r="B25" s="206">
        <v>3074.8199999999997</v>
      </c>
      <c r="C25" s="27" t="s">
        <v>0</v>
      </c>
      <c r="D25" s="179">
        <f>'01'!B120</f>
        <v>400</v>
      </c>
      <c r="E25" s="180">
        <f>SUM('01'!D120:F120)</f>
        <v>328.82000000000005</v>
      </c>
      <c r="F25" s="181">
        <f t="shared" si="2"/>
        <v>3145.9999999999995</v>
      </c>
      <c r="G25" s="27" t="s">
        <v>1</v>
      </c>
      <c r="H25" s="179">
        <f>'02'!B120</f>
        <v>400</v>
      </c>
      <c r="I25" s="180">
        <f>SUM('02'!D120:F120)</f>
        <v>328.82000000000005</v>
      </c>
      <c r="J25" s="181">
        <f t="shared" si="3"/>
        <v>3217.1799999999994</v>
      </c>
      <c r="K25" s="27" t="s">
        <v>2</v>
      </c>
      <c r="L25" s="179">
        <f>'03'!B120</f>
        <v>400</v>
      </c>
      <c r="M25" s="180">
        <f>SUM('03'!D120:F120)</f>
        <v>328.82000000000005</v>
      </c>
      <c r="N25" s="181">
        <f t="shared" si="4"/>
        <v>3288.3599999999992</v>
      </c>
      <c r="O25" s="27" t="s">
        <v>3</v>
      </c>
      <c r="P25" s="179">
        <f>'04'!B120</f>
        <v>400</v>
      </c>
      <c r="Q25" s="180">
        <f>SUM('04'!D120:F120)</f>
        <v>328.82000000000005</v>
      </c>
      <c r="R25" s="181">
        <f t="shared" si="5"/>
        <v>3359.5399999999991</v>
      </c>
      <c r="S25" s="27" t="s">
        <v>99</v>
      </c>
      <c r="T25" s="179">
        <f>'05'!B120</f>
        <v>400</v>
      </c>
      <c r="U25" s="180">
        <f>SUM('05'!D120:F120)</f>
        <v>328.82000000000005</v>
      </c>
      <c r="V25" s="181">
        <f t="shared" si="6"/>
        <v>3430.7199999999989</v>
      </c>
      <c r="W25" s="27" t="s">
        <v>95</v>
      </c>
      <c r="X25" s="179">
        <f>'06'!B120</f>
        <v>400</v>
      </c>
      <c r="Y25" s="180">
        <f>SUM('06'!D120:F120)</f>
        <v>328.82000000000005</v>
      </c>
      <c r="Z25" s="181">
        <f t="shared" si="7"/>
        <v>3501.8999999999987</v>
      </c>
      <c r="AA25" s="27" t="s">
        <v>103</v>
      </c>
      <c r="AB25" s="179">
        <f>'07'!B120</f>
        <v>400</v>
      </c>
      <c r="AC25" s="180">
        <f>SUM('07'!D120:F120)</f>
        <v>328.82000000000005</v>
      </c>
      <c r="AD25" s="181">
        <f t="shared" si="8"/>
        <v>3573.0799999999986</v>
      </c>
      <c r="AE25" s="27" t="s">
        <v>104</v>
      </c>
      <c r="AF25" s="179">
        <f>'08'!B120</f>
        <v>400</v>
      </c>
      <c r="AG25" s="180">
        <f>SUM('08'!D120:F120)</f>
        <v>328.82000000000005</v>
      </c>
      <c r="AH25" s="181">
        <f t="shared" si="9"/>
        <v>3644.2599999999984</v>
      </c>
      <c r="AI25" s="27" t="s">
        <v>108</v>
      </c>
      <c r="AJ25" s="179">
        <f>'09'!B120</f>
        <v>400</v>
      </c>
      <c r="AK25" s="180">
        <f>SUM('09'!D120:F120)</f>
        <v>330.82000000000005</v>
      </c>
      <c r="AL25" s="181">
        <f t="shared" si="10"/>
        <v>3713.4399999999982</v>
      </c>
      <c r="AM25" s="27" t="s">
        <v>109</v>
      </c>
      <c r="AN25" s="179">
        <f>'10'!B120</f>
        <v>400</v>
      </c>
      <c r="AO25" s="180">
        <f>SUM('10'!D120:F120)</f>
        <v>378.82000000000005</v>
      </c>
      <c r="AP25" s="181">
        <f t="shared" si="11"/>
        <v>3734.6199999999985</v>
      </c>
      <c r="AQ25" s="27" t="s">
        <v>114</v>
      </c>
      <c r="AR25" s="179">
        <f>'11'!B120</f>
        <v>400</v>
      </c>
      <c r="AS25" s="180">
        <f>SUM('11'!D120:F120)</f>
        <v>1231.7200000000003</v>
      </c>
      <c r="AT25" s="181">
        <f t="shared" si="12"/>
        <v>2902.8999999999987</v>
      </c>
      <c r="AU25" s="27" t="s">
        <v>118</v>
      </c>
      <c r="AV25" s="179">
        <f>'12'!B120</f>
        <v>405</v>
      </c>
      <c r="AW25" s="180">
        <f>SUM('12'!D120:F120)</f>
        <v>327.38</v>
      </c>
      <c r="AX25" s="181">
        <f t="shared" si="13"/>
        <v>2980.5199999999986</v>
      </c>
      <c r="AY25" s="44">
        <f t="shared" si="14"/>
        <v>4899.300000000002</v>
      </c>
      <c r="AZ25" s="40">
        <f t="shared" si="15"/>
        <v>9.6098189506422155E-2</v>
      </c>
      <c r="BA25" s="41">
        <f t="shared" si="18"/>
        <v>4</v>
      </c>
      <c r="BB25" s="41">
        <f t="shared" ca="1" si="16"/>
        <v>408.27500000000015</v>
      </c>
      <c r="BI25" s="175">
        <f t="shared" ca="1" si="19"/>
        <v>4805</v>
      </c>
      <c r="BJ25" s="40">
        <f t="shared" ca="1" si="17"/>
        <v>8.5604723884234624E-2</v>
      </c>
      <c r="BK25" s="41">
        <f t="shared" ca="1" si="20"/>
        <v>5</v>
      </c>
      <c r="BL25" s="41">
        <f t="shared" ca="1" si="21"/>
        <v>400.41666666666669</v>
      </c>
      <c r="BN25" s="230">
        <f t="shared" ca="1" si="22"/>
        <v>-94.300000000001091</v>
      </c>
    </row>
    <row r="26" spans="1:66" ht="16.5" thickBot="1">
      <c r="A26" s="45" t="s">
        <v>64</v>
      </c>
      <c r="B26" s="207">
        <v>34.47</v>
      </c>
      <c r="C26" s="26" t="s">
        <v>0</v>
      </c>
      <c r="D26" s="182">
        <f>'01'!B140</f>
        <v>47.5</v>
      </c>
      <c r="E26" s="182">
        <f>SUM('01'!D140:F140)</f>
        <v>37.5</v>
      </c>
      <c r="F26" s="183">
        <f t="shared" si="2"/>
        <v>44.47</v>
      </c>
      <c r="G26" s="26" t="s">
        <v>1</v>
      </c>
      <c r="H26" s="182">
        <f>'02'!B140</f>
        <v>50</v>
      </c>
      <c r="I26" s="182">
        <f>SUM('02'!D140:F140)</f>
        <v>47.5</v>
      </c>
      <c r="J26" s="183">
        <f t="shared" si="3"/>
        <v>46.97</v>
      </c>
      <c r="K26" s="26" t="s">
        <v>2</v>
      </c>
      <c r="L26" s="182">
        <f>'03'!B140</f>
        <v>37.5</v>
      </c>
      <c r="M26" s="182">
        <f>SUM('03'!D140:F140)</f>
        <v>42.5</v>
      </c>
      <c r="N26" s="183">
        <f t="shared" si="4"/>
        <v>41.97</v>
      </c>
      <c r="O26" s="26" t="s">
        <v>3</v>
      </c>
      <c r="P26" s="182">
        <f>'04'!B140</f>
        <v>48</v>
      </c>
      <c r="Q26" s="182">
        <f>SUM('04'!D140:F140)</f>
        <v>60.49</v>
      </c>
      <c r="R26" s="183">
        <f t="shared" si="5"/>
        <v>29.479999999999997</v>
      </c>
      <c r="S26" s="26" t="s">
        <v>99</v>
      </c>
      <c r="T26" s="182">
        <f>'05'!B140</f>
        <v>48</v>
      </c>
      <c r="U26" s="182">
        <f>SUM('05'!D140:F140)</f>
        <v>35.5</v>
      </c>
      <c r="V26" s="183">
        <f t="shared" si="6"/>
        <v>41.97999999999999</v>
      </c>
      <c r="W26" s="26" t="s">
        <v>95</v>
      </c>
      <c r="X26" s="182">
        <f>'06'!B140</f>
        <v>48</v>
      </c>
      <c r="Y26" s="182">
        <f>SUM('06'!D140:F140)</f>
        <v>60.49</v>
      </c>
      <c r="Z26" s="183">
        <f t="shared" si="7"/>
        <v>29.489999999999988</v>
      </c>
      <c r="AA26" s="26" t="s">
        <v>103</v>
      </c>
      <c r="AB26" s="182">
        <f>'07'!B140</f>
        <v>48</v>
      </c>
      <c r="AC26" s="182">
        <f>SUM('07'!D140:F140)</f>
        <v>45.49</v>
      </c>
      <c r="AD26" s="183">
        <f t="shared" si="8"/>
        <v>31.999999999999979</v>
      </c>
      <c r="AE26" s="26" t="s">
        <v>104</v>
      </c>
      <c r="AF26" s="182">
        <f>'08'!B140</f>
        <v>48</v>
      </c>
      <c r="AG26" s="182">
        <f>SUM('08'!D140:F140)</f>
        <v>50.49</v>
      </c>
      <c r="AH26" s="183">
        <f t="shared" si="9"/>
        <v>29.50999999999997</v>
      </c>
      <c r="AI26" s="26" t="s">
        <v>108</v>
      </c>
      <c r="AJ26" s="182">
        <f>'09'!B140</f>
        <v>48</v>
      </c>
      <c r="AK26" s="182">
        <f>SUM('09'!D140:F140)</f>
        <v>60.49</v>
      </c>
      <c r="AL26" s="183">
        <f t="shared" si="10"/>
        <v>17.01999999999996</v>
      </c>
      <c r="AM26" s="26" t="s">
        <v>109</v>
      </c>
      <c r="AN26" s="182">
        <f>'10'!B140</f>
        <v>48</v>
      </c>
      <c r="AO26" s="182">
        <f>SUM('10'!D140:F140)</f>
        <v>50.49</v>
      </c>
      <c r="AP26" s="183">
        <f t="shared" si="11"/>
        <v>14.529999999999951</v>
      </c>
      <c r="AQ26" s="26" t="s">
        <v>114</v>
      </c>
      <c r="AR26" s="182">
        <f>'11'!B140</f>
        <v>48</v>
      </c>
      <c r="AS26" s="182">
        <f>SUM('11'!D140:F140)</f>
        <v>55.49</v>
      </c>
      <c r="AT26" s="183">
        <f t="shared" si="12"/>
        <v>7.0399999999999494</v>
      </c>
      <c r="AU26" s="26" t="s">
        <v>118</v>
      </c>
      <c r="AV26" s="182">
        <f>'12'!B140</f>
        <v>48</v>
      </c>
      <c r="AW26" s="182">
        <f>SUM('12'!D140:F140)</f>
        <v>8</v>
      </c>
      <c r="AX26" s="183">
        <f t="shared" si="13"/>
        <v>47.039999999999949</v>
      </c>
      <c r="AY26" s="42">
        <f t="shared" si="14"/>
        <v>554.43000000000006</v>
      </c>
      <c r="AZ26" s="40">
        <f t="shared" si="15"/>
        <v>1.0874965649796016E-2</v>
      </c>
      <c r="BA26" s="41">
        <f t="shared" si="18"/>
        <v>16</v>
      </c>
      <c r="BB26" s="41">
        <f t="shared" ca="1" si="16"/>
        <v>46.202500000000008</v>
      </c>
      <c r="BI26" s="39">
        <f t="shared" ca="1" si="19"/>
        <v>567</v>
      </c>
      <c r="BJ26" s="40">
        <f t="shared" ca="1" si="17"/>
        <v>1.0101535575933619E-2</v>
      </c>
      <c r="BK26" s="41">
        <f t="shared" ca="1" si="20"/>
        <v>17</v>
      </c>
      <c r="BL26" s="41">
        <f t="shared" ca="1" si="21"/>
        <v>47.25</v>
      </c>
      <c r="BN26" s="230">
        <f t="shared" ca="1" si="22"/>
        <v>12.569999999999951</v>
      </c>
    </row>
    <row r="27" spans="1:66" ht="16.5" thickBot="1">
      <c r="A27" s="43" t="s">
        <v>20</v>
      </c>
      <c r="B27" s="208">
        <v>125.39</v>
      </c>
      <c r="C27" s="27" t="s">
        <v>0</v>
      </c>
      <c r="D27" s="179">
        <f>'01'!B160</f>
        <v>60</v>
      </c>
      <c r="E27" s="179">
        <f>SUM('01'!D160:F160)</f>
        <v>44.38</v>
      </c>
      <c r="F27" s="184">
        <f t="shared" si="2"/>
        <v>141.01</v>
      </c>
      <c r="G27" s="27" t="s">
        <v>1</v>
      </c>
      <c r="H27" s="179">
        <f>'02'!B160</f>
        <v>60</v>
      </c>
      <c r="I27" s="179">
        <f>SUM('02'!D160:F160)</f>
        <v>23.07</v>
      </c>
      <c r="J27" s="184">
        <f t="shared" si="3"/>
        <v>177.94</v>
      </c>
      <c r="K27" s="27" t="s">
        <v>2</v>
      </c>
      <c r="L27" s="179">
        <f>'03'!B160</f>
        <v>60</v>
      </c>
      <c r="M27" s="179">
        <f>SUM('03'!D160:F160)</f>
        <v>44.73</v>
      </c>
      <c r="N27" s="184">
        <f t="shared" si="4"/>
        <v>193.21</v>
      </c>
      <c r="O27" s="27" t="s">
        <v>3</v>
      </c>
      <c r="P27" s="179">
        <f>'04'!B160</f>
        <v>50</v>
      </c>
      <c r="Q27" s="179">
        <f>SUM('04'!D160:F160)</f>
        <v>103.28999999999999</v>
      </c>
      <c r="R27" s="184">
        <f t="shared" si="5"/>
        <v>139.92000000000002</v>
      </c>
      <c r="S27" s="27" t="s">
        <v>99</v>
      </c>
      <c r="T27" s="179">
        <f>'05'!B160</f>
        <v>50</v>
      </c>
      <c r="U27" s="179">
        <f>SUM('05'!D160:F160)</f>
        <v>0</v>
      </c>
      <c r="V27" s="184">
        <f t="shared" si="6"/>
        <v>189.92000000000002</v>
      </c>
      <c r="W27" s="27" t="s">
        <v>95</v>
      </c>
      <c r="X27" s="179">
        <f>'06'!B160</f>
        <v>50</v>
      </c>
      <c r="Y27" s="179">
        <f>SUM('06'!D160:F160)</f>
        <v>31.56</v>
      </c>
      <c r="Z27" s="184">
        <f t="shared" si="7"/>
        <v>208.36</v>
      </c>
      <c r="AA27" s="27" t="s">
        <v>103</v>
      </c>
      <c r="AB27" s="179">
        <f>'07'!B160</f>
        <v>50</v>
      </c>
      <c r="AC27" s="179">
        <f>SUM('07'!D160:F160)</f>
        <v>0</v>
      </c>
      <c r="AD27" s="184">
        <f t="shared" si="8"/>
        <v>258.36</v>
      </c>
      <c r="AE27" s="27" t="s">
        <v>104</v>
      </c>
      <c r="AF27" s="179">
        <f>'08'!B160</f>
        <v>50</v>
      </c>
      <c r="AG27" s="179">
        <f>SUM('08'!D160:F160)</f>
        <v>90.83</v>
      </c>
      <c r="AH27" s="184">
        <f t="shared" si="9"/>
        <v>217.53000000000003</v>
      </c>
      <c r="AI27" s="27" t="s">
        <v>108</v>
      </c>
      <c r="AJ27" s="179">
        <f>'09'!B160</f>
        <v>50</v>
      </c>
      <c r="AK27" s="179">
        <f>SUM('09'!D160:F160)</f>
        <v>0</v>
      </c>
      <c r="AL27" s="184">
        <f t="shared" si="10"/>
        <v>267.53000000000003</v>
      </c>
      <c r="AM27" s="27" t="s">
        <v>109</v>
      </c>
      <c r="AN27" s="179">
        <f>'10'!B160</f>
        <v>50</v>
      </c>
      <c r="AO27" s="179">
        <f>SUM('10'!D160:F160)</f>
        <v>60.42</v>
      </c>
      <c r="AP27" s="184">
        <f t="shared" si="11"/>
        <v>257.11</v>
      </c>
      <c r="AQ27" s="27" t="s">
        <v>114</v>
      </c>
      <c r="AR27" s="179">
        <f>'11'!B160</f>
        <v>50</v>
      </c>
      <c r="AS27" s="179">
        <f>SUM('11'!D160:F160)</f>
        <v>16.330000000000002</v>
      </c>
      <c r="AT27" s="184">
        <f t="shared" si="12"/>
        <v>290.78000000000003</v>
      </c>
      <c r="AU27" s="27" t="s">
        <v>118</v>
      </c>
      <c r="AV27" s="179">
        <f>'12'!B160</f>
        <v>50</v>
      </c>
      <c r="AW27" s="179">
        <f>SUM('12'!D160:F160)</f>
        <v>66.830000000000013</v>
      </c>
      <c r="AX27" s="184">
        <f t="shared" si="13"/>
        <v>273.95000000000005</v>
      </c>
      <c r="AY27" s="44">
        <f t="shared" si="14"/>
        <v>481.44000000000005</v>
      </c>
      <c r="AZ27" s="40">
        <f t="shared" si="15"/>
        <v>9.4432903386140622E-3</v>
      </c>
      <c r="BA27" s="41">
        <f t="shared" si="18"/>
        <v>18</v>
      </c>
      <c r="BB27" s="41">
        <f t="shared" ca="1" si="16"/>
        <v>40.120000000000005</v>
      </c>
      <c r="BI27" s="175">
        <f t="shared" ca="1" si="19"/>
        <v>630</v>
      </c>
      <c r="BJ27" s="40">
        <f t="shared" ca="1" si="17"/>
        <v>1.122392841770402E-2</v>
      </c>
      <c r="BK27" s="41">
        <f t="shared" ca="1" si="20"/>
        <v>15</v>
      </c>
      <c r="BL27" s="41">
        <f t="shared" ca="1" si="21"/>
        <v>52.5</v>
      </c>
      <c r="BN27" s="230">
        <f t="shared" ca="1" si="22"/>
        <v>148.56000000000006</v>
      </c>
    </row>
    <row r="28" spans="1:66" ht="16.5" thickBot="1">
      <c r="A28" s="45" t="s">
        <v>21</v>
      </c>
      <c r="B28" s="205">
        <v>12.36</v>
      </c>
      <c r="C28" s="26" t="s">
        <v>0</v>
      </c>
      <c r="D28" s="182">
        <f>'01'!B180</f>
        <v>900</v>
      </c>
      <c r="E28" s="182">
        <f>SUM('01'!D180:F180)</f>
        <v>1057.42</v>
      </c>
      <c r="F28" s="185">
        <f t="shared" si="2"/>
        <v>-145.06000000000006</v>
      </c>
      <c r="G28" s="26" t="s">
        <v>1</v>
      </c>
      <c r="H28" s="182">
        <f>'02'!B180</f>
        <v>647.43000000000006</v>
      </c>
      <c r="I28" s="182">
        <f>SUM('02'!D180:F180)</f>
        <v>447.43</v>
      </c>
      <c r="J28" s="185">
        <f t="shared" si="3"/>
        <v>54.94</v>
      </c>
      <c r="K28" s="26" t="s">
        <v>2</v>
      </c>
      <c r="L28" s="182">
        <f>'03'!B180</f>
        <v>200</v>
      </c>
      <c r="M28" s="182">
        <f>SUM('03'!D180:F180)</f>
        <v>140</v>
      </c>
      <c r="N28" s="185">
        <f t="shared" si="4"/>
        <v>114.94</v>
      </c>
      <c r="O28" s="26" t="s">
        <v>3</v>
      </c>
      <c r="P28" s="182">
        <f>'04'!B180</f>
        <v>280.10000000000002</v>
      </c>
      <c r="Q28" s="182">
        <f>SUM('04'!D180:F180)</f>
        <v>182.6</v>
      </c>
      <c r="R28" s="185">
        <f t="shared" si="5"/>
        <v>212.44000000000003</v>
      </c>
      <c r="S28" s="26" t="s">
        <v>99</v>
      </c>
      <c r="T28" s="182">
        <f>'05'!B180</f>
        <v>200</v>
      </c>
      <c r="U28" s="182">
        <f>SUM('05'!D180:F180)</f>
        <v>0</v>
      </c>
      <c r="V28" s="185">
        <f t="shared" si="6"/>
        <v>412.44000000000005</v>
      </c>
      <c r="W28" s="26" t="s">
        <v>95</v>
      </c>
      <c r="X28" s="182">
        <f>'06'!B180</f>
        <v>200</v>
      </c>
      <c r="Y28" s="182">
        <f>SUM('06'!D180:F180)</f>
        <v>318.27999999999997</v>
      </c>
      <c r="Z28" s="185">
        <f t="shared" si="7"/>
        <v>294.16000000000008</v>
      </c>
      <c r="AA28" s="26" t="s">
        <v>103</v>
      </c>
      <c r="AB28" s="182">
        <f>'07'!B180</f>
        <v>200</v>
      </c>
      <c r="AC28" s="182">
        <f>SUM('07'!D180:F180)</f>
        <v>9.5</v>
      </c>
      <c r="AD28" s="185">
        <f t="shared" si="8"/>
        <v>484.66000000000008</v>
      </c>
      <c r="AE28" s="26" t="s">
        <v>104</v>
      </c>
      <c r="AF28" s="182">
        <f>'08'!B180</f>
        <v>200</v>
      </c>
      <c r="AG28" s="182">
        <f>SUM('08'!D180:F180)</f>
        <v>304.88</v>
      </c>
      <c r="AH28" s="185">
        <f t="shared" si="9"/>
        <v>379.78000000000009</v>
      </c>
      <c r="AI28" s="26" t="s">
        <v>108</v>
      </c>
      <c r="AJ28" s="182">
        <f>'09'!B180</f>
        <v>200</v>
      </c>
      <c r="AK28" s="182">
        <f>SUM('09'!D180:F180)</f>
        <v>1038.21</v>
      </c>
      <c r="AL28" s="185">
        <f t="shared" si="10"/>
        <v>-458.42999999999995</v>
      </c>
      <c r="AM28" s="26" t="s">
        <v>109</v>
      </c>
      <c r="AN28" s="182">
        <f>'10'!B180</f>
        <v>240</v>
      </c>
      <c r="AO28" s="182">
        <f>SUM('10'!D180:F180)</f>
        <v>0</v>
      </c>
      <c r="AP28" s="185">
        <f t="shared" si="11"/>
        <v>-218.42999999999995</v>
      </c>
      <c r="AQ28" s="26" t="s">
        <v>114</v>
      </c>
      <c r="AR28" s="182">
        <f>'11'!B180</f>
        <v>210</v>
      </c>
      <c r="AS28" s="182">
        <f>SUM('11'!D180:F180)</f>
        <v>0</v>
      </c>
      <c r="AT28" s="185">
        <f t="shared" si="12"/>
        <v>-8.42999999999995</v>
      </c>
      <c r="AU28" s="26" t="s">
        <v>118</v>
      </c>
      <c r="AV28" s="182">
        <f>'12'!B180</f>
        <v>518.28</v>
      </c>
      <c r="AW28" s="182">
        <f>SUM('12'!D180:F180)</f>
        <v>0</v>
      </c>
      <c r="AX28" s="185">
        <f t="shared" si="13"/>
        <v>509.85</v>
      </c>
      <c r="AY28" s="39">
        <f t="shared" ref="AY28:AY45" si="23">E28+I28+M28+Q28+U28+Y28+AC28+AG28+AK28+AO28+AS28+AW28</f>
        <v>3498.32</v>
      </c>
      <c r="AZ28" s="40">
        <f t="shared" si="15"/>
        <v>6.8618418613701271E-2</v>
      </c>
      <c r="BA28" s="41">
        <f t="shared" si="18"/>
        <v>5</v>
      </c>
      <c r="BB28" s="41">
        <f t="shared" ca="1" si="16"/>
        <v>291.5266666666667</v>
      </c>
      <c r="BI28" s="39">
        <f t="shared" ca="1" si="19"/>
        <v>3995.8100000000004</v>
      </c>
      <c r="BJ28" s="40">
        <f t="shared" ca="1" si="17"/>
        <v>7.1188389540866509E-2</v>
      </c>
      <c r="BK28" s="41">
        <f t="shared" ca="1" si="20"/>
        <v>6</v>
      </c>
      <c r="BL28" s="41">
        <f t="shared" ca="1" si="21"/>
        <v>332.98416666666668</v>
      </c>
      <c r="BN28" s="230">
        <f t="shared" ca="1" si="22"/>
        <v>497.49</v>
      </c>
    </row>
    <row r="29" spans="1:66" ht="16.5" thickBot="1">
      <c r="A29" s="43" t="s">
        <v>22</v>
      </c>
      <c r="B29" s="206">
        <v>216.28000000000003</v>
      </c>
      <c r="C29" s="27" t="s">
        <v>0</v>
      </c>
      <c r="D29" s="179">
        <f>'01'!B200</f>
        <v>50</v>
      </c>
      <c r="E29" s="180">
        <f>SUM('01'!D200:F200)</f>
        <v>218.53</v>
      </c>
      <c r="F29" s="186">
        <f t="shared" si="2"/>
        <v>47.750000000000028</v>
      </c>
      <c r="G29" s="27" t="s">
        <v>1</v>
      </c>
      <c r="H29" s="179">
        <f>'02'!B200</f>
        <v>50</v>
      </c>
      <c r="I29" s="180">
        <f>SUM('02'!D200:F200)</f>
        <v>58.319999999999993</v>
      </c>
      <c r="J29" s="186">
        <f t="shared" si="3"/>
        <v>39.430000000000035</v>
      </c>
      <c r="K29" s="27" t="s">
        <v>2</v>
      </c>
      <c r="L29" s="179">
        <f>'03'!B200</f>
        <v>50</v>
      </c>
      <c r="M29" s="180">
        <f>SUM('03'!D200:F200)</f>
        <v>144.17000000000002</v>
      </c>
      <c r="N29" s="186">
        <f t="shared" si="4"/>
        <v>-54.739999999999981</v>
      </c>
      <c r="O29" s="27" t="s">
        <v>3</v>
      </c>
      <c r="P29" s="179">
        <f>'04'!B200</f>
        <v>60</v>
      </c>
      <c r="Q29" s="180">
        <f>SUM('04'!D200:F200)</f>
        <v>86</v>
      </c>
      <c r="R29" s="186">
        <f t="shared" si="5"/>
        <v>-80.739999999999981</v>
      </c>
      <c r="S29" s="27" t="s">
        <v>99</v>
      </c>
      <c r="T29" s="179">
        <f>'05'!B200</f>
        <v>60</v>
      </c>
      <c r="U29" s="180">
        <f>SUM('05'!D200:F200)</f>
        <v>108.25</v>
      </c>
      <c r="V29" s="186">
        <f t="shared" si="6"/>
        <v>-128.98999999999998</v>
      </c>
      <c r="W29" s="27" t="s">
        <v>95</v>
      </c>
      <c r="X29" s="179">
        <f>'06'!B200</f>
        <v>60</v>
      </c>
      <c r="Y29" s="180">
        <f>SUM('06'!D200:F200)</f>
        <v>14.99</v>
      </c>
      <c r="Z29" s="186">
        <f t="shared" si="7"/>
        <v>-83.979999999999976</v>
      </c>
      <c r="AA29" s="27" t="s">
        <v>103</v>
      </c>
      <c r="AB29" s="179">
        <f>'07'!B200</f>
        <v>60</v>
      </c>
      <c r="AC29" s="180">
        <f>SUM('07'!D200:F200)</f>
        <v>120.06999999999998</v>
      </c>
      <c r="AD29" s="186">
        <f t="shared" si="8"/>
        <v>-144.04999999999995</v>
      </c>
      <c r="AE29" s="27" t="s">
        <v>104</v>
      </c>
      <c r="AF29" s="179">
        <f>'08'!B200</f>
        <v>214.05</v>
      </c>
      <c r="AG29" s="180">
        <f>SUM('08'!D200:F200)</f>
        <v>25</v>
      </c>
      <c r="AH29" s="186">
        <f t="shared" si="9"/>
        <v>45.000000000000057</v>
      </c>
      <c r="AI29" s="27" t="s">
        <v>108</v>
      </c>
      <c r="AJ29" s="179">
        <f>'09'!B200</f>
        <v>70</v>
      </c>
      <c r="AK29" s="180">
        <f>SUM('09'!D200:F200)</f>
        <v>53.8</v>
      </c>
      <c r="AL29" s="186">
        <f t="shared" si="10"/>
        <v>61.20000000000006</v>
      </c>
      <c r="AM29" s="27" t="s">
        <v>109</v>
      </c>
      <c r="AN29" s="179">
        <f>'10'!B200</f>
        <v>70</v>
      </c>
      <c r="AO29" s="180">
        <f>SUM('10'!D200:F200)</f>
        <v>91.49</v>
      </c>
      <c r="AP29" s="186">
        <f t="shared" si="11"/>
        <v>39.710000000000051</v>
      </c>
      <c r="AQ29" s="27" t="s">
        <v>114</v>
      </c>
      <c r="AR29" s="179">
        <f>'11'!B200</f>
        <v>70</v>
      </c>
      <c r="AS29" s="180">
        <f>SUM('11'!D200:F200)</f>
        <v>166.14</v>
      </c>
      <c r="AT29" s="186">
        <f t="shared" si="12"/>
        <v>-56.429999999999936</v>
      </c>
      <c r="AU29" s="27" t="s">
        <v>118</v>
      </c>
      <c r="AV29" s="179">
        <f>'12'!B200</f>
        <v>70</v>
      </c>
      <c r="AW29" s="180">
        <f>SUM('12'!D200:F200)</f>
        <v>32.989999999999995</v>
      </c>
      <c r="AX29" s="186">
        <f t="shared" si="13"/>
        <v>-19.419999999999931</v>
      </c>
      <c r="AY29" s="44">
        <f t="shared" si="23"/>
        <v>1119.7499999999998</v>
      </c>
      <c r="AZ29" s="40">
        <f t="shared" si="15"/>
        <v>2.1963535137635201E-2</v>
      </c>
      <c r="BA29" s="41">
        <f t="shared" si="18"/>
        <v>11</v>
      </c>
      <c r="BB29" s="41">
        <f t="shared" ca="1" si="16"/>
        <v>93.312499999999986</v>
      </c>
      <c r="BI29" s="175">
        <f t="shared" ca="1" si="19"/>
        <v>884.05</v>
      </c>
      <c r="BJ29" s="40">
        <f t="shared" ca="1" si="17"/>
        <v>1.5750022091541648E-2</v>
      </c>
      <c r="BK29" s="41">
        <f t="shared" ca="1" si="20"/>
        <v>12</v>
      </c>
      <c r="BL29" s="41">
        <f t="shared" ca="1" si="21"/>
        <v>73.670833333333334</v>
      </c>
      <c r="BN29" s="230">
        <f t="shared" ca="1" si="22"/>
        <v>-235.69999999999996</v>
      </c>
    </row>
    <row r="30" spans="1:66" ht="16.5" thickBot="1">
      <c r="A30" s="45" t="s">
        <v>23</v>
      </c>
      <c r="B30" s="207">
        <v>43.870000000000005</v>
      </c>
      <c r="C30" s="26" t="s">
        <v>0</v>
      </c>
      <c r="D30" s="182">
        <f>'01'!B220</f>
        <v>35</v>
      </c>
      <c r="E30" s="182">
        <f>SUM('01'!D220:F220)</f>
        <v>122.37</v>
      </c>
      <c r="F30" s="187">
        <f t="shared" si="2"/>
        <v>-43.5</v>
      </c>
      <c r="G30" s="26" t="s">
        <v>1</v>
      </c>
      <c r="H30" s="182">
        <f>'02'!B220</f>
        <v>35</v>
      </c>
      <c r="I30" s="182">
        <f>SUM('02'!D220:F220)</f>
        <v>0</v>
      </c>
      <c r="J30" s="187">
        <f t="shared" si="3"/>
        <v>-8.5</v>
      </c>
      <c r="K30" s="26" t="s">
        <v>2</v>
      </c>
      <c r="L30" s="182">
        <f>'03'!B220</f>
        <v>35</v>
      </c>
      <c r="M30" s="182">
        <f>SUM('03'!D220:F220)</f>
        <v>40</v>
      </c>
      <c r="N30" s="187">
        <f t="shared" si="4"/>
        <v>-13.5</v>
      </c>
      <c r="O30" s="26" t="s">
        <v>3</v>
      </c>
      <c r="P30" s="182">
        <f>'04'!B220</f>
        <v>35</v>
      </c>
      <c r="Q30" s="182">
        <f>SUM('04'!D220:F220)</f>
        <v>31.54</v>
      </c>
      <c r="R30" s="187">
        <f t="shared" si="5"/>
        <v>-10.039999999999999</v>
      </c>
      <c r="S30" s="26" t="s">
        <v>99</v>
      </c>
      <c r="T30" s="182">
        <f>'05'!B220</f>
        <v>35</v>
      </c>
      <c r="U30" s="182">
        <f>SUM('05'!D220:F220)</f>
        <v>0</v>
      </c>
      <c r="V30" s="187">
        <f t="shared" si="6"/>
        <v>24.96</v>
      </c>
      <c r="W30" s="26" t="s">
        <v>95</v>
      </c>
      <c r="X30" s="182">
        <f>'06'!B220</f>
        <v>35</v>
      </c>
      <c r="Y30" s="182">
        <f>SUM('06'!D220:F220)</f>
        <v>44.87</v>
      </c>
      <c r="Z30" s="187">
        <f t="shared" si="7"/>
        <v>15.090000000000003</v>
      </c>
      <c r="AA30" s="26" t="s">
        <v>103</v>
      </c>
      <c r="AB30" s="182">
        <f>'07'!B220</f>
        <v>35</v>
      </c>
      <c r="AC30" s="182">
        <f>SUM('07'!D220:F220)</f>
        <v>10.050000000000001</v>
      </c>
      <c r="AD30" s="187">
        <f t="shared" si="8"/>
        <v>40.040000000000006</v>
      </c>
      <c r="AE30" s="26" t="s">
        <v>104</v>
      </c>
      <c r="AF30" s="182">
        <f>'08'!B220</f>
        <v>35</v>
      </c>
      <c r="AG30" s="182">
        <f>SUM('08'!D220:F220)</f>
        <v>77.38</v>
      </c>
      <c r="AH30" s="187">
        <f t="shared" si="9"/>
        <v>-2.3399999999999892</v>
      </c>
      <c r="AI30" s="26" t="s">
        <v>108</v>
      </c>
      <c r="AJ30" s="182">
        <f>'09'!B220</f>
        <v>35</v>
      </c>
      <c r="AK30" s="182">
        <f>SUM('09'!D220:F220)</f>
        <v>0</v>
      </c>
      <c r="AL30" s="187">
        <f t="shared" si="10"/>
        <v>32.660000000000011</v>
      </c>
      <c r="AM30" s="26" t="s">
        <v>109</v>
      </c>
      <c r="AN30" s="182">
        <f>'10'!B220</f>
        <v>35</v>
      </c>
      <c r="AO30" s="182">
        <f>SUM('10'!D220:F220)</f>
        <v>25.35</v>
      </c>
      <c r="AP30" s="187">
        <f t="shared" si="11"/>
        <v>42.310000000000009</v>
      </c>
      <c r="AQ30" s="26" t="s">
        <v>114</v>
      </c>
      <c r="AR30" s="182">
        <f>'11'!B220</f>
        <v>35</v>
      </c>
      <c r="AS30" s="182">
        <f>SUM('11'!D220:F220)</f>
        <v>187.94000000000003</v>
      </c>
      <c r="AT30" s="187">
        <f t="shared" si="12"/>
        <v>-110.63000000000002</v>
      </c>
      <c r="AU30" s="26" t="s">
        <v>118</v>
      </c>
      <c r="AV30" s="182">
        <f>'12'!B220</f>
        <v>35</v>
      </c>
      <c r="AW30" s="182">
        <f>SUM('12'!D220:F220)</f>
        <v>0</v>
      </c>
      <c r="AX30" s="187">
        <f t="shared" si="13"/>
        <v>-75.630000000000024</v>
      </c>
      <c r="AY30" s="42">
        <f t="shared" si="23"/>
        <v>539.50000000000011</v>
      </c>
      <c r="AZ30" s="40">
        <f t="shared" si="15"/>
        <v>1.0582118514627547E-2</v>
      </c>
      <c r="BA30" s="41">
        <f t="shared" si="18"/>
        <v>17</v>
      </c>
      <c r="BB30" s="41">
        <f t="shared" ca="1" si="16"/>
        <v>44.958333333333343</v>
      </c>
      <c r="BI30" s="39">
        <f t="shared" ca="1" si="19"/>
        <v>420</v>
      </c>
      <c r="BJ30" s="40">
        <f t="shared" ca="1" si="17"/>
        <v>7.4826189451360136E-3</v>
      </c>
      <c r="BK30" s="41">
        <f t="shared" ca="1" si="20"/>
        <v>20</v>
      </c>
      <c r="BL30" s="41">
        <f t="shared" ca="1" si="21"/>
        <v>35</v>
      </c>
      <c r="BN30" s="230">
        <f t="shared" ca="1" si="22"/>
        <v>-119.50000000000003</v>
      </c>
    </row>
    <row r="31" spans="1:66" ht="16.5" thickBot="1">
      <c r="A31" s="43" t="s">
        <v>24</v>
      </c>
      <c r="B31" s="206">
        <v>132</v>
      </c>
      <c r="C31" s="27" t="s">
        <v>0</v>
      </c>
      <c r="D31" s="179">
        <f>'01'!B240</f>
        <v>70</v>
      </c>
      <c r="E31" s="180">
        <f>SUM('01'!D240:F240)</f>
        <v>140</v>
      </c>
      <c r="F31" s="186">
        <f t="shared" si="2"/>
        <v>62</v>
      </c>
      <c r="G31" s="27" t="s">
        <v>1</v>
      </c>
      <c r="H31" s="179">
        <f>'02'!B240</f>
        <v>70</v>
      </c>
      <c r="I31" s="180">
        <f>SUM('02'!D240:F240)</f>
        <v>20</v>
      </c>
      <c r="J31" s="186">
        <f t="shared" si="3"/>
        <v>112</v>
      </c>
      <c r="K31" s="27" t="s">
        <v>2</v>
      </c>
      <c r="L31" s="179">
        <f>'03'!B240</f>
        <v>85</v>
      </c>
      <c r="M31" s="180">
        <f>SUM('03'!D240:F240)</f>
        <v>200</v>
      </c>
      <c r="N31" s="186">
        <f t="shared" si="4"/>
        <v>-3</v>
      </c>
      <c r="O31" s="27" t="s">
        <v>3</v>
      </c>
      <c r="P31" s="179">
        <f>'04'!B240</f>
        <v>85</v>
      </c>
      <c r="Q31" s="180">
        <f>SUM('04'!D240:F240)</f>
        <v>20</v>
      </c>
      <c r="R31" s="186">
        <f t="shared" si="5"/>
        <v>62</v>
      </c>
      <c r="S31" s="27" t="s">
        <v>99</v>
      </c>
      <c r="T31" s="179">
        <f>'05'!B240</f>
        <v>85</v>
      </c>
      <c r="U31" s="180">
        <f>SUM('05'!D240:F240)</f>
        <v>20</v>
      </c>
      <c r="V31" s="186">
        <f t="shared" si="6"/>
        <v>127</v>
      </c>
      <c r="W31" s="27" t="s">
        <v>95</v>
      </c>
      <c r="X31" s="179">
        <f>'06'!B240</f>
        <v>90</v>
      </c>
      <c r="Y31" s="180">
        <f>SUM('06'!D240:F240)</f>
        <v>215</v>
      </c>
      <c r="Z31" s="186">
        <f t="shared" si="7"/>
        <v>2</v>
      </c>
      <c r="AA31" s="27" t="s">
        <v>103</v>
      </c>
      <c r="AB31" s="179">
        <f>'07'!B240</f>
        <v>90</v>
      </c>
      <c r="AC31" s="180">
        <f>SUM('07'!D240:F240)</f>
        <v>20</v>
      </c>
      <c r="AD31" s="186">
        <f t="shared" si="8"/>
        <v>72</v>
      </c>
      <c r="AE31" s="27" t="s">
        <v>104</v>
      </c>
      <c r="AF31" s="179">
        <f>'08'!B240</f>
        <v>25</v>
      </c>
      <c r="AG31" s="180">
        <f>SUM('08'!D240:F240)</f>
        <v>0</v>
      </c>
      <c r="AH31" s="186">
        <f t="shared" si="9"/>
        <v>97</v>
      </c>
      <c r="AI31" s="27" t="s">
        <v>108</v>
      </c>
      <c r="AJ31" s="179">
        <f>'09'!B240</f>
        <v>20</v>
      </c>
      <c r="AK31" s="180">
        <f>SUM('09'!D240:F240)</f>
        <v>40</v>
      </c>
      <c r="AL31" s="186">
        <f t="shared" si="10"/>
        <v>77</v>
      </c>
      <c r="AM31" s="27" t="s">
        <v>109</v>
      </c>
      <c r="AN31" s="179">
        <f>'10'!B240</f>
        <v>20</v>
      </c>
      <c r="AO31" s="180">
        <f>SUM('10'!D240:F240)</f>
        <v>19.989999999999998</v>
      </c>
      <c r="AP31" s="186">
        <f t="shared" si="11"/>
        <v>77.010000000000005</v>
      </c>
      <c r="AQ31" s="27" t="s">
        <v>114</v>
      </c>
      <c r="AR31" s="179">
        <f>'11'!B240</f>
        <v>20</v>
      </c>
      <c r="AS31" s="180">
        <f>SUM('11'!D240:F240)</f>
        <v>19.989999999999998</v>
      </c>
      <c r="AT31" s="186">
        <f t="shared" si="12"/>
        <v>77.02000000000001</v>
      </c>
      <c r="AU31" s="27" t="s">
        <v>118</v>
      </c>
      <c r="AV31" s="179">
        <f>'12'!B240</f>
        <v>20</v>
      </c>
      <c r="AW31" s="180">
        <f>SUM('12'!D240:F240)</f>
        <v>0</v>
      </c>
      <c r="AX31" s="186">
        <f t="shared" si="13"/>
        <v>97.02000000000001</v>
      </c>
      <c r="AY31" s="44">
        <f t="shared" si="23"/>
        <v>714.98</v>
      </c>
      <c r="AZ31" s="40">
        <f t="shared" si="15"/>
        <v>1.4024102123426141E-2</v>
      </c>
      <c r="BA31" s="41">
        <f t="shared" si="18"/>
        <v>13</v>
      </c>
      <c r="BB31" s="41">
        <f t="shared" ca="1" si="16"/>
        <v>59.581666666666671</v>
      </c>
      <c r="BI31" s="175">
        <f t="shared" ca="1" si="19"/>
        <v>680</v>
      </c>
      <c r="BJ31" s="40">
        <f t="shared" ca="1" si="17"/>
        <v>1.211471638736307E-2</v>
      </c>
      <c r="BK31" s="41">
        <f t="shared" ca="1" si="20"/>
        <v>14</v>
      </c>
      <c r="BL31" s="41">
        <f t="shared" ca="1" si="21"/>
        <v>56.666666666666664</v>
      </c>
      <c r="BN31" s="230">
        <f t="shared" ca="1" si="22"/>
        <v>-34.97999999999999</v>
      </c>
    </row>
    <row r="32" spans="1:66" ht="16.5" thickBot="1">
      <c r="A32" s="45" t="s">
        <v>204</v>
      </c>
      <c r="B32" s="207">
        <v>0</v>
      </c>
      <c r="C32" s="26" t="s">
        <v>0</v>
      </c>
      <c r="D32" s="182">
        <f>'01'!B260</f>
        <v>50</v>
      </c>
      <c r="E32" s="182">
        <f>SUM('01'!D260:F260)</f>
        <v>167.38</v>
      </c>
      <c r="F32" s="187">
        <f t="shared" si="2"/>
        <v>-117.38</v>
      </c>
      <c r="G32" s="26" t="s">
        <v>1</v>
      </c>
      <c r="H32" s="182">
        <f>'02'!B260</f>
        <v>50</v>
      </c>
      <c r="I32" s="182">
        <f>SUM('02'!D260:F260)</f>
        <v>65.16</v>
      </c>
      <c r="J32" s="187">
        <f t="shared" si="3"/>
        <v>-132.54</v>
      </c>
      <c r="K32" s="26" t="s">
        <v>2</v>
      </c>
      <c r="L32" s="182">
        <f>'03'!B260</f>
        <v>70</v>
      </c>
      <c r="M32" s="182">
        <f>SUM('03'!D260:F260)</f>
        <v>26.520000000000003</v>
      </c>
      <c r="N32" s="187">
        <f t="shared" si="4"/>
        <v>-89.06</v>
      </c>
      <c r="O32" s="26" t="s">
        <v>3</v>
      </c>
      <c r="P32" s="182">
        <f>'04'!B260</f>
        <v>70</v>
      </c>
      <c r="Q32" s="182">
        <f>SUM('04'!D260:F260)</f>
        <v>195.24</v>
      </c>
      <c r="R32" s="187">
        <f t="shared" si="5"/>
        <v>-214.3</v>
      </c>
      <c r="S32" s="26" t="s">
        <v>99</v>
      </c>
      <c r="T32" s="182">
        <f>'05'!B260</f>
        <v>80</v>
      </c>
      <c r="U32" s="182">
        <f>SUM('05'!D260:F260)</f>
        <v>87.43</v>
      </c>
      <c r="V32" s="187">
        <f t="shared" si="6"/>
        <v>-221.73000000000002</v>
      </c>
      <c r="W32" s="26" t="s">
        <v>95</v>
      </c>
      <c r="X32" s="182">
        <f>'06'!B260</f>
        <v>80</v>
      </c>
      <c r="Y32" s="182">
        <f>SUM('06'!D260:F260)</f>
        <v>2.38</v>
      </c>
      <c r="Z32" s="187">
        <f t="shared" si="7"/>
        <v>-144.11000000000001</v>
      </c>
      <c r="AA32" s="26" t="s">
        <v>103</v>
      </c>
      <c r="AB32" s="182">
        <f>'07'!B260</f>
        <v>80</v>
      </c>
      <c r="AC32" s="182">
        <f>SUM('07'!D260:F260)</f>
        <v>502.48</v>
      </c>
      <c r="AD32" s="187">
        <f t="shared" si="8"/>
        <v>-566.59</v>
      </c>
      <c r="AE32" s="26" t="s">
        <v>104</v>
      </c>
      <c r="AF32" s="182">
        <f>'08'!B260</f>
        <v>616.59</v>
      </c>
      <c r="AG32" s="182">
        <f>SUM('08'!D260:F260)</f>
        <v>35.629999999999995</v>
      </c>
      <c r="AH32" s="187">
        <f t="shared" si="9"/>
        <v>14.370000000000005</v>
      </c>
      <c r="AI32" s="26" t="s">
        <v>108</v>
      </c>
      <c r="AJ32" s="182">
        <f>'09'!B260</f>
        <v>50</v>
      </c>
      <c r="AK32" s="182">
        <f>SUM('09'!D260:F260)</f>
        <v>33.47</v>
      </c>
      <c r="AL32" s="187">
        <f t="shared" si="10"/>
        <v>30.900000000000006</v>
      </c>
      <c r="AM32" s="26" t="s">
        <v>109</v>
      </c>
      <c r="AN32" s="182">
        <f>'10'!B260</f>
        <v>50</v>
      </c>
      <c r="AO32" s="182">
        <f>SUM('10'!D260:F260)</f>
        <v>51.38</v>
      </c>
      <c r="AP32" s="187">
        <f t="shared" si="11"/>
        <v>29.520000000000003</v>
      </c>
      <c r="AQ32" s="26" t="s">
        <v>114</v>
      </c>
      <c r="AR32" s="182">
        <f>'11'!B260</f>
        <v>50</v>
      </c>
      <c r="AS32" s="182">
        <f>SUM('11'!D260:F260)</f>
        <v>148.76999999999998</v>
      </c>
      <c r="AT32" s="187">
        <f t="shared" si="12"/>
        <v>-69.249999999999972</v>
      </c>
      <c r="AU32" s="26" t="s">
        <v>118</v>
      </c>
      <c r="AV32" s="182">
        <f>'12'!B260</f>
        <v>55</v>
      </c>
      <c r="AW32" s="182">
        <f>SUM('12'!D260:F260)</f>
        <v>0</v>
      </c>
      <c r="AX32" s="187">
        <f t="shared" si="13"/>
        <v>-14.249999999999972</v>
      </c>
      <c r="AY32" s="42">
        <f t="shared" si="23"/>
        <v>1315.8400000000004</v>
      </c>
      <c r="AZ32" s="40">
        <f t="shared" si="15"/>
        <v>2.5809777249837837E-2</v>
      </c>
      <c r="BA32" s="41">
        <f t="shared" si="18"/>
        <v>10</v>
      </c>
      <c r="BB32" s="41">
        <f t="shared" ca="1" si="16"/>
        <v>109.65333333333336</v>
      </c>
      <c r="BI32" s="39">
        <f t="shared" ca="1" si="19"/>
        <v>1301.5900000000001</v>
      </c>
      <c r="BJ32" s="40">
        <f t="shared" ca="1" si="17"/>
        <v>2.3188814268570439E-2</v>
      </c>
      <c r="BK32" s="41">
        <f t="shared" ca="1" si="20"/>
        <v>11</v>
      </c>
      <c r="BL32" s="41">
        <f t="shared" ca="1" si="21"/>
        <v>108.46583333333335</v>
      </c>
      <c r="BN32" s="230">
        <f t="shared" ca="1" si="22"/>
        <v>-14.249999999999972</v>
      </c>
    </row>
    <row r="33" spans="1:66" ht="16.5" thickBot="1">
      <c r="A33" s="43" t="s">
        <v>122</v>
      </c>
      <c r="B33" s="206">
        <v>60</v>
      </c>
      <c r="C33" s="27" t="s">
        <v>0</v>
      </c>
      <c r="D33" s="179">
        <f>'01'!B280</f>
        <v>10</v>
      </c>
      <c r="E33" s="180">
        <f>SUM('01'!D280:F280)</f>
        <v>0</v>
      </c>
      <c r="F33" s="186">
        <f t="shared" si="2"/>
        <v>70</v>
      </c>
      <c r="G33" s="27" t="s">
        <v>1</v>
      </c>
      <c r="H33" s="179">
        <f>'02'!B280</f>
        <v>10</v>
      </c>
      <c r="I33" s="180">
        <f>SUM('02'!D280:F280)</f>
        <v>0</v>
      </c>
      <c r="J33" s="186">
        <f t="shared" si="3"/>
        <v>80</v>
      </c>
      <c r="K33" s="27" t="s">
        <v>2</v>
      </c>
      <c r="L33" s="179">
        <f>'03'!B280</f>
        <v>20</v>
      </c>
      <c r="M33" s="180">
        <f>SUM('03'!D280:F280)</f>
        <v>31.54</v>
      </c>
      <c r="N33" s="186">
        <f t="shared" si="4"/>
        <v>68.460000000000008</v>
      </c>
      <c r="O33" s="27" t="s">
        <v>3</v>
      </c>
      <c r="P33" s="179">
        <f>'04'!B280</f>
        <v>20</v>
      </c>
      <c r="Q33" s="180">
        <f>SUM('04'!D280:F280)</f>
        <v>0</v>
      </c>
      <c r="R33" s="186">
        <f t="shared" si="5"/>
        <v>88.460000000000008</v>
      </c>
      <c r="S33" s="27" t="s">
        <v>99</v>
      </c>
      <c r="T33" s="179">
        <f>'05'!B280</f>
        <v>11.54</v>
      </c>
      <c r="U33" s="180">
        <f>SUM('05'!D280:F280)</f>
        <v>0</v>
      </c>
      <c r="V33" s="186">
        <f t="shared" si="6"/>
        <v>100</v>
      </c>
      <c r="W33" s="27" t="s">
        <v>95</v>
      </c>
      <c r="X33" s="179">
        <f>'06'!B280</f>
        <v>10</v>
      </c>
      <c r="Y33" s="180">
        <f>SUM('06'!D280:F280)</f>
        <v>0</v>
      </c>
      <c r="Z33" s="186">
        <f t="shared" si="7"/>
        <v>110</v>
      </c>
      <c r="AA33" s="27" t="s">
        <v>103</v>
      </c>
      <c r="AB33" s="179">
        <f>'07'!B280</f>
        <v>10</v>
      </c>
      <c r="AC33" s="180">
        <f>SUM('07'!D280:F280)</f>
        <v>0</v>
      </c>
      <c r="AD33" s="186">
        <f t="shared" si="8"/>
        <v>120</v>
      </c>
      <c r="AE33" s="27" t="s">
        <v>104</v>
      </c>
      <c r="AF33" s="179">
        <f>'08'!B280</f>
        <v>50</v>
      </c>
      <c r="AG33" s="180">
        <f>SUM('08'!D280:F280)</f>
        <v>0</v>
      </c>
      <c r="AH33" s="186">
        <f t="shared" si="9"/>
        <v>170</v>
      </c>
      <c r="AI33" s="27" t="s">
        <v>108</v>
      </c>
      <c r="AJ33" s="179">
        <f>'09'!B280</f>
        <v>50</v>
      </c>
      <c r="AK33" s="180">
        <f>SUM('09'!D280:F280)</f>
        <v>0</v>
      </c>
      <c r="AL33" s="186">
        <f t="shared" si="10"/>
        <v>220</v>
      </c>
      <c r="AM33" s="27" t="s">
        <v>109</v>
      </c>
      <c r="AN33" s="179">
        <f>'10'!B280</f>
        <v>50</v>
      </c>
      <c r="AO33" s="180">
        <f>SUM('10'!D280:F280)</f>
        <v>0</v>
      </c>
      <c r="AP33" s="186">
        <f t="shared" si="11"/>
        <v>270</v>
      </c>
      <c r="AQ33" s="27" t="s">
        <v>114</v>
      </c>
      <c r="AR33" s="179">
        <f>'11'!B280</f>
        <v>50</v>
      </c>
      <c r="AS33" s="180">
        <f>SUM('11'!D280:F280)</f>
        <v>0</v>
      </c>
      <c r="AT33" s="186">
        <f t="shared" si="12"/>
        <v>320</v>
      </c>
      <c r="AU33" s="27" t="s">
        <v>118</v>
      </c>
      <c r="AV33" s="179">
        <f>'12'!B280</f>
        <v>50</v>
      </c>
      <c r="AW33" s="180">
        <f>SUM('12'!D280:F280)</f>
        <v>0</v>
      </c>
      <c r="AX33" s="186">
        <f t="shared" si="13"/>
        <v>370</v>
      </c>
      <c r="AY33" s="44">
        <f t="shared" si="23"/>
        <v>31.54</v>
      </c>
      <c r="AZ33" s="40">
        <f t="shared" si="15"/>
        <v>6.1864692854745652E-4</v>
      </c>
      <c r="BA33" s="41">
        <f t="shared" si="18"/>
        <v>22</v>
      </c>
      <c r="BB33" s="41">
        <f t="shared" ca="1" si="16"/>
        <v>2.6283333333333334</v>
      </c>
      <c r="BI33" s="175">
        <f t="shared" ca="1" si="19"/>
        <v>341.53999999999996</v>
      </c>
      <c r="BJ33" s="40">
        <f t="shared" ca="1" si="17"/>
        <v>6.084794463147033E-3</v>
      </c>
      <c r="BK33" s="41">
        <f t="shared" ca="1" si="20"/>
        <v>21</v>
      </c>
      <c r="BL33" s="41">
        <f t="shared" ca="1" si="21"/>
        <v>28.461666666666662</v>
      </c>
      <c r="BN33" s="230">
        <f t="shared" ca="1" si="22"/>
        <v>310</v>
      </c>
    </row>
    <row r="34" spans="1:66" ht="16.5" thickBot="1">
      <c r="A34" s="45" t="s">
        <v>25</v>
      </c>
      <c r="B34" s="207">
        <v>104.33000000000001</v>
      </c>
      <c r="C34" s="26" t="s">
        <v>0</v>
      </c>
      <c r="D34" s="182">
        <f>'01'!B300</f>
        <v>894</v>
      </c>
      <c r="E34" s="182">
        <f>SUM('01'!D300:F300)</f>
        <v>1063.25</v>
      </c>
      <c r="F34" s="187">
        <f t="shared" si="2"/>
        <v>-64.919999999999959</v>
      </c>
      <c r="G34" s="26" t="s">
        <v>1</v>
      </c>
      <c r="H34" s="182">
        <f>'02'!B300</f>
        <v>120</v>
      </c>
      <c r="I34" s="182">
        <f>SUM('02'!D300:F300)</f>
        <v>85</v>
      </c>
      <c r="J34" s="187">
        <f t="shared" si="3"/>
        <v>-29.919999999999959</v>
      </c>
      <c r="K34" s="26" t="s">
        <v>2</v>
      </c>
      <c r="L34" s="182">
        <f>'03'!B300</f>
        <v>120</v>
      </c>
      <c r="M34" s="182">
        <f>SUM('03'!D300:F300)</f>
        <v>75.09</v>
      </c>
      <c r="N34" s="187">
        <f t="shared" si="4"/>
        <v>14.990000000000038</v>
      </c>
      <c r="O34" s="26" t="s">
        <v>3</v>
      </c>
      <c r="P34" s="182">
        <f>'04'!B300</f>
        <v>374.6</v>
      </c>
      <c r="Q34" s="182">
        <f>SUM('04'!D300:F300)</f>
        <v>271.98</v>
      </c>
      <c r="R34" s="187">
        <f t="shared" si="5"/>
        <v>117.61000000000001</v>
      </c>
      <c r="S34" s="26" t="s">
        <v>99</v>
      </c>
      <c r="T34" s="182">
        <f>'05'!B300</f>
        <v>150</v>
      </c>
      <c r="U34" s="182">
        <f>SUM('05'!D300:F300)</f>
        <v>173.54000000000002</v>
      </c>
      <c r="V34" s="187">
        <f t="shared" si="6"/>
        <v>94.07</v>
      </c>
      <c r="W34" s="26" t="s">
        <v>95</v>
      </c>
      <c r="X34" s="182">
        <f>'06'!B300</f>
        <v>150</v>
      </c>
      <c r="Y34" s="182">
        <f>SUM('06'!D300:F300)</f>
        <v>155.10000000000002</v>
      </c>
      <c r="Z34" s="187">
        <f t="shared" si="7"/>
        <v>88.96999999999997</v>
      </c>
      <c r="AA34" s="26" t="s">
        <v>103</v>
      </c>
      <c r="AB34" s="182">
        <f>'07'!B300</f>
        <v>320</v>
      </c>
      <c r="AC34" s="182">
        <f>SUM('07'!D300:F300)</f>
        <v>75.539999999999992</v>
      </c>
      <c r="AD34" s="187">
        <f t="shared" si="8"/>
        <v>333.42999999999995</v>
      </c>
      <c r="AE34" s="26" t="s">
        <v>104</v>
      </c>
      <c r="AF34" s="182">
        <f>'08'!B300</f>
        <v>120</v>
      </c>
      <c r="AG34" s="182">
        <f>SUM('08'!D300:F300)</f>
        <v>4</v>
      </c>
      <c r="AH34" s="187">
        <f t="shared" si="9"/>
        <v>449.42999999999995</v>
      </c>
      <c r="AI34" s="26" t="s">
        <v>108</v>
      </c>
      <c r="AJ34" s="182">
        <f>'09'!B300</f>
        <v>499</v>
      </c>
      <c r="AK34" s="182">
        <f>SUM('09'!D300:F300)</f>
        <v>82.38</v>
      </c>
      <c r="AL34" s="187">
        <f t="shared" si="10"/>
        <v>866.05</v>
      </c>
      <c r="AM34" s="26" t="s">
        <v>109</v>
      </c>
      <c r="AN34" s="182">
        <f>'10'!B300</f>
        <v>60</v>
      </c>
      <c r="AO34" s="182">
        <f>SUM('10'!D300:F300)</f>
        <v>431.49</v>
      </c>
      <c r="AP34" s="187">
        <f t="shared" si="11"/>
        <v>494.55999999999995</v>
      </c>
      <c r="AQ34" s="26" t="s">
        <v>114</v>
      </c>
      <c r="AR34" s="182">
        <f>'11'!B300</f>
        <v>80</v>
      </c>
      <c r="AS34" s="182">
        <f>SUM('11'!D300:F300)</f>
        <v>197.2</v>
      </c>
      <c r="AT34" s="187">
        <f t="shared" si="12"/>
        <v>377.35999999999996</v>
      </c>
      <c r="AU34" s="26" t="s">
        <v>118</v>
      </c>
      <c r="AV34" s="182">
        <f>'12'!B300</f>
        <v>90</v>
      </c>
      <c r="AW34" s="182">
        <f>SUM('12'!D300:F300)</f>
        <v>109</v>
      </c>
      <c r="AX34" s="187">
        <f t="shared" si="13"/>
        <v>358.35999999999996</v>
      </c>
      <c r="AY34" s="42">
        <f>E34+I34+M34+Q34+U34+Y34+AC34+AG34+AK34+AO34+AS34+AW34+(E36+I36+M36)</f>
        <v>3411.8199999999997</v>
      </c>
      <c r="AZ34" s="40">
        <f t="shared" si="15"/>
        <v>6.6921749009409726E-2</v>
      </c>
      <c r="BA34" s="41">
        <f t="shared" si="18"/>
        <v>6</v>
      </c>
      <c r="BB34" s="41">
        <f t="shared" ca="1" si="16"/>
        <v>284.31833333333333</v>
      </c>
      <c r="BI34" s="39">
        <f t="shared" ca="1" si="19"/>
        <v>2977.6</v>
      </c>
      <c r="BJ34" s="40">
        <f t="shared" ca="1" si="17"/>
        <v>5.30482051691357E-2</v>
      </c>
      <c r="BK34" s="41">
        <f t="shared" ca="1" si="20"/>
        <v>7</v>
      </c>
      <c r="BL34" s="41">
        <f t="shared" ca="1" si="21"/>
        <v>248.13333333333333</v>
      </c>
      <c r="BN34" s="230">
        <f t="shared" ca="1" si="22"/>
        <v>254.02999999999994</v>
      </c>
    </row>
    <row r="35" spans="1:66" ht="16.5" thickBot="1">
      <c r="A35" s="50" t="s">
        <v>123</v>
      </c>
      <c r="B35" s="208">
        <v>2079.1000000000004</v>
      </c>
      <c r="C35" s="27" t="s">
        <v>0</v>
      </c>
      <c r="D35" s="179">
        <f>'01'!B320</f>
        <v>100</v>
      </c>
      <c r="E35" s="179">
        <f>SUM('01'!D320:F320)</f>
        <v>257.46000000000004</v>
      </c>
      <c r="F35" s="184">
        <f t="shared" si="2"/>
        <v>1921.6400000000003</v>
      </c>
      <c r="G35" s="27" t="s">
        <v>1</v>
      </c>
      <c r="H35" s="179">
        <f>'02'!B320</f>
        <v>100</v>
      </c>
      <c r="I35" s="179">
        <f>SUM('02'!D320:F320)</f>
        <v>220.79000000000002</v>
      </c>
      <c r="J35" s="184">
        <f t="shared" si="3"/>
        <v>1800.8500000000004</v>
      </c>
      <c r="K35" s="27" t="s">
        <v>2</v>
      </c>
      <c r="L35" s="179">
        <f>'03'!B320</f>
        <v>100</v>
      </c>
      <c r="M35" s="179">
        <f>SUM('03'!D320:F320)</f>
        <v>243.64999999999998</v>
      </c>
      <c r="N35" s="184">
        <f t="shared" si="4"/>
        <v>1657.2000000000003</v>
      </c>
      <c r="O35" s="27" t="s">
        <v>3</v>
      </c>
      <c r="P35" s="179">
        <f>'04'!B320</f>
        <v>100</v>
      </c>
      <c r="Q35" s="179">
        <f>SUM('04'!D320:F320)</f>
        <v>197.51999999999998</v>
      </c>
      <c r="R35" s="184">
        <f t="shared" si="5"/>
        <v>1559.6800000000003</v>
      </c>
      <c r="S35" s="27" t="s">
        <v>99</v>
      </c>
      <c r="T35" s="179">
        <f>'05'!B320</f>
        <v>100</v>
      </c>
      <c r="U35" s="179">
        <f>SUM('05'!D320:F320)</f>
        <v>134.93</v>
      </c>
      <c r="V35" s="184">
        <f t="shared" si="6"/>
        <v>1524.7500000000002</v>
      </c>
      <c r="W35" s="27" t="s">
        <v>95</v>
      </c>
      <c r="X35" s="179">
        <f>'06'!B320</f>
        <v>100</v>
      </c>
      <c r="Y35" s="179">
        <f>SUM('06'!D320:F320)</f>
        <v>164.22</v>
      </c>
      <c r="Z35" s="184">
        <f t="shared" si="7"/>
        <v>1460.5300000000002</v>
      </c>
      <c r="AA35" s="27" t="s">
        <v>103</v>
      </c>
      <c r="AB35" s="179">
        <f>'07'!B320</f>
        <v>100</v>
      </c>
      <c r="AC35" s="179">
        <f>SUM('07'!D320:F320)</f>
        <v>169.52999999999997</v>
      </c>
      <c r="AD35" s="184">
        <f t="shared" si="8"/>
        <v>1391.0000000000002</v>
      </c>
      <c r="AE35" s="27" t="s">
        <v>104</v>
      </c>
      <c r="AF35" s="179">
        <f>'08'!B320</f>
        <v>100</v>
      </c>
      <c r="AG35" s="179">
        <f>SUM('08'!D320:F320)</f>
        <v>125</v>
      </c>
      <c r="AH35" s="184">
        <f t="shared" si="9"/>
        <v>1366.0000000000002</v>
      </c>
      <c r="AI35" s="27" t="s">
        <v>108</v>
      </c>
      <c r="AJ35" s="179">
        <f>'09'!B320</f>
        <v>110</v>
      </c>
      <c r="AK35" s="179">
        <f>SUM('09'!D320:F320)</f>
        <v>73.61</v>
      </c>
      <c r="AL35" s="184">
        <f t="shared" si="10"/>
        <v>1402.3900000000003</v>
      </c>
      <c r="AM35" s="27" t="s">
        <v>109</v>
      </c>
      <c r="AN35" s="179">
        <f>'10'!B320</f>
        <v>110</v>
      </c>
      <c r="AO35" s="179">
        <f>SUM('10'!D320:F320)</f>
        <v>111.79</v>
      </c>
      <c r="AP35" s="184">
        <f t="shared" si="11"/>
        <v>1400.6000000000004</v>
      </c>
      <c r="AQ35" s="27" t="s">
        <v>114</v>
      </c>
      <c r="AR35" s="179">
        <f>'11'!B320</f>
        <v>187.70999999999998</v>
      </c>
      <c r="AS35" s="179">
        <f>SUM('11'!D320:F320)</f>
        <v>200.01</v>
      </c>
      <c r="AT35" s="184">
        <f t="shared" si="12"/>
        <v>1388.3000000000004</v>
      </c>
      <c r="AU35" s="27" t="s">
        <v>118</v>
      </c>
      <c r="AV35" s="179">
        <f>'12'!B320</f>
        <v>110</v>
      </c>
      <c r="AW35" s="179">
        <f>SUM('12'!D320:F320)</f>
        <v>8.6999999999999993</v>
      </c>
      <c r="AX35" s="184">
        <f t="shared" si="13"/>
        <v>1489.6000000000004</v>
      </c>
      <c r="AY35" s="44">
        <f t="shared" si="23"/>
        <v>1907.21</v>
      </c>
      <c r="AZ35" s="40">
        <f t="shared" si="15"/>
        <v>3.7409309086715109E-2</v>
      </c>
      <c r="BA35" s="41">
        <f t="shared" si="18"/>
        <v>8</v>
      </c>
      <c r="BB35" s="41">
        <f t="shared" ca="1" si="16"/>
        <v>158.93416666666667</v>
      </c>
      <c r="BI35" s="175">
        <f t="shared" ca="1" si="19"/>
        <v>1317.71</v>
      </c>
      <c r="BJ35" s="40">
        <f t="shared" ca="1" si="17"/>
        <v>2.3476004309988516E-2</v>
      </c>
      <c r="BK35" s="41">
        <f t="shared" ca="1" si="20"/>
        <v>10</v>
      </c>
      <c r="BL35" s="41">
        <f t="shared" ca="1" si="21"/>
        <v>109.80916666666667</v>
      </c>
      <c r="BN35" s="230">
        <f t="shared" ca="1" si="22"/>
        <v>-589.5</v>
      </c>
    </row>
    <row r="36" spans="1:66" ht="16.5" thickBot="1">
      <c r="A36" s="46" t="s">
        <v>387</v>
      </c>
      <c r="B36" s="205">
        <v>782.85</v>
      </c>
      <c r="C36" s="26" t="s">
        <v>0</v>
      </c>
      <c r="D36" s="188">
        <f>'01'!B340</f>
        <v>50</v>
      </c>
      <c r="E36" s="188">
        <f>SUM('01'!D340:F340)</f>
        <v>0</v>
      </c>
      <c r="F36" s="183">
        <f t="shared" si="2"/>
        <v>832.85</v>
      </c>
      <c r="G36" s="26" t="s">
        <v>1</v>
      </c>
      <c r="H36" s="188">
        <f>'02'!B340</f>
        <v>50</v>
      </c>
      <c r="I36" s="188">
        <f>SUM('02'!D340:F340)</f>
        <v>600</v>
      </c>
      <c r="J36" s="183">
        <f t="shared" si="3"/>
        <v>282.85000000000002</v>
      </c>
      <c r="K36" s="26" t="s">
        <v>2</v>
      </c>
      <c r="L36" s="188">
        <f>'03'!B340</f>
        <v>30</v>
      </c>
      <c r="M36" s="188">
        <f>SUM('03'!D340:F340)</f>
        <v>88.25</v>
      </c>
      <c r="N36" s="183">
        <f t="shared" si="4"/>
        <v>224.60000000000002</v>
      </c>
      <c r="O36" s="26" t="s">
        <v>3</v>
      </c>
      <c r="P36" s="188">
        <f>'04'!B340</f>
        <v>-224.6</v>
      </c>
      <c r="Q36" s="188">
        <f>SUM('04'!D340:F340)</f>
        <v>0</v>
      </c>
      <c r="R36" s="183">
        <f t="shared" si="5"/>
        <v>2.8421709430404007E-14</v>
      </c>
      <c r="S36" s="26" t="s">
        <v>99</v>
      </c>
      <c r="T36" s="188">
        <f>'05'!B340</f>
        <v>4</v>
      </c>
      <c r="U36" s="188">
        <f>SUM('05'!D340:F340)</f>
        <v>4</v>
      </c>
      <c r="V36" s="183">
        <f t="shared" si="6"/>
        <v>2.8421709430404007E-14</v>
      </c>
      <c r="W36" s="26" t="s">
        <v>95</v>
      </c>
      <c r="X36" s="188">
        <f>'06'!B340</f>
        <v>10</v>
      </c>
      <c r="Y36" s="188">
        <f>SUM('06'!D340:F340)</f>
        <v>89</v>
      </c>
      <c r="Z36" s="183">
        <f t="shared" si="7"/>
        <v>-78.999999999999972</v>
      </c>
      <c r="AA36" s="26" t="s">
        <v>103</v>
      </c>
      <c r="AB36" s="188">
        <f>'07'!B340</f>
        <v>10</v>
      </c>
      <c r="AC36" s="188">
        <f>SUM('07'!D340:F340)</f>
        <v>172.71</v>
      </c>
      <c r="AD36" s="183">
        <f t="shared" si="8"/>
        <v>-241.70999999999998</v>
      </c>
      <c r="AE36" s="26" t="s">
        <v>104</v>
      </c>
      <c r="AF36" s="188">
        <f>'08'!B340</f>
        <v>331.73</v>
      </c>
      <c r="AG36" s="188">
        <f>SUM('08'!D340:F340)</f>
        <v>4.3499999999999996</v>
      </c>
      <c r="AH36" s="183">
        <f t="shared" si="9"/>
        <v>85.670000000000044</v>
      </c>
      <c r="AI36" s="26" t="s">
        <v>108</v>
      </c>
      <c r="AJ36" s="188">
        <f>'09'!B340</f>
        <v>90</v>
      </c>
      <c r="AK36" s="188">
        <f>SUM('09'!D340:F340)</f>
        <v>356.95</v>
      </c>
      <c r="AL36" s="183">
        <f t="shared" si="10"/>
        <v>-181.27999999999994</v>
      </c>
      <c r="AM36" s="26" t="s">
        <v>109</v>
      </c>
      <c r="AN36" s="188">
        <f>'10'!B340</f>
        <v>90.06</v>
      </c>
      <c r="AO36" s="188">
        <f>SUM('10'!D340:F340)</f>
        <v>8.25</v>
      </c>
      <c r="AP36" s="183">
        <f t="shared" si="11"/>
        <v>-99.469999999999942</v>
      </c>
      <c r="AQ36" s="26" t="s">
        <v>114</v>
      </c>
      <c r="AR36" s="188">
        <f>'11'!B340</f>
        <v>90</v>
      </c>
      <c r="AS36" s="188">
        <f>SUM('11'!D340:F340)</f>
        <v>49</v>
      </c>
      <c r="AT36" s="183">
        <f t="shared" si="12"/>
        <v>-58.469999999999942</v>
      </c>
      <c r="AU36" s="26" t="s">
        <v>118</v>
      </c>
      <c r="AV36" s="188">
        <f>'12'!B340</f>
        <v>90</v>
      </c>
      <c r="AW36" s="188">
        <f>SUM('12'!D340:F340)</f>
        <v>0</v>
      </c>
      <c r="AX36" s="183">
        <f t="shared" si="13"/>
        <v>31.530000000000058</v>
      </c>
      <c r="AY36" s="39">
        <f>Q36+U36+Y36+AC36+AG36+AK36+AO36+AS36+AW36</f>
        <v>684.26</v>
      </c>
      <c r="AZ36" s="40">
        <f t="shared" si="15"/>
        <v>1.3421539230433818E-2</v>
      </c>
      <c r="BA36" s="41">
        <f t="shared" si="18"/>
        <v>14</v>
      </c>
      <c r="BB36" s="41">
        <f t="shared" ca="1" si="16"/>
        <v>57.021666666666668</v>
      </c>
      <c r="BI36" s="39">
        <f t="shared" ca="1" si="19"/>
        <v>621.19000000000005</v>
      </c>
      <c r="BJ36" s="40">
        <f t="shared" ca="1" si="17"/>
        <v>1.1066971577450097E-2</v>
      </c>
      <c r="BK36" s="41">
        <f t="shared" ca="1" si="20"/>
        <v>16</v>
      </c>
      <c r="BL36" s="41">
        <f t="shared" ca="1" si="21"/>
        <v>51.76583333333334</v>
      </c>
      <c r="BN36" s="230">
        <f t="shared" ca="1" si="22"/>
        <v>-751.31999999999994</v>
      </c>
    </row>
    <row r="37" spans="1:66" ht="16.5" thickBot="1">
      <c r="A37" s="43" t="s">
        <v>26</v>
      </c>
      <c r="B37" s="206">
        <v>458.51</v>
      </c>
      <c r="C37" s="27" t="s">
        <v>0</v>
      </c>
      <c r="D37" s="189">
        <f>'01'!B360</f>
        <v>30</v>
      </c>
      <c r="E37" s="189">
        <f>SUM('01'!D360:F360)</f>
        <v>416.13</v>
      </c>
      <c r="F37" s="181">
        <f t="shared" si="2"/>
        <v>72.38</v>
      </c>
      <c r="G37" s="27" t="s">
        <v>1</v>
      </c>
      <c r="H37" s="189">
        <f>'02'!B360</f>
        <v>30</v>
      </c>
      <c r="I37" s="189">
        <f>SUM('02'!D360:F360)</f>
        <v>0</v>
      </c>
      <c r="J37" s="181">
        <f t="shared" si="3"/>
        <v>102.38</v>
      </c>
      <c r="K37" s="27" t="s">
        <v>2</v>
      </c>
      <c r="L37" s="189">
        <f>'03'!B360</f>
        <v>30</v>
      </c>
      <c r="M37" s="189">
        <f>SUM('03'!D360:F360)</f>
        <v>0</v>
      </c>
      <c r="N37" s="181">
        <f t="shared" si="4"/>
        <v>132.38</v>
      </c>
      <c r="O37" s="27" t="s">
        <v>3</v>
      </c>
      <c r="P37" s="189">
        <f>'04'!B360</f>
        <v>30</v>
      </c>
      <c r="Q37" s="189">
        <f>SUM('04'!D360:F360)</f>
        <v>0</v>
      </c>
      <c r="R37" s="181">
        <f t="shared" si="5"/>
        <v>162.38</v>
      </c>
      <c r="S37" s="27" t="s">
        <v>99</v>
      </c>
      <c r="T37" s="189">
        <f>'05'!B360</f>
        <v>30</v>
      </c>
      <c r="U37" s="189">
        <f>SUM('05'!D360:F360)</f>
        <v>0</v>
      </c>
      <c r="V37" s="181">
        <f t="shared" si="6"/>
        <v>192.38</v>
      </c>
      <c r="W37" s="27" t="s">
        <v>95</v>
      </c>
      <c r="X37" s="189">
        <f>'06'!B360</f>
        <v>30</v>
      </c>
      <c r="Y37" s="189">
        <f>SUM('06'!D360:F360)</f>
        <v>0</v>
      </c>
      <c r="Z37" s="181">
        <f t="shared" si="7"/>
        <v>222.38</v>
      </c>
      <c r="AA37" s="27" t="s">
        <v>103</v>
      </c>
      <c r="AB37" s="189">
        <f>'07'!B360</f>
        <v>30</v>
      </c>
      <c r="AC37" s="189">
        <f>SUM('07'!D360:F360)</f>
        <v>86</v>
      </c>
      <c r="AD37" s="181">
        <f t="shared" si="8"/>
        <v>166.38</v>
      </c>
      <c r="AE37" s="27" t="s">
        <v>104</v>
      </c>
      <c r="AF37" s="189">
        <f>'08'!B360</f>
        <v>50</v>
      </c>
      <c r="AG37" s="189">
        <f>SUM('08'!D360:F360)</f>
        <v>0</v>
      </c>
      <c r="AH37" s="181">
        <f t="shared" si="9"/>
        <v>216.38</v>
      </c>
      <c r="AI37" s="27" t="s">
        <v>108</v>
      </c>
      <c r="AJ37" s="189">
        <f>'09'!B360</f>
        <v>60</v>
      </c>
      <c r="AK37" s="189">
        <f>SUM('09'!D360:F360)</f>
        <v>148</v>
      </c>
      <c r="AL37" s="181">
        <f t="shared" si="10"/>
        <v>128.38</v>
      </c>
      <c r="AM37" s="27" t="s">
        <v>109</v>
      </c>
      <c r="AN37" s="189">
        <f>'10'!B360</f>
        <v>60</v>
      </c>
      <c r="AO37" s="189">
        <f>SUM('10'!D360:F360)</f>
        <v>25</v>
      </c>
      <c r="AP37" s="181">
        <f t="shared" si="11"/>
        <v>163.38</v>
      </c>
      <c r="AQ37" s="27" t="s">
        <v>114</v>
      </c>
      <c r="AR37" s="189">
        <f>'11'!B360</f>
        <v>45</v>
      </c>
      <c r="AS37" s="189">
        <f>SUM('11'!D360:F360)</f>
        <v>0</v>
      </c>
      <c r="AT37" s="181">
        <f t="shared" si="12"/>
        <v>208.38</v>
      </c>
      <c r="AU37" s="27" t="s">
        <v>118</v>
      </c>
      <c r="AV37" s="189">
        <f>'12'!B360</f>
        <v>45</v>
      </c>
      <c r="AW37" s="189">
        <f>SUM('12'!D360:F360)</f>
        <v>0</v>
      </c>
      <c r="AX37" s="181">
        <f t="shared" si="13"/>
        <v>253.38</v>
      </c>
      <c r="AY37" s="44">
        <f t="shared" si="23"/>
        <v>675.13</v>
      </c>
      <c r="AZ37" s="40">
        <f t="shared" si="15"/>
        <v>1.3242457224801659E-2</v>
      </c>
      <c r="BA37" s="41">
        <f t="shared" si="18"/>
        <v>15</v>
      </c>
      <c r="BB37" s="41">
        <f t="shared" ca="1" si="16"/>
        <v>56.260833333333331</v>
      </c>
      <c r="BI37" s="175">
        <f t="shared" ca="1" si="19"/>
        <v>470</v>
      </c>
      <c r="BJ37" s="40">
        <f t="shared" ca="1" si="17"/>
        <v>8.3734069147950625E-3</v>
      </c>
      <c r="BK37" s="41">
        <f t="shared" ca="1" si="20"/>
        <v>19</v>
      </c>
      <c r="BL37" s="41">
        <f t="shared" ca="1" si="21"/>
        <v>39.166666666666664</v>
      </c>
      <c r="BN37" s="230">
        <f t="shared" ca="1" si="22"/>
        <v>-205.13</v>
      </c>
    </row>
    <row r="38" spans="1:66" ht="16.5" thickBot="1">
      <c r="A38" s="45" t="s">
        <v>27</v>
      </c>
      <c r="B38" s="207">
        <v>71.02000000000001</v>
      </c>
      <c r="C38" s="26" t="s">
        <v>0</v>
      </c>
      <c r="D38" s="190">
        <f>'01'!B380</f>
        <v>30</v>
      </c>
      <c r="E38" s="190">
        <f>SUM('01'!D380:F380)</f>
        <v>34.99</v>
      </c>
      <c r="F38" s="183">
        <f t="shared" si="2"/>
        <v>66.03</v>
      </c>
      <c r="G38" s="26" t="s">
        <v>1</v>
      </c>
      <c r="H38" s="190">
        <f>'02'!B380</f>
        <v>50</v>
      </c>
      <c r="I38" s="190">
        <f>SUM('02'!D380:F380)</f>
        <v>123.72</v>
      </c>
      <c r="J38" s="183">
        <f t="shared" si="3"/>
        <v>-7.6899999999999977</v>
      </c>
      <c r="K38" s="26" t="s">
        <v>2</v>
      </c>
      <c r="L38" s="190">
        <f>'03'!B380</f>
        <v>40</v>
      </c>
      <c r="M38" s="190">
        <f>SUM('03'!D380:F380)</f>
        <v>28.3</v>
      </c>
      <c r="N38" s="183">
        <f t="shared" si="4"/>
        <v>4.0100000000000016</v>
      </c>
      <c r="O38" s="26" t="s">
        <v>3</v>
      </c>
      <c r="P38" s="190">
        <f>'04'!B380</f>
        <v>40</v>
      </c>
      <c r="Q38" s="190">
        <f>SUM('04'!D380:F380)</f>
        <v>69.490000000000009</v>
      </c>
      <c r="R38" s="183">
        <f t="shared" si="5"/>
        <v>-25.480000000000004</v>
      </c>
      <c r="S38" s="26" t="s">
        <v>99</v>
      </c>
      <c r="T38" s="190">
        <f>'05'!B380</f>
        <v>50</v>
      </c>
      <c r="U38" s="190">
        <f>SUM('05'!D380:F380)</f>
        <v>76.52</v>
      </c>
      <c r="V38" s="183">
        <f t="shared" si="6"/>
        <v>-52</v>
      </c>
      <c r="W38" s="26" t="s">
        <v>95</v>
      </c>
      <c r="X38" s="190">
        <f>'06'!B380</f>
        <v>100</v>
      </c>
      <c r="Y38" s="190">
        <f>SUM('06'!D380:F380)</f>
        <v>87.449999999999989</v>
      </c>
      <c r="Z38" s="183">
        <f t="shared" si="7"/>
        <v>-39.449999999999989</v>
      </c>
      <c r="AA38" s="26" t="s">
        <v>103</v>
      </c>
      <c r="AB38" s="190">
        <f>'07'!B380</f>
        <v>103</v>
      </c>
      <c r="AC38" s="190">
        <f>SUM('07'!D380:F380)</f>
        <v>90.669999999999987</v>
      </c>
      <c r="AD38" s="183">
        <f t="shared" si="8"/>
        <v>-27.119999999999976</v>
      </c>
      <c r="AE38" s="26" t="s">
        <v>104</v>
      </c>
      <c r="AF38" s="190">
        <f>'08'!B380</f>
        <v>96.77</v>
      </c>
      <c r="AG38" s="190">
        <f>SUM('08'!D380:F380)</f>
        <v>139.63999999999999</v>
      </c>
      <c r="AH38" s="183">
        <f t="shared" si="9"/>
        <v>-69.989999999999966</v>
      </c>
      <c r="AI38" s="26" t="s">
        <v>108</v>
      </c>
      <c r="AJ38" s="190">
        <f>'09'!B380</f>
        <v>70</v>
      </c>
      <c r="AK38" s="190">
        <f>SUM('09'!D380:F380)</f>
        <v>60.82</v>
      </c>
      <c r="AL38" s="183">
        <f t="shared" si="10"/>
        <v>-60.809999999999967</v>
      </c>
      <c r="AM38" s="26" t="s">
        <v>109</v>
      </c>
      <c r="AN38" s="190">
        <f>'10'!B380</f>
        <v>70</v>
      </c>
      <c r="AO38" s="190">
        <f>SUM('10'!D380:F380)</f>
        <v>33.4</v>
      </c>
      <c r="AP38" s="183">
        <f t="shared" si="11"/>
        <v>-24.209999999999965</v>
      </c>
      <c r="AQ38" s="26" t="s">
        <v>114</v>
      </c>
      <c r="AR38" s="190">
        <f>'11'!B380</f>
        <v>70</v>
      </c>
      <c r="AS38" s="190">
        <f>SUM('11'!D380:F380)</f>
        <v>55.7</v>
      </c>
      <c r="AT38" s="183">
        <f t="shared" si="12"/>
        <v>-9.9099999999999682</v>
      </c>
      <c r="AU38" s="26" t="s">
        <v>118</v>
      </c>
      <c r="AV38" s="190">
        <f>'12'!B380</f>
        <v>70</v>
      </c>
      <c r="AW38" s="190">
        <f>SUM('12'!D380:F380)</f>
        <v>20.89</v>
      </c>
      <c r="AX38" s="183">
        <f t="shared" si="13"/>
        <v>39.200000000000031</v>
      </c>
      <c r="AY38" s="42">
        <f t="shared" si="23"/>
        <v>821.59</v>
      </c>
      <c r="AZ38" s="40">
        <f t="shared" si="15"/>
        <v>1.6115222892368573E-2</v>
      </c>
      <c r="BA38" s="41">
        <f t="shared" si="18"/>
        <v>12</v>
      </c>
      <c r="BB38" s="41">
        <f t="shared" ca="1" si="16"/>
        <v>68.465833333333336</v>
      </c>
      <c r="BI38" s="39">
        <f t="shared" ca="1" si="19"/>
        <v>789.77</v>
      </c>
      <c r="BJ38" s="40">
        <f t="shared" ca="1" si="17"/>
        <v>1.4070352295952545E-2</v>
      </c>
      <c r="BK38" s="41">
        <f t="shared" ca="1" si="20"/>
        <v>13</v>
      </c>
      <c r="BL38" s="41">
        <f t="shared" ca="1" si="21"/>
        <v>65.814166666666665</v>
      </c>
      <c r="BN38" s="230">
        <f t="shared" ca="1" si="22"/>
        <v>-31.819999999999979</v>
      </c>
    </row>
    <row r="39" spans="1:66" ht="16.5" thickBot="1">
      <c r="A39" s="43" t="s">
        <v>28</v>
      </c>
      <c r="B39" s="206">
        <v>1000</v>
      </c>
      <c r="C39" s="27" t="s">
        <v>0</v>
      </c>
      <c r="D39" s="189">
        <f>'01'!B400</f>
        <v>10</v>
      </c>
      <c r="E39" s="189">
        <f>SUM('01'!D400:F400)</f>
        <v>0</v>
      </c>
      <c r="F39" s="181">
        <f t="shared" si="2"/>
        <v>1010</v>
      </c>
      <c r="G39" s="27" t="s">
        <v>1</v>
      </c>
      <c r="H39" s="189">
        <f>'02'!B400</f>
        <v>10</v>
      </c>
      <c r="I39" s="189">
        <f>SUM('02'!D400:F400)</f>
        <v>0</v>
      </c>
      <c r="J39" s="181">
        <f t="shared" si="3"/>
        <v>1020</v>
      </c>
      <c r="K39" s="27" t="s">
        <v>2</v>
      </c>
      <c r="L39" s="189">
        <f>'03'!B400</f>
        <v>10</v>
      </c>
      <c r="M39" s="189">
        <f>SUM('03'!D400:F400)</f>
        <v>0</v>
      </c>
      <c r="N39" s="181">
        <f t="shared" si="4"/>
        <v>1030</v>
      </c>
      <c r="O39" s="27" t="s">
        <v>3</v>
      </c>
      <c r="P39" s="189">
        <f>'04'!B400</f>
        <v>10</v>
      </c>
      <c r="Q39" s="189">
        <f>SUM('04'!D400:F400)</f>
        <v>0</v>
      </c>
      <c r="R39" s="181">
        <f t="shared" si="5"/>
        <v>1040</v>
      </c>
      <c r="S39" s="27" t="s">
        <v>99</v>
      </c>
      <c r="T39" s="189">
        <f>'05'!B400</f>
        <v>10</v>
      </c>
      <c r="U39" s="189">
        <f>SUM('05'!D400:F400)</f>
        <v>0</v>
      </c>
      <c r="V39" s="181">
        <f t="shared" si="6"/>
        <v>1050</v>
      </c>
      <c r="W39" s="27" t="s">
        <v>95</v>
      </c>
      <c r="X39" s="189">
        <f>'06'!B400</f>
        <v>10</v>
      </c>
      <c r="Y39" s="189">
        <f>SUM('06'!D400:F400)</f>
        <v>0</v>
      </c>
      <c r="Z39" s="181">
        <f t="shared" si="7"/>
        <v>1060</v>
      </c>
      <c r="AA39" s="27" t="s">
        <v>103</v>
      </c>
      <c r="AB39" s="189">
        <f>'07'!B400</f>
        <v>10</v>
      </c>
      <c r="AC39" s="189">
        <f>SUM('07'!D400:F400)</f>
        <v>0</v>
      </c>
      <c r="AD39" s="181">
        <f t="shared" si="8"/>
        <v>1070</v>
      </c>
      <c r="AE39" s="27" t="s">
        <v>104</v>
      </c>
      <c r="AF39" s="189">
        <f>'08'!B400</f>
        <v>10</v>
      </c>
      <c r="AG39" s="189">
        <f>SUM('08'!D400:F400)</f>
        <v>0</v>
      </c>
      <c r="AH39" s="181">
        <f t="shared" si="9"/>
        <v>1080</v>
      </c>
      <c r="AI39" s="27" t="s">
        <v>108</v>
      </c>
      <c r="AJ39" s="189">
        <f>'09'!B400</f>
        <v>20</v>
      </c>
      <c r="AK39" s="189">
        <f>SUM('09'!D400:F400)</f>
        <v>0</v>
      </c>
      <c r="AL39" s="181">
        <f t="shared" si="10"/>
        <v>1100</v>
      </c>
      <c r="AM39" s="27" t="s">
        <v>109</v>
      </c>
      <c r="AN39" s="189">
        <f>'10'!B400</f>
        <v>20</v>
      </c>
      <c r="AO39" s="189">
        <f>SUM('10'!D400:F400)</f>
        <v>0</v>
      </c>
      <c r="AP39" s="181">
        <f t="shared" si="11"/>
        <v>1120</v>
      </c>
      <c r="AQ39" s="27" t="s">
        <v>114</v>
      </c>
      <c r="AR39" s="189">
        <f>'11'!B400</f>
        <v>20</v>
      </c>
      <c r="AS39" s="189">
        <f>SUM('11'!D400:F400)</f>
        <v>0</v>
      </c>
      <c r="AT39" s="181">
        <f t="shared" si="12"/>
        <v>1140</v>
      </c>
      <c r="AU39" s="27" t="s">
        <v>118</v>
      </c>
      <c r="AV39" s="189">
        <f>'12'!B400</f>
        <v>20</v>
      </c>
      <c r="AW39" s="189">
        <f>SUM('12'!D400:F400)</f>
        <v>0</v>
      </c>
      <c r="AX39" s="181">
        <f t="shared" si="13"/>
        <v>1160</v>
      </c>
      <c r="AY39" s="44">
        <f t="shared" si="23"/>
        <v>0</v>
      </c>
      <c r="AZ39" s="40">
        <f t="shared" si="15"/>
        <v>0</v>
      </c>
      <c r="BA39" s="41">
        <f t="shared" si="18"/>
        <v>23</v>
      </c>
      <c r="BB39" s="41">
        <f t="shared" ca="1" si="16"/>
        <v>0</v>
      </c>
      <c r="BI39" s="175">
        <f t="shared" ca="1" si="19"/>
        <v>160</v>
      </c>
      <c r="BJ39" s="40">
        <f t="shared" ca="1" si="17"/>
        <v>2.8505215029089575E-3</v>
      </c>
      <c r="BK39" s="41">
        <f t="shared" ca="1" si="20"/>
        <v>22</v>
      </c>
      <c r="BL39" s="41">
        <f t="shared" ca="1" si="21"/>
        <v>13.333333333333334</v>
      </c>
      <c r="BN39" s="230">
        <f t="shared" ca="1" si="22"/>
        <v>160</v>
      </c>
    </row>
    <row r="40" spans="1:66" ht="16.5" thickBot="1">
      <c r="A40" s="45" t="s">
        <v>65</v>
      </c>
      <c r="B40" s="207">
        <v>3403.7200000000003</v>
      </c>
      <c r="C40" s="26" t="s">
        <v>0</v>
      </c>
      <c r="D40" s="190">
        <f>'01'!B420</f>
        <v>2487.4700000000003</v>
      </c>
      <c r="E40" s="190">
        <f>SUM('01'!D420:F420)</f>
        <v>42.88</v>
      </c>
      <c r="F40" s="183">
        <f t="shared" si="2"/>
        <v>5848.31</v>
      </c>
      <c r="G40" s="26" t="s">
        <v>1</v>
      </c>
      <c r="H40" s="190">
        <f>'02'!B420</f>
        <v>-5092.08</v>
      </c>
      <c r="I40" s="190">
        <f>SUM('02'!D420:F420)</f>
        <v>56.01</v>
      </c>
      <c r="J40" s="183">
        <f t="shared" si="3"/>
        <v>700.22000000000048</v>
      </c>
      <c r="K40" s="26" t="s">
        <v>2</v>
      </c>
      <c r="L40" s="190">
        <f>'03'!B420</f>
        <v>0</v>
      </c>
      <c r="M40" s="190">
        <f>SUM('03'!D420:F420)</f>
        <v>0</v>
      </c>
      <c r="N40" s="183">
        <f>J40+L40-M40</f>
        <v>700.22000000000048</v>
      </c>
      <c r="O40" s="26" t="s">
        <v>3</v>
      </c>
      <c r="P40" s="190">
        <f>'04'!B420</f>
        <v>0.03</v>
      </c>
      <c r="Q40" s="190">
        <f>SUM('04'!D420:F420)</f>
        <v>20</v>
      </c>
      <c r="R40" s="183">
        <f t="shared" si="5"/>
        <v>680.25000000000045</v>
      </c>
      <c r="S40" s="26" t="s">
        <v>99</v>
      </c>
      <c r="T40" s="190">
        <f>'05'!B420</f>
        <v>38.64</v>
      </c>
      <c r="U40" s="190">
        <f>SUM('05'!D420:F420)</f>
        <v>0</v>
      </c>
      <c r="V40" s="183">
        <f t="shared" si="6"/>
        <v>718.89000000000044</v>
      </c>
      <c r="W40" s="26" t="s">
        <v>95</v>
      </c>
      <c r="X40" s="190">
        <f>'06'!B420</f>
        <v>0</v>
      </c>
      <c r="Y40" s="190">
        <f>SUM('06'!D420:F420)</f>
        <v>0</v>
      </c>
      <c r="Z40" s="183">
        <f t="shared" si="7"/>
        <v>718.89000000000044</v>
      </c>
      <c r="AA40" s="26" t="s">
        <v>103</v>
      </c>
      <c r="AB40" s="190">
        <f>'07'!B420</f>
        <v>0</v>
      </c>
      <c r="AC40" s="190">
        <f>SUM('07'!D420:F420)</f>
        <v>0</v>
      </c>
      <c r="AD40" s="183">
        <f t="shared" si="8"/>
        <v>718.89000000000044</v>
      </c>
      <c r="AE40" s="26" t="s">
        <v>104</v>
      </c>
      <c r="AF40" s="190">
        <f>'08'!B420</f>
        <v>0</v>
      </c>
      <c r="AG40" s="190">
        <f>SUM('08'!D420:F420)</f>
        <v>0</v>
      </c>
      <c r="AH40" s="183">
        <f t="shared" si="9"/>
        <v>718.89000000000044</v>
      </c>
      <c r="AI40" s="26" t="s">
        <v>108</v>
      </c>
      <c r="AJ40" s="190">
        <f>'09'!B420</f>
        <v>0</v>
      </c>
      <c r="AK40" s="190">
        <f>SUM('09'!D420:F420)</f>
        <v>0</v>
      </c>
      <c r="AL40" s="183">
        <f t="shared" si="10"/>
        <v>718.89000000000044</v>
      </c>
      <c r="AM40" s="26" t="s">
        <v>109</v>
      </c>
      <c r="AN40" s="190">
        <f>'10'!B420</f>
        <v>10</v>
      </c>
      <c r="AO40" s="190">
        <f>SUM('10'!D420:F420)</f>
        <v>20</v>
      </c>
      <c r="AP40" s="183">
        <f t="shared" si="11"/>
        <v>708.89000000000044</v>
      </c>
      <c r="AQ40" s="26" t="s">
        <v>114</v>
      </c>
      <c r="AR40" s="190">
        <f>'11'!B420</f>
        <v>55.62</v>
      </c>
      <c r="AS40" s="190">
        <f>SUM('11'!D420:F420)</f>
        <v>0</v>
      </c>
      <c r="AT40" s="183">
        <f t="shared" si="12"/>
        <v>764.51000000000045</v>
      </c>
      <c r="AU40" s="26" t="s">
        <v>118</v>
      </c>
      <c r="AV40" s="190">
        <f>'12'!B420</f>
        <v>20</v>
      </c>
      <c r="AW40" s="190">
        <f>SUM('12'!D420:F420)</f>
        <v>0</v>
      </c>
      <c r="AX40" s="183">
        <f t="shared" si="13"/>
        <v>784.51000000000045</v>
      </c>
      <c r="AY40" s="42">
        <f t="shared" si="23"/>
        <v>138.88999999999999</v>
      </c>
      <c r="AZ40" s="40">
        <f t="shared" si="15"/>
        <v>2.7242825588445221E-3</v>
      </c>
      <c r="BA40" s="41">
        <f t="shared" si="18"/>
        <v>19</v>
      </c>
      <c r="BB40" s="41">
        <f t="shared" ca="1" si="16"/>
        <v>11.574166666666665</v>
      </c>
      <c r="BI40" s="39">
        <f t="shared" ca="1" si="19"/>
        <v>-2480.3199999999997</v>
      </c>
      <c r="BJ40" s="40">
        <f t="shared" ca="1" si="17"/>
        <v>-4.4188784338094651E-2</v>
      </c>
      <c r="BK40" s="41">
        <f t="shared" ca="1" si="20"/>
        <v>26</v>
      </c>
      <c r="BL40" s="41">
        <f t="shared" ca="1" si="21"/>
        <v>-206.6933333333333</v>
      </c>
      <c r="BN40" s="230">
        <f t="shared" ca="1" si="22"/>
        <v>-2619.21</v>
      </c>
    </row>
    <row r="41" spans="1:66" ht="16.5" thickBot="1">
      <c r="A41" s="43" t="s">
        <v>29</v>
      </c>
      <c r="B41" s="206">
        <v>5305.51</v>
      </c>
      <c r="C41" s="27" t="s">
        <v>0</v>
      </c>
      <c r="D41" s="189">
        <f>'01'!B440</f>
        <v>-636.14</v>
      </c>
      <c r="E41" s="189">
        <f>SUM('01'!D440:F440)</f>
        <v>0</v>
      </c>
      <c r="F41" s="181">
        <f t="shared" si="2"/>
        <v>4669.37</v>
      </c>
      <c r="G41" s="27" t="s">
        <v>1</v>
      </c>
      <c r="H41" s="189">
        <f>'02'!B440</f>
        <v>1117.3900000000001</v>
      </c>
      <c r="I41" s="189">
        <f>SUM('02'!D440:F440)</f>
        <v>0</v>
      </c>
      <c r="J41" s="181">
        <f t="shared" si="3"/>
        <v>5786.76</v>
      </c>
      <c r="K41" s="27" t="s">
        <v>2</v>
      </c>
      <c r="L41" s="189">
        <f>'03'!B440</f>
        <v>-59.16</v>
      </c>
      <c r="M41" s="189">
        <f>SUM('03'!D440:F440)</f>
        <v>0</v>
      </c>
      <c r="N41" s="181">
        <f t="shared" si="4"/>
        <v>5727.6</v>
      </c>
      <c r="O41" s="27" t="s">
        <v>3</v>
      </c>
      <c r="P41" s="189">
        <f>'04'!B440</f>
        <v>2565.52</v>
      </c>
      <c r="Q41" s="189">
        <f>SUM('04'!D440:F440)</f>
        <v>0</v>
      </c>
      <c r="R41" s="181">
        <f t="shared" si="5"/>
        <v>8293.1200000000008</v>
      </c>
      <c r="S41" s="27" t="s">
        <v>99</v>
      </c>
      <c r="T41" s="189">
        <f>'05'!B440</f>
        <v>-250.52</v>
      </c>
      <c r="U41" s="189">
        <f>SUM('05'!D440:F440)</f>
        <v>0</v>
      </c>
      <c r="V41" s="181">
        <f t="shared" si="6"/>
        <v>8042.6</v>
      </c>
      <c r="W41" s="27" t="s">
        <v>95</v>
      </c>
      <c r="X41" s="189">
        <f>'06'!B440</f>
        <v>1436.9700000000003</v>
      </c>
      <c r="Y41" s="189">
        <f>SUM('06'!D440:F440)</f>
        <v>0</v>
      </c>
      <c r="Z41" s="181">
        <f t="shared" si="7"/>
        <v>9479.57</v>
      </c>
      <c r="AA41" s="27" t="s">
        <v>103</v>
      </c>
      <c r="AB41" s="189">
        <f>'07'!B440</f>
        <v>-190.40000000000055</v>
      </c>
      <c r="AC41" s="189">
        <f>SUM('07'!D440:F440)</f>
        <v>0</v>
      </c>
      <c r="AD41" s="181">
        <f t="shared" si="8"/>
        <v>9289.1699999999983</v>
      </c>
      <c r="AE41" s="27" t="s">
        <v>104</v>
      </c>
      <c r="AF41" s="189">
        <f>'08'!B440</f>
        <v>-1589.8899999999999</v>
      </c>
      <c r="AG41" s="189">
        <f>SUM('08'!D440:F440)</f>
        <v>0</v>
      </c>
      <c r="AH41" s="181">
        <f t="shared" si="9"/>
        <v>7699.2799999999988</v>
      </c>
      <c r="AI41" s="27" t="s">
        <v>108</v>
      </c>
      <c r="AJ41" s="189">
        <f>'09'!B440</f>
        <v>-318.40999999999985</v>
      </c>
      <c r="AK41" s="189">
        <f>SUM('09'!D440:F440)</f>
        <v>0</v>
      </c>
      <c r="AL41" s="181">
        <f t="shared" si="10"/>
        <v>7380.869999999999</v>
      </c>
      <c r="AM41" s="27" t="s">
        <v>109</v>
      </c>
      <c r="AN41" s="189">
        <f>'10'!B440</f>
        <v>-172.79999999999927</v>
      </c>
      <c r="AO41" s="189">
        <f>SUM('10'!D440:F440)</f>
        <v>0</v>
      </c>
      <c r="AP41" s="181">
        <f t="shared" si="11"/>
        <v>7208.07</v>
      </c>
      <c r="AQ41" s="27" t="s">
        <v>114</v>
      </c>
      <c r="AR41" s="189">
        <f>'11'!B440</f>
        <v>17.6899999999996</v>
      </c>
      <c r="AS41" s="189">
        <f>SUM('11'!D440:F440)</f>
        <v>0</v>
      </c>
      <c r="AT41" s="181">
        <f t="shared" si="12"/>
        <v>7225.7599999999993</v>
      </c>
      <c r="AU41" s="27" t="s">
        <v>118</v>
      </c>
      <c r="AV41" s="189">
        <f>'12'!B440</f>
        <v>-2669.5400000000004</v>
      </c>
      <c r="AW41" s="189">
        <f>SUM('12'!D440:F440)</f>
        <v>0</v>
      </c>
      <c r="AX41" s="181">
        <f t="shared" si="13"/>
        <v>4556.2199999999993</v>
      </c>
      <c r="AY41" s="44">
        <f t="shared" si="23"/>
        <v>0</v>
      </c>
      <c r="AZ41" s="40">
        <f t="shared" si="15"/>
        <v>0</v>
      </c>
      <c r="BA41" s="41">
        <f t="shared" si="18"/>
        <v>23</v>
      </c>
      <c r="BB41" s="41">
        <f t="shared" ca="1" si="16"/>
        <v>0</v>
      </c>
      <c r="BI41" s="175">
        <f t="shared" ca="1" si="19"/>
        <v>-749.29</v>
      </c>
      <c r="BJ41" s="40">
        <f t="shared" ca="1" si="17"/>
        <v>-1.3349170355716578E-2</v>
      </c>
      <c r="BK41" s="41">
        <f t="shared" ca="1" si="20"/>
        <v>25</v>
      </c>
      <c r="BL41" s="41">
        <f t="shared" ca="1" si="21"/>
        <v>-62.44083333333333</v>
      </c>
      <c r="BN41" s="230">
        <f t="shared" ca="1" si="22"/>
        <v>-749.29000000000087</v>
      </c>
    </row>
    <row r="42" spans="1:66" ht="16.5" thickBot="1">
      <c r="A42" s="45" t="s">
        <v>263</v>
      </c>
      <c r="B42" s="207">
        <v>0</v>
      </c>
      <c r="C42" s="26" t="s">
        <v>0</v>
      </c>
      <c r="D42" s="190">
        <f>'01'!B460</f>
        <v>1800.04</v>
      </c>
      <c r="E42" s="190">
        <f>SUM('01'!D460:F460)</f>
        <v>0</v>
      </c>
      <c r="F42" s="183">
        <f t="shared" si="2"/>
        <v>1800.04</v>
      </c>
      <c r="G42" s="26" t="s">
        <v>1</v>
      </c>
      <c r="H42" s="190">
        <f>'02'!B460</f>
        <v>5092.08</v>
      </c>
      <c r="I42" s="190">
        <f>SUM('02'!D460:F460)</f>
        <v>0</v>
      </c>
      <c r="J42" s="183">
        <f t="shared" si="3"/>
        <v>6892.12</v>
      </c>
      <c r="K42" s="26" t="s">
        <v>2</v>
      </c>
      <c r="L42" s="190">
        <f>'03'!B460</f>
        <v>0</v>
      </c>
      <c r="M42" s="190">
        <f>SUM('03'!D460:F460)</f>
        <v>0</v>
      </c>
      <c r="N42" s="183">
        <f t="shared" si="4"/>
        <v>6892.12</v>
      </c>
      <c r="O42" s="26" t="s">
        <v>3</v>
      </c>
      <c r="P42" s="190">
        <f>'04'!B460</f>
        <v>0</v>
      </c>
      <c r="Q42" s="190">
        <f>SUM('04'!D460:F460)</f>
        <v>0</v>
      </c>
      <c r="R42" s="183">
        <f t="shared" si="5"/>
        <v>6892.12</v>
      </c>
      <c r="S42" s="26" t="s">
        <v>99</v>
      </c>
      <c r="T42" s="190">
        <f>'05'!B460</f>
        <v>0</v>
      </c>
      <c r="U42" s="190">
        <f>SUM('05'!D460:F460)</f>
        <v>0</v>
      </c>
      <c r="V42" s="183">
        <f t="shared" si="6"/>
        <v>6892.12</v>
      </c>
      <c r="W42" s="26" t="s">
        <v>95</v>
      </c>
      <c r="X42" s="190">
        <f>'06'!B460</f>
        <v>0</v>
      </c>
      <c r="Y42" s="190">
        <f>SUM('06'!D460:F460)</f>
        <v>0</v>
      </c>
      <c r="Z42" s="183">
        <f t="shared" si="7"/>
        <v>6892.12</v>
      </c>
      <c r="AA42" s="26" t="s">
        <v>103</v>
      </c>
      <c r="AB42" s="190">
        <f>'07'!B460</f>
        <v>0</v>
      </c>
      <c r="AC42" s="190">
        <f>SUM('07'!D460:F460)</f>
        <v>0</v>
      </c>
      <c r="AD42" s="183">
        <f t="shared" si="8"/>
        <v>6892.12</v>
      </c>
      <c r="AE42" s="26" t="s">
        <v>104</v>
      </c>
      <c r="AF42" s="190">
        <f>'08'!B460</f>
        <v>0</v>
      </c>
      <c r="AG42" s="190">
        <f>SUM('08'!D460:F460)</f>
        <v>0</v>
      </c>
      <c r="AH42" s="183">
        <f t="shared" si="9"/>
        <v>6892.12</v>
      </c>
      <c r="AI42" s="26" t="s">
        <v>108</v>
      </c>
      <c r="AJ42" s="190">
        <f>'09'!B460</f>
        <v>0</v>
      </c>
      <c r="AK42" s="190">
        <f>SUM('09'!D460:F460)</f>
        <v>0</v>
      </c>
      <c r="AL42" s="183">
        <f t="shared" si="10"/>
        <v>6892.12</v>
      </c>
      <c r="AM42" s="26" t="s">
        <v>109</v>
      </c>
      <c r="AN42" s="190">
        <f>'10'!B460</f>
        <v>0</v>
      </c>
      <c r="AO42" s="190">
        <f>SUM('10'!D460:F460)</f>
        <v>0</v>
      </c>
      <c r="AP42" s="183">
        <f t="shared" si="11"/>
        <v>6892.12</v>
      </c>
      <c r="AQ42" s="26" t="s">
        <v>114</v>
      </c>
      <c r="AR42" s="190">
        <f>'11'!B460</f>
        <v>0</v>
      </c>
      <c r="AS42" s="190">
        <f>SUM('11'!D460:F460)</f>
        <v>0</v>
      </c>
      <c r="AT42" s="183">
        <f t="shared" si="12"/>
        <v>6892.12</v>
      </c>
      <c r="AU42" s="26" t="s">
        <v>118</v>
      </c>
      <c r="AV42" s="190">
        <f>'12'!B460</f>
        <v>0</v>
      </c>
      <c r="AW42" s="190">
        <f>SUM('12'!D460:F460)</f>
        <v>0</v>
      </c>
      <c r="AX42" s="183">
        <f t="shared" si="13"/>
        <v>6892.12</v>
      </c>
      <c r="AY42" s="42">
        <f t="shared" si="23"/>
        <v>0</v>
      </c>
      <c r="AZ42" s="40">
        <f t="shared" si="15"/>
        <v>0</v>
      </c>
      <c r="BA42" s="41">
        <f t="shared" si="18"/>
        <v>23</v>
      </c>
      <c r="BB42" s="41">
        <f t="shared" ca="1" si="16"/>
        <v>0</v>
      </c>
      <c r="BI42" s="39">
        <f t="shared" ca="1" si="19"/>
        <v>6892.12</v>
      </c>
      <c r="BJ42" s="40">
        <f t="shared" ca="1" si="17"/>
        <v>0.12278835162893052</v>
      </c>
      <c r="BK42" s="41">
        <f t="shared" ca="1" si="20"/>
        <v>3</v>
      </c>
      <c r="BL42" s="41">
        <f t="shared" ca="1" si="21"/>
        <v>574.34333333333336</v>
      </c>
      <c r="BN42" s="230">
        <f t="shared" ca="1" si="22"/>
        <v>6892.12</v>
      </c>
    </row>
    <row r="43" spans="1:66" ht="16.5" thickBot="1">
      <c r="A43" s="50" t="s">
        <v>466</v>
      </c>
      <c r="B43" s="208">
        <v>0</v>
      </c>
      <c r="C43" s="27" t="s">
        <v>0</v>
      </c>
      <c r="D43" s="179">
        <f>'01'!B480</f>
        <v>0</v>
      </c>
      <c r="E43" s="179">
        <f>SUM('01'!D480:F480)</f>
        <v>0</v>
      </c>
      <c r="F43" s="181">
        <f t="shared" si="2"/>
        <v>0</v>
      </c>
      <c r="G43" s="27" t="s">
        <v>1</v>
      </c>
      <c r="H43" s="179">
        <f>'02'!B480</f>
        <v>0</v>
      </c>
      <c r="I43" s="179">
        <f>SUM('02'!D480:F480)</f>
        <v>0</v>
      </c>
      <c r="J43" s="181">
        <f t="shared" si="3"/>
        <v>0</v>
      </c>
      <c r="K43" s="27" t="s">
        <v>2</v>
      </c>
      <c r="L43" s="179">
        <f>'03'!B480</f>
        <v>0</v>
      </c>
      <c r="M43" s="179">
        <f>SUM('03'!D480:F480)</f>
        <v>0</v>
      </c>
      <c r="N43" s="181">
        <f t="shared" si="4"/>
        <v>0</v>
      </c>
      <c r="O43" s="27" t="s">
        <v>3</v>
      </c>
      <c r="P43" s="179">
        <f>'04'!B480</f>
        <v>0</v>
      </c>
      <c r="Q43" s="179">
        <f>SUM('04'!D480:F480)</f>
        <v>0</v>
      </c>
      <c r="R43" s="181">
        <f t="shared" si="5"/>
        <v>0</v>
      </c>
      <c r="S43" s="27" t="s">
        <v>99</v>
      </c>
      <c r="T43" s="179">
        <f>'05'!B480</f>
        <v>0</v>
      </c>
      <c r="U43" s="179">
        <f>SUM('05'!D480:F480)</f>
        <v>0</v>
      </c>
      <c r="V43" s="181">
        <f t="shared" si="6"/>
        <v>0</v>
      </c>
      <c r="W43" s="27" t="s">
        <v>95</v>
      </c>
      <c r="X43" s="179">
        <f>'06'!B480</f>
        <v>0</v>
      </c>
      <c r="Y43" s="179">
        <f>SUM('06'!D480:F480)</f>
        <v>0</v>
      </c>
      <c r="Z43" s="181">
        <f t="shared" si="7"/>
        <v>0</v>
      </c>
      <c r="AA43" s="27" t="s">
        <v>103</v>
      </c>
      <c r="AB43" s="179">
        <f>'07'!B480</f>
        <v>0</v>
      </c>
      <c r="AC43" s="179">
        <f>SUM('07'!D480:F480)</f>
        <v>0</v>
      </c>
      <c r="AD43" s="181">
        <f t="shared" si="8"/>
        <v>0</v>
      </c>
      <c r="AE43" s="27" t="s">
        <v>104</v>
      </c>
      <c r="AF43" s="179">
        <f>'08'!B480</f>
        <v>315</v>
      </c>
      <c r="AG43" s="179">
        <f>SUM('08'!D480:F480)</f>
        <v>0</v>
      </c>
      <c r="AH43" s="181">
        <f t="shared" si="9"/>
        <v>315</v>
      </c>
      <c r="AI43" s="27" t="s">
        <v>108</v>
      </c>
      <c r="AJ43" s="179">
        <f>'09'!B480</f>
        <v>56</v>
      </c>
      <c r="AK43" s="179">
        <f>SUM('09'!D480:F480)</f>
        <v>100</v>
      </c>
      <c r="AL43" s="181">
        <f t="shared" si="10"/>
        <v>271</v>
      </c>
      <c r="AM43" s="27" t="s">
        <v>109</v>
      </c>
      <c r="AN43" s="179">
        <f>'10'!B480</f>
        <v>45</v>
      </c>
      <c r="AO43" s="179">
        <f>SUM('10'!D480:F480)</f>
        <v>0</v>
      </c>
      <c r="AP43" s="181">
        <f t="shared" si="11"/>
        <v>316</v>
      </c>
      <c r="AQ43" s="27" t="s">
        <v>114</v>
      </c>
      <c r="AR43" s="179">
        <f>'11'!B480</f>
        <v>50</v>
      </c>
      <c r="AS43" s="179">
        <f>SUM('11'!D480:F480)</f>
        <v>0</v>
      </c>
      <c r="AT43" s="181">
        <f t="shared" si="12"/>
        <v>366</v>
      </c>
      <c r="AU43" s="27" t="s">
        <v>118</v>
      </c>
      <c r="AV43" s="179">
        <f>'12'!B480</f>
        <v>50</v>
      </c>
      <c r="AW43" s="179">
        <f>SUM('12'!D480:F480)</f>
        <v>0</v>
      </c>
      <c r="AX43" s="181">
        <f t="shared" si="13"/>
        <v>416</v>
      </c>
      <c r="AY43" s="44">
        <f t="shared" si="23"/>
        <v>100</v>
      </c>
      <c r="AZ43" s="40">
        <f t="shared" si="15"/>
        <v>1.9614677506260511E-3</v>
      </c>
      <c r="BA43" s="41">
        <f t="shared" si="18"/>
        <v>20</v>
      </c>
      <c r="BB43" s="41">
        <f t="shared" ca="1" si="16"/>
        <v>8.3333333333333339</v>
      </c>
      <c r="BI43" s="175">
        <f t="shared" ca="1" si="19"/>
        <v>516</v>
      </c>
      <c r="BJ43" s="40">
        <f t="shared" ca="1" si="17"/>
        <v>9.1929318468813876E-3</v>
      </c>
      <c r="BK43" s="41">
        <f t="shared" ca="1" si="20"/>
        <v>18</v>
      </c>
      <c r="BL43" s="41">
        <f t="shared" ca="1" si="21"/>
        <v>43</v>
      </c>
      <c r="BN43" s="230">
        <f t="shared" ca="1" si="22"/>
        <v>416</v>
      </c>
    </row>
    <row r="44" spans="1:66" ht="16.5" thickBot="1">
      <c r="A44" s="75" t="s">
        <v>31</v>
      </c>
      <c r="B44" s="209">
        <v>0</v>
      </c>
      <c r="C44" s="26" t="s">
        <v>0</v>
      </c>
      <c r="D44" s="191">
        <f>'01'!B500</f>
        <v>0</v>
      </c>
      <c r="E44" s="191">
        <f>SUM('01'!D500:F500)</f>
        <v>0</v>
      </c>
      <c r="F44" s="192">
        <f t="shared" si="2"/>
        <v>0</v>
      </c>
      <c r="G44" s="26" t="s">
        <v>1</v>
      </c>
      <c r="H44" s="191">
        <f>'02'!B500</f>
        <v>0</v>
      </c>
      <c r="I44" s="191">
        <f>SUM('02'!D500:F500)</f>
        <v>0</v>
      </c>
      <c r="J44" s="192">
        <f t="shared" si="3"/>
        <v>0</v>
      </c>
      <c r="K44" s="26" t="s">
        <v>2</v>
      </c>
      <c r="L44" s="191">
        <f>'03'!B500</f>
        <v>0</v>
      </c>
      <c r="M44" s="191">
        <f>SUM('03'!D500:F500)</f>
        <v>0</v>
      </c>
      <c r="N44" s="192">
        <f t="shared" si="4"/>
        <v>0</v>
      </c>
      <c r="O44" s="26" t="s">
        <v>3</v>
      </c>
      <c r="P44" s="191">
        <f>'04'!B500</f>
        <v>0</v>
      </c>
      <c r="Q44" s="191">
        <f>SUM('04'!D500:F500)</f>
        <v>0</v>
      </c>
      <c r="R44" s="192">
        <f t="shared" si="5"/>
        <v>0</v>
      </c>
      <c r="S44" s="26" t="s">
        <v>99</v>
      </c>
      <c r="T44" s="191">
        <f>'05'!B500</f>
        <v>0</v>
      </c>
      <c r="U44" s="191">
        <f>SUM('05'!D500:F500)</f>
        <v>0</v>
      </c>
      <c r="V44" s="192">
        <f t="shared" si="6"/>
        <v>0</v>
      </c>
      <c r="W44" s="26" t="s">
        <v>95</v>
      </c>
      <c r="X44" s="191">
        <f>'06'!B500</f>
        <v>0</v>
      </c>
      <c r="Y44" s="191">
        <f>SUM('06'!D500:F500)</f>
        <v>0</v>
      </c>
      <c r="Z44" s="192">
        <f t="shared" si="7"/>
        <v>0</v>
      </c>
      <c r="AA44" s="26" t="s">
        <v>103</v>
      </c>
      <c r="AB44" s="191">
        <f>'07'!B500</f>
        <v>0</v>
      </c>
      <c r="AC44" s="191">
        <f>SUM('07'!D500:F500)</f>
        <v>0</v>
      </c>
      <c r="AD44" s="192">
        <f t="shared" si="8"/>
        <v>0</v>
      </c>
      <c r="AE44" s="26" t="s">
        <v>104</v>
      </c>
      <c r="AF44" s="191">
        <f>'08'!B500</f>
        <v>0</v>
      </c>
      <c r="AG44" s="191">
        <f>SUM('08'!D500:F500)</f>
        <v>0</v>
      </c>
      <c r="AH44" s="192">
        <f t="shared" si="9"/>
        <v>0</v>
      </c>
      <c r="AI44" s="26" t="s">
        <v>108</v>
      </c>
      <c r="AJ44" s="191">
        <f>'09'!B500</f>
        <v>0</v>
      </c>
      <c r="AK44" s="191">
        <f>SUM('09'!D500:F500)</f>
        <v>0</v>
      </c>
      <c r="AL44" s="192">
        <f t="shared" si="10"/>
        <v>0</v>
      </c>
      <c r="AM44" s="26" t="s">
        <v>109</v>
      </c>
      <c r="AN44" s="191">
        <f>'10'!B500</f>
        <v>0</v>
      </c>
      <c r="AO44" s="191">
        <f>SUM('10'!D500:F500)</f>
        <v>0</v>
      </c>
      <c r="AP44" s="192">
        <f t="shared" si="11"/>
        <v>0</v>
      </c>
      <c r="AQ44" s="26" t="s">
        <v>114</v>
      </c>
      <c r="AR44" s="191">
        <f>'11'!B500</f>
        <v>0</v>
      </c>
      <c r="AS44" s="191">
        <f>SUM('11'!D500:F500)</f>
        <v>0</v>
      </c>
      <c r="AT44" s="192">
        <f t="shared" si="12"/>
        <v>0</v>
      </c>
      <c r="AU44" s="26" t="s">
        <v>118</v>
      </c>
      <c r="AV44" s="191">
        <f>'12'!B500</f>
        <v>0</v>
      </c>
      <c r="AW44" s="191">
        <f>SUM('12'!D500:F500)</f>
        <v>0</v>
      </c>
      <c r="AX44" s="192">
        <f t="shared" si="13"/>
        <v>0</v>
      </c>
      <c r="AY44" s="42">
        <f t="shared" si="23"/>
        <v>0</v>
      </c>
      <c r="AZ44" s="40">
        <f t="shared" si="15"/>
        <v>0</v>
      </c>
      <c r="BA44" s="41">
        <f t="shared" si="18"/>
        <v>23</v>
      </c>
      <c r="BB44" s="41">
        <f t="shared" ca="1" si="16"/>
        <v>0</v>
      </c>
      <c r="BI44" s="39">
        <f t="shared" ca="1" si="19"/>
        <v>0</v>
      </c>
      <c r="BJ44" s="40">
        <f t="shared" ca="1" si="17"/>
        <v>0</v>
      </c>
      <c r="BK44" s="41">
        <f t="shared" ca="1" si="20"/>
        <v>24</v>
      </c>
      <c r="BL44" s="41">
        <f t="shared" ca="1" si="21"/>
        <v>0</v>
      </c>
      <c r="BN44" s="230">
        <f t="shared" ca="1" si="22"/>
        <v>0</v>
      </c>
    </row>
    <row r="45" spans="1:66" ht="16.5" thickBot="1">
      <c r="A45" s="76" t="s">
        <v>30</v>
      </c>
      <c r="B45" s="210">
        <v>68.220000000000027</v>
      </c>
      <c r="C45" s="77" t="s">
        <v>0</v>
      </c>
      <c r="D45" s="193">
        <f>'01'!B520</f>
        <v>10</v>
      </c>
      <c r="E45" s="194">
        <f>SUM('01'!D520:F520)</f>
        <v>0</v>
      </c>
      <c r="F45" s="195">
        <f t="shared" si="2"/>
        <v>78.220000000000027</v>
      </c>
      <c r="G45" s="77" t="s">
        <v>1</v>
      </c>
      <c r="H45" s="193">
        <f>'02'!B520</f>
        <v>10</v>
      </c>
      <c r="I45" s="194">
        <f>SUM('02'!D520:F520)</f>
        <v>0</v>
      </c>
      <c r="J45" s="195">
        <f t="shared" si="3"/>
        <v>88.220000000000027</v>
      </c>
      <c r="K45" s="77" t="s">
        <v>2</v>
      </c>
      <c r="L45" s="193">
        <f>'03'!B520</f>
        <v>10</v>
      </c>
      <c r="M45" s="194">
        <f>SUM('03'!D520:F520)</f>
        <v>3.5</v>
      </c>
      <c r="N45" s="195">
        <f t="shared" si="4"/>
        <v>94.720000000000027</v>
      </c>
      <c r="O45" s="77" t="s">
        <v>3</v>
      </c>
      <c r="P45" s="193">
        <f>'04'!B520</f>
        <v>10</v>
      </c>
      <c r="Q45" s="194">
        <f>SUM('04'!D520:F520)</f>
        <v>0</v>
      </c>
      <c r="R45" s="195">
        <f t="shared" si="5"/>
        <v>104.72000000000003</v>
      </c>
      <c r="S45" s="77" t="s">
        <v>99</v>
      </c>
      <c r="T45" s="193">
        <f>'05'!B520</f>
        <v>0</v>
      </c>
      <c r="U45" s="194">
        <f>SUM('05'!D520:F520)</f>
        <v>0</v>
      </c>
      <c r="V45" s="195">
        <f t="shared" si="6"/>
        <v>104.72000000000003</v>
      </c>
      <c r="W45" s="77" t="s">
        <v>95</v>
      </c>
      <c r="X45" s="193">
        <f>'06'!B520</f>
        <v>0</v>
      </c>
      <c r="Y45" s="194">
        <f>SUM('06'!D520:F520)</f>
        <v>0</v>
      </c>
      <c r="Z45" s="195">
        <f t="shared" si="7"/>
        <v>104.72000000000003</v>
      </c>
      <c r="AA45" s="77" t="s">
        <v>103</v>
      </c>
      <c r="AB45" s="193">
        <f>'07'!B520</f>
        <v>0</v>
      </c>
      <c r="AC45" s="194">
        <f>SUM('07'!D520:F520)</f>
        <v>67.8</v>
      </c>
      <c r="AD45" s="195">
        <f t="shared" si="8"/>
        <v>36.92000000000003</v>
      </c>
      <c r="AE45" s="77" t="s">
        <v>104</v>
      </c>
      <c r="AF45" s="193">
        <f>'08'!B520</f>
        <v>10</v>
      </c>
      <c r="AG45" s="194">
        <f>SUM('08'!D520:F520)</f>
        <v>0</v>
      </c>
      <c r="AH45" s="195">
        <f t="shared" si="9"/>
        <v>46.92000000000003</v>
      </c>
      <c r="AI45" s="77" t="s">
        <v>108</v>
      </c>
      <c r="AJ45" s="193">
        <f>'09'!B520</f>
        <v>49</v>
      </c>
      <c r="AK45" s="194">
        <f>SUM('09'!D520:F520)</f>
        <v>0</v>
      </c>
      <c r="AL45" s="195">
        <f t="shared" si="10"/>
        <v>95.92000000000003</v>
      </c>
      <c r="AM45" s="77" t="s">
        <v>109</v>
      </c>
      <c r="AN45" s="193">
        <f>'10'!B520</f>
        <v>0</v>
      </c>
      <c r="AO45" s="194">
        <f>SUM('10'!D520:F520)</f>
        <v>0</v>
      </c>
      <c r="AP45" s="195">
        <f t="shared" si="11"/>
        <v>95.92000000000003</v>
      </c>
      <c r="AQ45" s="77" t="s">
        <v>114</v>
      </c>
      <c r="AR45" s="193">
        <f>'11'!B520</f>
        <v>0</v>
      </c>
      <c r="AS45" s="194">
        <f>SUM('11'!D520:F520)</f>
        <v>0</v>
      </c>
      <c r="AT45" s="195">
        <f t="shared" si="12"/>
        <v>95.92000000000003</v>
      </c>
      <c r="AU45" s="77" t="s">
        <v>118</v>
      </c>
      <c r="AV45" s="193">
        <f>'12'!B520</f>
        <v>0</v>
      </c>
      <c r="AW45" s="194">
        <f>SUM('12'!D520:F520)</f>
        <v>0</v>
      </c>
      <c r="AX45" s="195">
        <f t="shared" si="13"/>
        <v>95.92000000000003</v>
      </c>
      <c r="AY45" s="78">
        <f t="shared" si="23"/>
        <v>71.3</v>
      </c>
      <c r="AZ45" s="40">
        <f t="shared" si="15"/>
        <v>1.3985265061963743E-3</v>
      </c>
      <c r="BA45" s="41">
        <f t="shared" si="18"/>
        <v>21</v>
      </c>
      <c r="BB45" s="41">
        <f t="shared" ca="1" si="16"/>
        <v>5.9416666666666664</v>
      </c>
      <c r="BI45" s="175">
        <f t="shared" ca="1" si="19"/>
        <v>99</v>
      </c>
      <c r="BJ45" s="40">
        <f t="shared" ca="1" si="17"/>
        <v>1.7637601799249175E-3</v>
      </c>
      <c r="BK45" s="41">
        <f t="shared" ca="1" si="20"/>
        <v>23</v>
      </c>
      <c r="BL45" s="41">
        <f t="shared" ca="1" si="21"/>
        <v>8.25</v>
      </c>
      <c r="BN45" s="230">
        <f t="shared" ca="1" si="22"/>
        <v>27.700000000000003</v>
      </c>
    </row>
    <row r="46" spans="1:66" ht="17.25" thickTop="1" thickBot="1">
      <c r="A46" s="80" t="s">
        <v>5</v>
      </c>
      <c r="B46" s="211">
        <f>SUM(B20:B45)</f>
        <v>17336.68</v>
      </c>
      <c r="C46" s="81"/>
      <c r="D46" s="196">
        <f>SUM(D20:D45)</f>
        <v>9364.27</v>
      </c>
      <c r="E46" s="196">
        <f>SUM(E20:E45)</f>
        <v>6483.9500000000007</v>
      </c>
      <c r="F46" s="197">
        <f>SUM(F20:F45)</f>
        <v>20217</v>
      </c>
      <c r="G46" s="81"/>
      <c r="H46" s="196">
        <f>SUM(H20:H45)</f>
        <v>5516.34</v>
      </c>
      <c r="I46" s="196">
        <f>SUM(I20:I45)</f>
        <v>4518.7700000000013</v>
      </c>
      <c r="J46" s="197">
        <f>SUM(J20:J45)</f>
        <v>21214.570000000003</v>
      </c>
      <c r="K46" s="81"/>
      <c r="L46" s="196">
        <f>SUM(L20:L45)</f>
        <v>3826.44</v>
      </c>
      <c r="M46" s="196">
        <f>SUM(M20:M45)</f>
        <v>4321.1000000000004</v>
      </c>
      <c r="N46" s="197">
        <f>SUM(N20:N45)</f>
        <v>20719.91</v>
      </c>
      <c r="O46" s="81"/>
      <c r="P46" s="196">
        <f>SUM(P20:P45)</f>
        <v>6525.65</v>
      </c>
      <c r="Q46" s="196">
        <f>SUM(Q20:Q45)</f>
        <v>4339.7</v>
      </c>
      <c r="R46" s="197">
        <f>SUM(R20:R45)</f>
        <v>22905.86</v>
      </c>
      <c r="S46" s="81"/>
      <c r="T46" s="196">
        <f>SUM(T20:T45)</f>
        <v>3996.6700000000005</v>
      </c>
      <c r="U46" s="196">
        <f>SUM(U20:U45)</f>
        <v>3280.39</v>
      </c>
      <c r="V46" s="197">
        <f>SUM(V20:V45)</f>
        <v>23622.14</v>
      </c>
      <c r="W46" s="81"/>
      <c r="X46" s="196">
        <f>SUM(X20:X45)</f>
        <v>5438.31</v>
      </c>
      <c r="Y46" s="196">
        <f>SUM(Y20:Y45)</f>
        <v>4148.8899999999994</v>
      </c>
      <c r="Z46" s="197">
        <f>SUM(Z20:Z45)</f>
        <v>24911.56</v>
      </c>
      <c r="AA46" s="81"/>
      <c r="AB46" s="196">
        <f>SUM(AB20:AB45)</f>
        <v>4427.8999999999996</v>
      </c>
      <c r="AC46" s="196">
        <f>SUM(AC20:AC45)</f>
        <v>4850.7100000000009</v>
      </c>
      <c r="AD46" s="197">
        <f>SUM(AD20:AD45)</f>
        <v>24488.749999999996</v>
      </c>
      <c r="AE46" s="81"/>
      <c r="AF46" s="196">
        <f>SUM(AF20:AF45)</f>
        <v>3385.5500000000006</v>
      </c>
      <c r="AG46" s="196">
        <f>SUM(AG20:AG45)</f>
        <v>3261.04</v>
      </c>
      <c r="AH46" s="197">
        <f>SUM(AH20:AH45)</f>
        <v>24613.26</v>
      </c>
      <c r="AI46" s="81"/>
      <c r="AJ46" s="196">
        <f>SUM(AJ20:AJ45)</f>
        <v>4189.3</v>
      </c>
      <c r="AK46" s="196">
        <f>SUM(AK20:AK45)</f>
        <v>5046.7</v>
      </c>
      <c r="AL46" s="197">
        <f>SUM(AL20:AL45)</f>
        <v>23755.859999999997</v>
      </c>
      <c r="AM46" s="81"/>
      <c r="AN46" s="196">
        <f>SUM(AN20:AN45)</f>
        <v>3755.4000000000005</v>
      </c>
      <c r="AO46" s="196">
        <f>SUM(AO20:AO45)</f>
        <v>4197.3199999999988</v>
      </c>
      <c r="AP46" s="197">
        <f>SUM(AP20:AP45)</f>
        <v>23313.939999999995</v>
      </c>
      <c r="AQ46" s="81"/>
      <c r="AR46" s="196">
        <f>SUM(AR20:AR45)</f>
        <v>4120.9799999999996</v>
      </c>
      <c r="AS46" s="196">
        <f>SUM(AS20:AS45)</f>
        <v>4617.4199999999992</v>
      </c>
      <c r="AT46" s="197">
        <f>SUM(AT20:AT45)</f>
        <v>22817.499999999996</v>
      </c>
      <c r="AU46" s="81"/>
      <c r="AV46" s="196">
        <f>SUM(AV20:AV45)</f>
        <v>1583.2699999999991</v>
      </c>
      <c r="AW46" s="196">
        <f>SUM(AW20:AW45)</f>
        <v>1916.24</v>
      </c>
      <c r="AX46" s="197">
        <f>SUM(AX20:AX45)</f>
        <v>22484.53</v>
      </c>
      <c r="AY46" s="28">
        <f>SUM(AY20:AY45)</f>
        <v>50982.23000000001</v>
      </c>
      <c r="AZ46" s="1"/>
      <c r="BA46" s="1"/>
      <c r="BB46" s="176">
        <f ca="1">SUM(BB20:BB45)</f>
        <v>4248.519166666666</v>
      </c>
      <c r="BI46" s="28">
        <f ca="1">SUM(BI20:BI45)</f>
        <v>56130.079999999994</v>
      </c>
      <c r="BJ46" s="1"/>
      <c r="BK46" s="1"/>
      <c r="BL46" s="176">
        <f ca="1">SUM(BL20:BL45)</f>
        <v>4677.5066666666653</v>
      </c>
      <c r="BN46" s="28">
        <f ca="1">SUM(BN20:BN45)</f>
        <v>5147.8499999999976</v>
      </c>
    </row>
    <row r="47" spans="1:66" s="68" customFormat="1" ht="12.75">
      <c r="A47" s="67" t="s">
        <v>314</v>
      </c>
      <c r="B47" s="198"/>
      <c r="C47" s="198">
        <f>C5-B46</f>
        <v>0</v>
      </c>
      <c r="D47" s="198">
        <f>C17-D46</f>
        <v>0</v>
      </c>
      <c r="E47" s="198">
        <f>C17-E46</f>
        <v>2880.3199999999997</v>
      </c>
      <c r="F47" s="198"/>
      <c r="G47" s="198">
        <f>G5-F46</f>
        <v>0</v>
      </c>
      <c r="H47" s="198">
        <f>G17-H46</f>
        <v>0</v>
      </c>
      <c r="I47" s="198">
        <f>G17-I46</f>
        <v>997.56999999999971</v>
      </c>
      <c r="J47" s="198"/>
      <c r="K47" s="198">
        <f>K5-J46</f>
        <v>0</v>
      </c>
      <c r="L47" s="198">
        <f>K17-L46</f>
        <v>0</v>
      </c>
      <c r="M47" s="198">
        <f>K17-M46</f>
        <v>-494.66000000000031</v>
      </c>
      <c r="N47" s="198"/>
      <c r="O47" s="198">
        <f>O5-N46</f>
        <v>0</v>
      </c>
      <c r="P47" s="198">
        <f>O17-P46</f>
        <v>0</v>
      </c>
      <c r="Q47" s="198">
        <f>O17-Q46</f>
        <v>2185.9500000000007</v>
      </c>
      <c r="R47" s="198"/>
      <c r="S47" s="198">
        <f>S5-R46</f>
        <v>0</v>
      </c>
      <c r="T47" s="198">
        <f>S17-T46</f>
        <v>0.99999999999954525</v>
      </c>
      <c r="U47" s="198">
        <f>S17-U46</f>
        <v>717.2800000000002</v>
      </c>
      <c r="V47" s="198"/>
      <c r="W47" s="198">
        <f>W5-V46</f>
        <v>0</v>
      </c>
      <c r="X47" s="198">
        <f>W17-X46</f>
        <v>0</v>
      </c>
      <c r="Y47" s="198">
        <f>W17-Y46</f>
        <v>1289.420000000001</v>
      </c>
      <c r="Z47" s="198"/>
      <c r="AA47" s="198">
        <f>AA5-Z46</f>
        <v>0</v>
      </c>
      <c r="AB47" s="198">
        <f>AA17-AB46</f>
        <v>0</v>
      </c>
      <c r="AC47" s="198">
        <f>AA17-AC46</f>
        <v>-422.81000000000131</v>
      </c>
      <c r="AD47" s="198"/>
      <c r="AE47" s="198">
        <f>AE5-AD46</f>
        <v>0</v>
      </c>
      <c r="AF47" s="198">
        <f>AE17-AF46</f>
        <v>0</v>
      </c>
      <c r="AG47" s="198">
        <f>AE17-AG46</f>
        <v>124.50999999999976</v>
      </c>
      <c r="AH47" s="198"/>
      <c r="AI47" s="198">
        <f>AI5-AH46</f>
        <v>0</v>
      </c>
      <c r="AJ47" s="198">
        <f>AI17-AJ46</f>
        <v>0</v>
      </c>
      <c r="AK47" s="198">
        <f>AI17-AK46</f>
        <v>-857.39999999999964</v>
      </c>
      <c r="AL47" s="198"/>
      <c r="AM47" s="198">
        <f>AM5-AL46</f>
        <v>0</v>
      </c>
      <c r="AN47" s="198">
        <f>AM17-AN46</f>
        <v>0</v>
      </c>
      <c r="AO47" s="198">
        <f>AM17-AO46</f>
        <v>-441.91999999999825</v>
      </c>
      <c r="AP47" s="198"/>
      <c r="AQ47" s="198">
        <f>AQ5-AP46</f>
        <v>0</v>
      </c>
      <c r="AR47" s="198">
        <f>AQ17-AR46</f>
        <v>0</v>
      </c>
      <c r="AS47" s="198">
        <f>AQ17-AS46</f>
        <v>-496.4399999999996</v>
      </c>
      <c r="AT47" s="227"/>
      <c r="AU47" s="198">
        <f>AU5-AT46</f>
        <v>91.900000000005093</v>
      </c>
      <c r="AV47" s="198">
        <f>AU17-AV46</f>
        <v>0</v>
      </c>
      <c r="AW47" s="198">
        <f>AU17-AW46</f>
        <v>-332.97</v>
      </c>
      <c r="AX47" s="198"/>
      <c r="AY47" s="198"/>
      <c r="AZ47" s="67"/>
      <c r="BA47" s="67"/>
      <c r="BB47" s="67"/>
    </row>
    <row r="48" spans="1:66" ht="15.75">
      <c r="A48" s="1"/>
      <c r="B48" s="1"/>
      <c r="C48" s="5"/>
      <c r="D48" s="5"/>
      <c r="E48" s="5"/>
      <c r="F48" s="5"/>
      <c r="G48" s="5"/>
      <c r="H48" s="29"/>
      <c r="I48" s="29"/>
      <c r="J48" s="29"/>
      <c r="K48" s="5"/>
      <c r="L48" s="29"/>
      <c r="M48" s="1"/>
      <c r="N48" s="1"/>
      <c r="O48" s="5"/>
      <c r="P48" s="5"/>
      <c r="Q48" s="5"/>
      <c r="R48" s="5"/>
      <c r="S48" s="5"/>
      <c r="T48" s="5"/>
      <c r="U48" s="5"/>
      <c r="V48" s="5"/>
      <c r="W48" s="5"/>
      <c r="X48" s="29"/>
      <c r="Y48" s="29"/>
      <c r="Z48" s="29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 t="s">
        <v>625</v>
      </c>
      <c r="AW48" s="5"/>
      <c r="AX48" s="5"/>
      <c r="AY48" s="163">
        <v>46128</v>
      </c>
      <c r="AZ48" s="163"/>
      <c r="BA48" s="1" t="s">
        <v>626</v>
      </c>
      <c r="BB48" s="163">
        <f ca="1">12*BB46</f>
        <v>50982.229999999996</v>
      </c>
    </row>
    <row r="49" spans="1:66">
      <c r="C49" s="86"/>
      <c r="AY49" s="86"/>
      <c r="BI49" s="162"/>
      <c r="BN49" s="162"/>
    </row>
    <row r="50" spans="1:66">
      <c r="A50" t="s">
        <v>251</v>
      </c>
      <c r="B50" s="170"/>
      <c r="C50" s="170"/>
      <c r="D50" s="170"/>
      <c r="E50" s="170">
        <f>E22+20-60</f>
        <v>406.3</v>
      </c>
      <c r="F50" s="170"/>
      <c r="G50" s="170"/>
      <c r="H50" s="170"/>
      <c r="I50" s="170">
        <f>I22+20+20-75.1</f>
        <v>403.29999999999995</v>
      </c>
      <c r="J50" s="170"/>
      <c r="K50" s="170"/>
      <c r="L50" s="170"/>
      <c r="M50" s="170">
        <f>M22+20+20-61.46</f>
        <v>402.24</v>
      </c>
      <c r="N50" s="170"/>
      <c r="O50" s="170"/>
      <c r="P50" s="170"/>
      <c r="Q50" s="170">
        <f>Q22+20+20</f>
        <v>646.42999999999995</v>
      </c>
      <c r="R50" s="170"/>
      <c r="S50" s="170"/>
      <c r="T50" s="170"/>
      <c r="U50" s="170">
        <f>U22+20+122.9+31.71+66.04</f>
        <v>480.26</v>
      </c>
      <c r="V50" s="170"/>
      <c r="W50" s="170"/>
      <c r="X50" s="170"/>
      <c r="Y50" s="170">
        <f>Y22+28-97.8</f>
        <v>484.27000000000004</v>
      </c>
      <c r="Z50" s="170"/>
      <c r="AA50" s="170"/>
      <c r="AB50" s="170"/>
      <c r="AC50" s="170">
        <f>AC22+28</f>
        <v>417.21999999999997</v>
      </c>
      <c r="AD50" s="170"/>
      <c r="AE50" s="170"/>
      <c r="AF50" s="170"/>
      <c r="AG50" s="170">
        <f>AG22+28</f>
        <v>443.88999999999993</v>
      </c>
      <c r="AH50" s="170"/>
      <c r="AI50" s="170"/>
      <c r="AJ50" s="170"/>
      <c r="AK50" s="170">
        <f>AK22+28</f>
        <v>446.99999999999994</v>
      </c>
      <c r="AL50" s="170"/>
      <c r="AM50" s="170"/>
      <c r="AN50" s="170"/>
      <c r="AO50" s="170">
        <f>AO22+28-83.6</f>
        <v>469.78999999999996</v>
      </c>
      <c r="AP50" s="170"/>
      <c r="AQ50" s="170"/>
      <c r="AR50" s="170"/>
      <c r="AS50" s="170">
        <f>AS22+28</f>
        <v>428.86999999999995</v>
      </c>
      <c r="AT50" s="170"/>
      <c r="AU50" s="170"/>
      <c r="AV50" s="170"/>
      <c r="AW50" s="170">
        <f>AW22+28</f>
        <v>268.77</v>
      </c>
      <c r="AX50" s="170"/>
      <c r="AY50" s="170"/>
    </row>
    <row r="51" spans="1:66" ht="15.75" thickBot="1"/>
    <row r="52" spans="1:66">
      <c r="C52" s="258" t="s">
        <v>197</v>
      </c>
      <c r="D52" s="259"/>
      <c r="E52" s="259"/>
      <c r="F52" s="260"/>
      <c r="G52" s="258" t="s">
        <v>197</v>
      </c>
      <c r="H52" s="259"/>
      <c r="I52" s="259"/>
      <c r="J52" s="260"/>
      <c r="K52" s="258" t="s">
        <v>197</v>
      </c>
      <c r="L52" s="259"/>
      <c r="M52" s="259"/>
      <c r="N52" s="260"/>
      <c r="O52" s="258" t="s">
        <v>197</v>
      </c>
      <c r="P52" s="259"/>
      <c r="Q52" s="259"/>
      <c r="R52" s="260"/>
      <c r="S52" s="258" t="s">
        <v>197</v>
      </c>
      <c r="T52" s="259"/>
      <c r="U52" s="259"/>
      <c r="V52" s="260"/>
      <c r="W52" s="258" t="s">
        <v>197</v>
      </c>
      <c r="X52" s="259"/>
      <c r="Y52" s="259"/>
      <c r="Z52" s="260"/>
      <c r="AA52" s="258" t="s">
        <v>197</v>
      </c>
      <c r="AB52" s="259"/>
      <c r="AC52" s="259"/>
      <c r="AD52" s="260"/>
      <c r="AE52" s="258" t="s">
        <v>197</v>
      </c>
      <c r="AF52" s="259"/>
      <c r="AG52" s="259"/>
      <c r="AH52" s="260"/>
      <c r="AI52" s="258" t="s">
        <v>197</v>
      </c>
      <c r="AJ52" s="259"/>
      <c r="AK52" s="259"/>
      <c r="AL52" s="260"/>
      <c r="AM52" s="258" t="s">
        <v>197</v>
      </c>
      <c r="AN52" s="259"/>
      <c r="AO52" s="259"/>
      <c r="AP52" s="260"/>
      <c r="AQ52" s="258" t="s">
        <v>197</v>
      </c>
      <c r="AR52" s="259"/>
      <c r="AS52" s="259"/>
      <c r="AT52" s="260"/>
      <c r="AU52" s="258" t="s">
        <v>197</v>
      </c>
      <c r="AV52" s="259"/>
      <c r="AW52" s="259"/>
      <c r="AX52" s="260"/>
    </row>
    <row r="53" spans="1:66" ht="15.75" thickBot="1">
      <c r="C53" s="141" t="s">
        <v>198</v>
      </c>
      <c r="D53" s="261" t="s">
        <v>33</v>
      </c>
      <c r="E53" s="262"/>
      <c r="F53" s="142" t="s">
        <v>134</v>
      </c>
      <c r="G53" s="141" t="s">
        <v>198</v>
      </c>
      <c r="H53" s="261" t="s">
        <v>33</v>
      </c>
      <c r="I53" s="262"/>
      <c r="J53" s="142" t="s">
        <v>134</v>
      </c>
      <c r="K53" s="141" t="s">
        <v>198</v>
      </c>
      <c r="L53" s="261" t="s">
        <v>33</v>
      </c>
      <c r="M53" s="262"/>
      <c r="N53" s="142" t="s">
        <v>134</v>
      </c>
      <c r="O53" s="141" t="s">
        <v>198</v>
      </c>
      <c r="P53" s="261" t="s">
        <v>33</v>
      </c>
      <c r="Q53" s="262"/>
      <c r="R53" s="142" t="s">
        <v>134</v>
      </c>
      <c r="S53" s="141" t="s">
        <v>198</v>
      </c>
      <c r="T53" s="261" t="s">
        <v>33</v>
      </c>
      <c r="U53" s="262"/>
      <c r="V53" s="142" t="s">
        <v>134</v>
      </c>
      <c r="W53" s="141" t="s">
        <v>198</v>
      </c>
      <c r="X53" s="261" t="s">
        <v>33</v>
      </c>
      <c r="Y53" s="262"/>
      <c r="Z53" s="142" t="s">
        <v>134</v>
      </c>
      <c r="AA53" s="141" t="s">
        <v>198</v>
      </c>
      <c r="AB53" s="261" t="s">
        <v>33</v>
      </c>
      <c r="AC53" s="262"/>
      <c r="AD53" s="142" t="s">
        <v>134</v>
      </c>
      <c r="AE53" s="141" t="s">
        <v>198</v>
      </c>
      <c r="AF53" s="261" t="s">
        <v>33</v>
      </c>
      <c r="AG53" s="262"/>
      <c r="AH53" s="142" t="s">
        <v>134</v>
      </c>
      <c r="AI53" s="141" t="s">
        <v>198</v>
      </c>
      <c r="AJ53" s="261" t="s">
        <v>33</v>
      </c>
      <c r="AK53" s="262"/>
      <c r="AL53" s="142" t="s">
        <v>134</v>
      </c>
      <c r="AM53" s="141" t="s">
        <v>198</v>
      </c>
      <c r="AN53" s="261" t="s">
        <v>33</v>
      </c>
      <c r="AO53" s="262"/>
      <c r="AP53" s="142" t="s">
        <v>134</v>
      </c>
      <c r="AQ53" s="141" t="s">
        <v>198</v>
      </c>
      <c r="AR53" s="261" t="s">
        <v>33</v>
      </c>
      <c r="AS53" s="262"/>
      <c r="AT53" s="142" t="s">
        <v>134</v>
      </c>
      <c r="AU53" s="141" t="s">
        <v>198</v>
      </c>
      <c r="AV53" s="261" t="s">
        <v>33</v>
      </c>
      <c r="AW53" s="262"/>
      <c r="AX53" s="142" t="s">
        <v>134</v>
      </c>
    </row>
    <row r="54" spans="1:66">
      <c r="C54" s="143">
        <v>43112</v>
      </c>
      <c r="D54" s="263" t="s">
        <v>199</v>
      </c>
      <c r="E54" s="264"/>
      <c r="F54" s="146">
        <v>10</v>
      </c>
      <c r="G54" s="143">
        <v>43137</v>
      </c>
      <c r="H54" s="263" t="s">
        <v>219</v>
      </c>
      <c r="I54" s="264"/>
      <c r="J54" s="148">
        <v>10</v>
      </c>
      <c r="K54" s="143">
        <v>43166</v>
      </c>
      <c r="L54" s="269" t="s">
        <v>287</v>
      </c>
      <c r="M54" s="270"/>
      <c r="N54" s="148"/>
      <c r="O54" s="143">
        <v>43195</v>
      </c>
      <c r="P54" s="269" t="s">
        <v>219</v>
      </c>
      <c r="Q54" s="270"/>
      <c r="R54" s="153">
        <v>10</v>
      </c>
      <c r="S54" s="143">
        <v>43224</v>
      </c>
      <c r="T54" s="269" t="s">
        <v>287</v>
      </c>
      <c r="U54" s="270"/>
      <c r="V54" s="154"/>
      <c r="W54" s="144">
        <v>43264</v>
      </c>
      <c r="X54" s="273" t="s">
        <v>199</v>
      </c>
      <c r="Y54" s="274"/>
      <c r="Z54" s="155">
        <v>15</v>
      </c>
      <c r="AA54" s="143"/>
      <c r="AB54" s="283" t="s">
        <v>370</v>
      </c>
      <c r="AC54" s="284"/>
      <c r="AD54" s="148">
        <f>1452-580.8</f>
        <v>871.2</v>
      </c>
      <c r="AE54" s="143"/>
      <c r="AF54" s="285"/>
      <c r="AG54" s="286"/>
      <c r="AH54" s="148"/>
      <c r="AI54" s="143">
        <v>43370</v>
      </c>
      <c r="AJ54" s="287" t="s">
        <v>219</v>
      </c>
      <c r="AK54" s="288"/>
      <c r="AL54" s="148">
        <v>10</v>
      </c>
      <c r="AM54" s="143">
        <v>43399</v>
      </c>
      <c r="AN54" s="287" t="s">
        <v>219</v>
      </c>
      <c r="AO54" s="288"/>
      <c r="AP54" s="148" t="s">
        <v>641</v>
      </c>
      <c r="AQ54" s="143">
        <v>43415</v>
      </c>
      <c r="AR54" s="269" t="s">
        <v>666</v>
      </c>
      <c r="AS54" s="270"/>
      <c r="AT54" s="148"/>
      <c r="AU54" s="143">
        <v>43447</v>
      </c>
      <c r="AV54" s="263" t="s">
        <v>666</v>
      </c>
      <c r="AW54" s="264"/>
      <c r="AX54" s="148"/>
    </row>
    <row r="55" spans="1:66">
      <c r="C55" s="144"/>
      <c r="D55" s="267"/>
      <c r="E55" s="268"/>
      <c r="F55" s="146"/>
      <c r="G55" s="144">
        <v>43146</v>
      </c>
      <c r="H55" s="267" t="s">
        <v>272</v>
      </c>
      <c r="I55" s="268"/>
      <c r="J55" s="148">
        <v>10</v>
      </c>
      <c r="K55" s="144">
        <v>43168</v>
      </c>
      <c r="L55" s="271" t="s">
        <v>272</v>
      </c>
      <c r="M55" s="272"/>
      <c r="N55" s="148">
        <v>15</v>
      </c>
      <c r="O55" s="144">
        <v>43209</v>
      </c>
      <c r="P55" s="273" t="s">
        <v>199</v>
      </c>
      <c r="Q55" s="274"/>
      <c r="R55" s="153">
        <v>15</v>
      </c>
      <c r="S55" s="144">
        <v>43238</v>
      </c>
      <c r="T55" s="273" t="s">
        <v>359</v>
      </c>
      <c r="U55" s="274"/>
      <c r="V55" s="148"/>
      <c r="W55" s="144">
        <v>43253</v>
      </c>
      <c r="X55" s="273" t="s">
        <v>219</v>
      </c>
      <c r="Y55" s="274"/>
      <c r="Z55" s="148">
        <v>10</v>
      </c>
      <c r="AA55" s="144"/>
      <c r="AB55" s="267" t="s">
        <v>371</v>
      </c>
      <c r="AC55" s="268"/>
      <c r="AD55" s="148">
        <f>200-43.62+(76.38*6)</f>
        <v>614.66</v>
      </c>
      <c r="AE55" s="144">
        <v>43318</v>
      </c>
      <c r="AF55" s="273" t="s">
        <v>199</v>
      </c>
      <c r="AG55" s="274"/>
      <c r="AH55" s="148">
        <v>15</v>
      </c>
      <c r="AI55" s="144">
        <v>43361</v>
      </c>
      <c r="AJ55" s="273" t="s">
        <v>199</v>
      </c>
      <c r="AK55" s="274"/>
      <c r="AL55" s="148">
        <v>15</v>
      </c>
      <c r="AM55" s="144">
        <v>43393</v>
      </c>
      <c r="AN55" s="273" t="s">
        <v>199</v>
      </c>
      <c r="AO55" s="274"/>
      <c r="AP55" s="148">
        <v>15</v>
      </c>
      <c r="AQ55" s="144">
        <v>43425</v>
      </c>
      <c r="AR55" s="273" t="s">
        <v>699</v>
      </c>
      <c r="AS55" s="274"/>
      <c r="AT55" s="148"/>
      <c r="AU55" s="144"/>
      <c r="AV55" s="267"/>
      <c r="AW55" s="268"/>
      <c r="AX55" s="148"/>
    </row>
    <row r="56" spans="1:66">
      <c r="C56" s="144">
        <v>43117</v>
      </c>
      <c r="D56" s="267" t="s">
        <v>200</v>
      </c>
      <c r="E56" s="268"/>
      <c r="F56" s="146"/>
      <c r="G56" s="144">
        <v>43147</v>
      </c>
      <c r="H56" s="267" t="s">
        <v>283</v>
      </c>
      <c r="I56" s="268"/>
      <c r="J56" s="148"/>
      <c r="K56" s="144">
        <v>43189</v>
      </c>
      <c r="L56" s="267" t="s">
        <v>292</v>
      </c>
      <c r="M56" s="268"/>
      <c r="N56" s="148"/>
      <c r="O56" s="144">
        <v>43193</v>
      </c>
      <c r="P56" s="273" t="s">
        <v>328</v>
      </c>
      <c r="Q56" s="274"/>
      <c r="R56" s="153">
        <v>258.52</v>
      </c>
      <c r="S56" s="144">
        <v>43249</v>
      </c>
      <c r="T56" s="267" t="s">
        <v>374</v>
      </c>
      <c r="U56" s="268"/>
      <c r="V56" s="148"/>
      <c r="W56" s="144">
        <v>43249</v>
      </c>
      <c r="X56" s="267" t="s">
        <v>379</v>
      </c>
      <c r="Y56" s="268"/>
      <c r="Z56" s="148"/>
      <c r="AA56" s="144"/>
      <c r="AB56" s="267" t="s">
        <v>372</v>
      </c>
      <c r="AC56" s="268"/>
      <c r="AD56" s="148">
        <f>AD54-AD55</f>
        <v>256.54000000000008</v>
      </c>
      <c r="AE56" s="144">
        <v>43341</v>
      </c>
      <c r="AF56" s="273" t="s">
        <v>287</v>
      </c>
      <c r="AG56" s="274"/>
      <c r="AH56" s="148"/>
      <c r="AI56" s="144">
        <v>43347</v>
      </c>
      <c r="AJ56" s="275" t="s">
        <v>378</v>
      </c>
      <c r="AK56" s="276"/>
      <c r="AL56" s="148"/>
      <c r="AM56" s="144">
        <v>43377</v>
      </c>
      <c r="AN56" s="275" t="s">
        <v>378</v>
      </c>
      <c r="AO56" s="276"/>
      <c r="AP56" s="148"/>
      <c r="AQ56" s="144">
        <v>43411</v>
      </c>
      <c r="AR56" s="273" t="s">
        <v>691</v>
      </c>
      <c r="AS56" s="274"/>
      <c r="AT56" s="148"/>
      <c r="AU56" s="144"/>
      <c r="AV56" s="267"/>
      <c r="AW56" s="268"/>
      <c r="AX56" s="148"/>
    </row>
    <row r="57" spans="1:66">
      <c r="C57" s="144"/>
      <c r="D57" s="267" t="s">
        <v>201</v>
      </c>
      <c r="E57" s="268"/>
      <c r="F57" s="146"/>
      <c r="G57" s="144"/>
      <c r="H57" s="267" t="s">
        <v>284</v>
      </c>
      <c r="I57" s="268"/>
      <c r="J57" s="148"/>
      <c r="K57" s="144"/>
      <c r="L57" s="267" t="s">
        <v>293</v>
      </c>
      <c r="M57" s="268"/>
      <c r="N57" s="148"/>
      <c r="O57" s="144"/>
      <c r="P57" s="273" t="s">
        <v>299</v>
      </c>
      <c r="Q57" s="274"/>
      <c r="R57" s="148">
        <v>2290.23</v>
      </c>
      <c r="S57" s="144"/>
      <c r="T57" s="267" t="s">
        <v>375</v>
      </c>
      <c r="U57" s="268"/>
      <c r="V57" s="148"/>
      <c r="W57" s="144"/>
      <c r="X57" s="267" t="s">
        <v>380</v>
      </c>
      <c r="Y57" s="268"/>
      <c r="Z57" s="148"/>
      <c r="AA57" s="144">
        <v>43282</v>
      </c>
      <c r="AB57" s="273" t="s">
        <v>287</v>
      </c>
      <c r="AC57" s="274"/>
      <c r="AD57" s="148"/>
      <c r="AE57" s="144">
        <v>43189</v>
      </c>
      <c r="AF57" s="267" t="s">
        <v>383</v>
      </c>
      <c r="AG57" s="268"/>
      <c r="AH57" s="148"/>
      <c r="AI57" s="144"/>
      <c r="AJ57" s="277"/>
      <c r="AK57" s="278"/>
      <c r="AL57" s="148"/>
      <c r="AM57" s="144">
        <v>43404</v>
      </c>
      <c r="AN57" s="275" t="s">
        <v>378</v>
      </c>
      <c r="AO57" s="276"/>
      <c r="AP57" s="148"/>
      <c r="AQ57" s="144">
        <v>43428</v>
      </c>
      <c r="AR57" s="273" t="s">
        <v>219</v>
      </c>
      <c r="AS57" s="274"/>
      <c r="AT57" s="148">
        <v>10</v>
      </c>
      <c r="AU57" s="144"/>
      <c r="AV57" s="267"/>
      <c r="AW57" s="268"/>
      <c r="AX57" s="148"/>
    </row>
    <row r="58" spans="1:66">
      <c r="C58" s="144"/>
      <c r="D58" s="267" t="s">
        <v>202</v>
      </c>
      <c r="E58" s="268"/>
      <c r="F58" s="146"/>
      <c r="G58" s="144"/>
      <c r="H58" s="267" t="s">
        <v>285</v>
      </c>
      <c r="I58" s="268"/>
      <c r="J58" s="148"/>
      <c r="K58" s="144"/>
      <c r="L58" s="267" t="s">
        <v>294</v>
      </c>
      <c r="M58" s="268"/>
      <c r="N58" s="148"/>
      <c r="O58" s="144"/>
      <c r="P58" s="267"/>
      <c r="Q58" s="268"/>
      <c r="R58" s="148"/>
      <c r="S58" s="144"/>
      <c r="T58" s="267" t="s">
        <v>376</v>
      </c>
      <c r="U58" s="268"/>
      <c r="V58" s="148"/>
      <c r="W58" s="144"/>
      <c r="X58" s="267" t="s">
        <v>381</v>
      </c>
      <c r="Y58" s="268"/>
      <c r="Z58" s="148"/>
      <c r="AA58" s="144"/>
      <c r="AB58" s="273" t="s">
        <v>359</v>
      </c>
      <c r="AC58" s="274"/>
      <c r="AD58" s="148"/>
      <c r="AE58" s="144"/>
      <c r="AF58" s="267" t="s">
        <v>384</v>
      </c>
      <c r="AG58" s="268"/>
      <c r="AH58" s="148"/>
      <c r="AI58" s="144"/>
      <c r="AJ58" s="277"/>
      <c r="AK58" s="278"/>
      <c r="AL58" s="148"/>
      <c r="AM58" s="144"/>
      <c r="AN58" s="277"/>
      <c r="AO58" s="278"/>
      <c r="AP58" s="148"/>
      <c r="AQ58" s="144">
        <v>43419</v>
      </c>
      <c r="AR58" s="273" t="s">
        <v>714</v>
      </c>
      <c r="AS58" s="274"/>
      <c r="AT58" s="148"/>
      <c r="AU58" s="144"/>
      <c r="AV58" s="267"/>
      <c r="AW58" s="268"/>
      <c r="AX58" s="148"/>
    </row>
    <row r="59" spans="1:66">
      <c r="C59" s="144"/>
      <c r="D59" s="267"/>
      <c r="E59" s="268"/>
      <c r="F59" s="146"/>
      <c r="G59" s="144"/>
      <c r="H59" s="267"/>
      <c r="I59" s="268"/>
      <c r="J59" s="148"/>
      <c r="K59" s="144"/>
      <c r="L59" s="267"/>
      <c r="M59" s="268"/>
      <c r="N59" s="148"/>
      <c r="O59" s="144"/>
      <c r="P59" s="267"/>
      <c r="Q59" s="268"/>
      <c r="R59" s="148"/>
      <c r="S59" s="144">
        <v>43236</v>
      </c>
      <c r="T59" s="275" t="s">
        <v>378</v>
      </c>
      <c r="U59" s="276"/>
      <c r="V59" s="148"/>
      <c r="W59" s="144">
        <v>43263</v>
      </c>
      <c r="X59" s="275" t="s">
        <v>378</v>
      </c>
      <c r="Y59" s="276"/>
      <c r="Z59" s="148"/>
      <c r="AA59" s="144"/>
      <c r="AB59" s="275" t="s">
        <v>451</v>
      </c>
      <c r="AC59" s="276"/>
      <c r="AD59" s="148">
        <f>(50*7)-'01'!D13-'03'!E13</f>
        <v>285.02</v>
      </c>
      <c r="AE59" s="144"/>
      <c r="AF59" s="267" t="s">
        <v>385</v>
      </c>
      <c r="AG59" s="268"/>
      <c r="AH59" s="148"/>
      <c r="AI59" s="144"/>
      <c r="AJ59" s="277"/>
      <c r="AK59" s="278"/>
      <c r="AL59" s="148"/>
      <c r="AM59" s="144"/>
      <c r="AN59" s="277"/>
      <c r="AO59" s="278"/>
      <c r="AP59" s="148"/>
      <c r="AQ59" s="144">
        <v>43406</v>
      </c>
      <c r="AR59" s="267" t="s">
        <v>659</v>
      </c>
      <c r="AS59" s="268"/>
      <c r="AT59" s="148"/>
      <c r="AU59" s="144">
        <v>43189</v>
      </c>
      <c r="AV59" s="267" t="s">
        <v>765</v>
      </c>
      <c r="AW59" s="268"/>
      <c r="AX59" s="148"/>
    </row>
    <row r="60" spans="1:66">
      <c r="C60" s="144"/>
      <c r="D60" s="267"/>
      <c r="E60" s="268"/>
      <c r="F60" s="146"/>
      <c r="G60" s="144"/>
      <c r="H60" s="267"/>
      <c r="I60" s="268"/>
      <c r="J60" s="148"/>
      <c r="K60" s="144"/>
      <c r="L60" s="267"/>
      <c r="M60" s="268"/>
      <c r="N60" s="148"/>
      <c r="O60" s="144"/>
      <c r="P60" s="267"/>
      <c r="Q60" s="268"/>
      <c r="R60" s="148"/>
      <c r="S60" s="144"/>
      <c r="T60" s="275"/>
      <c r="U60" s="276"/>
      <c r="V60" s="148"/>
      <c r="W60" s="144"/>
      <c r="X60" s="277" t="s">
        <v>308</v>
      </c>
      <c r="Y60" s="278"/>
      <c r="Z60" s="148">
        <f>622.46*2</f>
        <v>1244.92</v>
      </c>
      <c r="AA60" s="144"/>
      <c r="AB60" s="277"/>
      <c r="AC60" s="278"/>
      <c r="AD60" s="148"/>
      <c r="AE60" s="144">
        <v>43319</v>
      </c>
      <c r="AF60" s="275" t="s">
        <v>378</v>
      </c>
      <c r="AG60" s="276"/>
      <c r="AH60" s="148"/>
      <c r="AI60" s="144"/>
      <c r="AJ60" s="277"/>
      <c r="AK60" s="278"/>
      <c r="AL60" s="148"/>
      <c r="AM60" s="144"/>
      <c r="AN60" s="277"/>
      <c r="AO60" s="278"/>
      <c r="AP60" s="148"/>
      <c r="AQ60" s="144"/>
      <c r="AR60" s="267" t="s">
        <v>380</v>
      </c>
      <c r="AS60" s="268"/>
      <c r="AT60" s="148"/>
      <c r="AU60" s="144"/>
      <c r="AV60" s="267" t="s">
        <v>766</v>
      </c>
      <c r="AW60" s="268"/>
      <c r="AX60" s="148"/>
    </row>
    <row r="61" spans="1:66">
      <c r="C61" s="144"/>
      <c r="D61" s="267"/>
      <c r="E61" s="268"/>
      <c r="F61" s="146"/>
      <c r="G61" s="144"/>
      <c r="H61" s="267"/>
      <c r="I61" s="268"/>
      <c r="J61" s="148"/>
      <c r="K61" s="144"/>
      <c r="L61" s="267"/>
      <c r="M61" s="268"/>
      <c r="N61" s="148"/>
      <c r="O61" s="144"/>
      <c r="P61" s="267"/>
      <c r="Q61" s="268"/>
      <c r="R61" s="148"/>
      <c r="S61" s="144"/>
      <c r="T61" s="275"/>
      <c r="U61" s="276"/>
      <c r="V61" s="148"/>
      <c r="W61" s="144"/>
      <c r="X61" s="277"/>
      <c r="Y61" s="278"/>
      <c r="Z61" s="148"/>
      <c r="AA61" s="144"/>
      <c r="AB61" s="277"/>
      <c r="AC61" s="278"/>
      <c r="AD61" s="148"/>
      <c r="AE61" s="144"/>
      <c r="AF61" s="277"/>
      <c r="AG61" s="278"/>
      <c r="AH61" s="148"/>
      <c r="AI61" s="144"/>
      <c r="AJ61" s="277"/>
      <c r="AK61" s="278"/>
      <c r="AL61" s="148"/>
      <c r="AM61" s="144"/>
      <c r="AN61" s="277"/>
      <c r="AO61" s="278"/>
      <c r="AP61" s="148"/>
      <c r="AQ61" s="144"/>
      <c r="AR61" s="267" t="s">
        <v>660</v>
      </c>
      <c r="AS61" s="268"/>
      <c r="AT61" s="148"/>
      <c r="AU61" s="144"/>
      <c r="AV61" s="267" t="s">
        <v>767</v>
      </c>
      <c r="AW61" s="268"/>
      <c r="AX61" s="148"/>
    </row>
    <row r="62" spans="1:66">
      <c r="C62" s="144"/>
      <c r="D62" s="267"/>
      <c r="E62" s="268"/>
      <c r="F62" s="146"/>
      <c r="G62" s="144"/>
      <c r="H62" s="267"/>
      <c r="I62" s="268"/>
      <c r="J62" s="148"/>
      <c r="K62" s="144"/>
      <c r="L62" s="267"/>
      <c r="M62" s="268"/>
      <c r="N62" s="148"/>
      <c r="O62" s="144"/>
      <c r="P62" s="267"/>
      <c r="Q62" s="268"/>
      <c r="R62" s="148"/>
      <c r="S62" s="144"/>
      <c r="T62" s="275"/>
      <c r="U62" s="276"/>
      <c r="V62" s="148"/>
      <c r="W62" s="144"/>
      <c r="X62" s="277"/>
      <c r="Y62" s="278"/>
      <c r="Z62" s="148"/>
      <c r="AA62" s="144"/>
      <c r="AB62" s="277"/>
      <c r="AC62" s="278"/>
      <c r="AD62" s="148"/>
      <c r="AE62" s="144"/>
      <c r="AF62" s="277"/>
      <c r="AG62" s="278"/>
      <c r="AH62" s="148"/>
      <c r="AI62" s="144"/>
      <c r="AJ62" s="277"/>
      <c r="AK62" s="278"/>
      <c r="AL62" s="148"/>
      <c r="AM62" s="144"/>
      <c r="AN62" s="277"/>
      <c r="AO62" s="278"/>
      <c r="AP62" s="148"/>
      <c r="AQ62" s="144">
        <v>43425</v>
      </c>
      <c r="AR62" s="273" t="s">
        <v>199</v>
      </c>
      <c r="AS62" s="274"/>
      <c r="AT62" s="148">
        <v>10</v>
      </c>
      <c r="AU62" s="144"/>
      <c r="AV62" s="267"/>
      <c r="AW62" s="268"/>
      <c r="AX62" s="148"/>
    </row>
    <row r="63" spans="1:66">
      <c r="C63" s="144"/>
      <c r="D63" s="267"/>
      <c r="E63" s="268"/>
      <c r="F63" s="146"/>
      <c r="G63" s="144"/>
      <c r="H63" s="267"/>
      <c r="I63" s="268"/>
      <c r="J63" s="148"/>
      <c r="K63" s="144"/>
      <c r="L63" s="267"/>
      <c r="M63" s="268"/>
      <c r="N63" s="148"/>
      <c r="O63" s="144"/>
      <c r="P63" s="267"/>
      <c r="Q63" s="268"/>
      <c r="R63" s="148"/>
      <c r="S63" s="144"/>
      <c r="T63" s="275"/>
      <c r="U63" s="276"/>
      <c r="V63" s="148"/>
      <c r="W63" s="144"/>
      <c r="X63" s="277"/>
      <c r="Y63" s="278"/>
      <c r="Z63" s="148"/>
      <c r="AA63" s="144"/>
      <c r="AB63" s="277"/>
      <c r="AC63" s="278"/>
      <c r="AD63" s="148"/>
      <c r="AE63" s="144"/>
      <c r="AF63" s="277"/>
      <c r="AG63" s="278"/>
      <c r="AH63" s="148"/>
      <c r="AI63" s="144"/>
      <c r="AJ63" s="277"/>
      <c r="AK63" s="278"/>
      <c r="AL63" s="148"/>
      <c r="AM63" s="144"/>
      <c r="AN63" s="277"/>
      <c r="AO63" s="278"/>
      <c r="AP63" s="148"/>
      <c r="AQ63" s="144">
        <v>43433</v>
      </c>
      <c r="AR63" s="275" t="s">
        <v>378</v>
      </c>
      <c r="AS63" s="276"/>
      <c r="AT63" s="148"/>
      <c r="AU63" s="144"/>
      <c r="AV63" s="267"/>
      <c r="AW63" s="268"/>
      <c r="AX63" s="148"/>
    </row>
    <row r="64" spans="1:66">
      <c r="C64" s="144"/>
      <c r="D64" s="267"/>
      <c r="E64" s="268"/>
      <c r="F64" s="146"/>
      <c r="G64" s="144"/>
      <c r="H64" s="267"/>
      <c r="I64" s="268"/>
      <c r="J64" s="148"/>
      <c r="K64" s="144"/>
      <c r="L64" s="267"/>
      <c r="M64" s="268"/>
      <c r="N64" s="148"/>
      <c r="O64" s="144"/>
      <c r="P64" s="267"/>
      <c r="Q64" s="268"/>
      <c r="R64" s="148"/>
      <c r="S64" s="144"/>
      <c r="T64" s="275"/>
      <c r="U64" s="276"/>
      <c r="V64" s="148"/>
      <c r="W64" s="144"/>
      <c r="X64" s="277"/>
      <c r="Y64" s="278"/>
      <c r="Z64" s="148"/>
      <c r="AA64" s="144"/>
      <c r="AB64" s="277"/>
      <c r="AC64" s="278"/>
      <c r="AD64" s="148"/>
      <c r="AE64" s="144"/>
      <c r="AF64" s="277"/>
      <c r="AG64" s="278"/>
      <c r="AH64" s="148"/>
      <c r="AI64" s="144"/>
      <c r="AJ64" s="277"/>
      <c r="AK64" s="278"/>
      <c r="AL64" s="148"/>
      <c r="AM64" s="144"/>
      <c r="AN64" s="277"/>
      <c r="AO64" s="278"/>
      <c r="AP64" s="148"/>
      <c r="AQ64" s="144"/>
      <c r="AR64" s="267"/>
      <c r="AS64" s="268"/>
      <c r="AT64" s="148"/>
      <c r="AU64" s="144"/>
      <c r="AV64" s="267"/>
      <c r="AW64" s="268"/>
      <c r="AX64" s="148"/>
    </row>
    <row r="65" spans="3:50">
      <c r="C65" s="144"/>
      <c r="D65" s="267"/>
      <c r="E65" s="268"/>
      <c r="F65" s="146"/>
      <c r="G65" s="144"/>
      <c r="H65" s="267"/>
      <c r="I65" s="268"/>
      <c r="J65" s="148"/>
      <c r="K65" s="144"/>
      <c r="L65" s="267"/>
      <c r="M65" s="268"/>
      <c r="N65" s="148"/>
      <c r="O65" s="144"/>
      <c r="P65" s="267"/>
      <c r="Q65" s="268"/>
      <c r="R65" s="148"/>
      <c r="S65" s="144"/>
      <c r="T65" s="275"/>
      <c r="U65" s="276"/>
      <c r="V65" s="148"/>
      <c r="W65" s="144"/>
      <c r="X65" s="277"/>
      <c r="Y65" s="278"/>
      <c r="Z65" s="148"/>
      <c r="AA65" s="144"/>
      <c r="AB65" s="277"/>
      <c r="AC65" s="278"/>
      <c r="AD65" s="148"/>
      <c r="AE65" s="144"/>
      <c r="AF65" s="277"/>
      <c r="AG65" s="278"/>
      <c r="AH65" s="148"/>
      <c r="AI65" s="144"/>
      <c r="AJ65" s="277"/>
      <c r="AK65" s="278"/>
      <c r="AL65" s="148"/>
      <c r="AM65" s="144"/>
      <c r="AN65" s="277"/>
      <c r="AO65" s="278"/>
      <c r="AP65" s="148"/>
      <c r="AQ65" s="144"/>
      <c r="AR65" s="267"/>
      <c r="AS65" s="268"/>
      <c r="AT65" s="148"/>
      <c r="AU65" s="144"/>
      <c r="AV65" s="267"/>
      <c r="AW65" s="268"/>
      <c r="AX65" s="148"/>
    </row>
    <row r="66" spans="3:50">
      <c r="C66" s="144"/>
      <c r="D66" s="267"/>
      <c r="E66" s="268"/>
      <c r="F66" s="146"/>
      <c r="G66" s="144"/>
      <c r="H66" s="267"/>
      <c r="I66" s="268"/>
      <c r="J66" s="148"/>
      <c r="K66" s="144"/>
      <c r="L66" s="267"/>
      <c r="M66" s="268"/>
      <c r="N66" s="148"/>
      <c r="O66" s="144"/>
      <c r="P66" s="267"/>
      <c r="Q66" s="268"/>
      <c r="R66" s="148"/>
      <c r="S66" s="144"/>
      <c r="T66" s="277"/>
      <c r="U66" s="278"/>
      <c r="V66" s="148"/>
      <c r="W66" s="144"/>
      <c r="X66" s="277"/>
      <c r="Y66" s="278"/>
      <c r="Z66" s="148"/>
      <c r="AA66" s="144"/>
      <c r="AB66" s="277"/>
      <c r="AC66" s="278"/>
      <c r="AD66" s="148"/>
      <c r="AE66" s="144"/>
      <c r="AF66" s="277"/>
      <c r="AG66" s="278"/>
      <c r="AH66" s="148"/>
      <c r="AI66" s="144"/>
      <c r="AJ66" s="277"/>
      <c r="AK66" s="278"/>
      <c r="AL66" s="148"/>
      <c r="AM66" s="144"/>
      <c r="AN66" s="277"/>
      <c r="AO66" s="278"/>
      <c r="AP66" s="148"/>
      <c r="AQ66" s="144"/>
      <c r="AR66" s="267"/>
      <c r="AS66" s="268"/>
      <c r="AT66" s="148"/>
      <c r="AU66" s="144"/>
      <c r="AV66" s="267"/>
      <c r="AW66" s="268"/>
      <c r="AX66" s="148"/>
    </row>
    <row r="67" spans="3:50">
      <c r="C67" s="144"/>
      <c r="D67" s="267"/>
      <c r="E67" s="268"/>
      <c r="F67" s="146"/>
      <c r="G67" s="144"/>
      <c r="H67" s="267"/>
      <c r="I67" s="268"/>
      <c r="J67" s="148"/>
      <c r="K67" s="144"/>
      <c r="L67" s="267"/>
      <c r="M67" s="268"/>
      <c r="N67" s="148"/>
      <c r="O67" s="144"/>
      <c r="P67" s="267"/>
      <c r="Q67" s="268"/>
      <c r="R67" s="148"/>
      <c r="S67" s="144"/>
      <c r="T67" s="277"/>
      <c r="U67" s="278"/>
      <c r="V67" s="148"/>
      <c r="W67" s="144"/>
      <c r="X67" s="277"/>
      <c r="Y67" s="278"/>
      <c r="Z67" s="148"/>
      <c r="AA67" s="144"/>
      <c r="AB67" s="277"/>
      <c r="AC67" s="278"/>
      <c r="AD67" s="148"/>
      <c r="AE67" s="144"/>
      <c r="AF67" s="277"/>
      <c r="AG67" s="278"/>
      <c r="AH67" s="148"/>
      <c r="AI67" s="144"/>
      <c r="AJ67" s="277"/>
      <c r="AK67" s="278"/>
      <c r="AL67" s="148"/>
      <c r="AM67" s="144"/>
      <c r="AN67" s="277"/>
      <c r="AO67" s="278"/>
      <c r="AP67" s="148"/>
      <c r="AQ67" s="144"/>
      <c r="AR67" s="267"/>
      <c r="AS67" s="268"/>
      <c r="AT67" s="148"/>
      <c r="AU67" s="144"/>
      <c r="AV67" s="267"/>
      <c r="AW67" s="268"/>
      <c r="AX67" s="148"/>
    </row>
    <row r="68" spans="3:50">
      <c r="C68" s="144"/>
      <c r="D68" s="267"/>
      <c r="E68" s="268"/>
      <c r="F68" s="146"/>
      <c r="G68" s="144"/>
      <c r="H68" s="267"/>
      <c r="I68" s="268"/>
      <c r="J68" s="148"/>
      <c r="K68" s="144"/>
      <c r="L68" s="267"/>
      <c r="M68" s="268"/>
      <c r="N68" s="148"/>
      <c r="O68" s="144"/>
      <c r="P68" s="267"/>
      <c r="Q68" s="268"/>
      <c r="R68" s="148"/>
      <c r="S68" s="144"/>
      <c r="T68" s="277"/>
      <c r="U68" s="278"/>
      <c r="V68" s="148"/>
      <c r="W68" s="144"/>
      <c r="X68" s="277"/>
      <c r="Y68" s="278"/>
      <c r="Z68" s="148"/>
      <c r="AA68" s="144"/>
      <c r="AB68" s="277"/>
      <c r="AC68" s="278"/>
      <c r="AD68" s="148"/>
      <c r="AE68" s="144"/>
      <c r="AF68" s="277"/>
      <c r="AG68" s="278"/>
      <c r="AH68" s="148"/>
      <c r="AI68" s="144"/>
      <c r="AJ68" s="277"/>
      <c r="AK68" s="278"/>
      <c r="AL68" s="148"/>
      <c r="AM68" s="144"/>
      <c r="AN68" s="277"/>
      <c r="AO68" s="278"/>
      <c r="AP68" s="148"/>
      <c r="AQ68" s="144"/>
      <c r="AR68" s="267"/>
      <c r="AS68" s="268"/>
      <c r="AT68" s="148"/>
      <c r="AU68" s="144"/>
      <c r="AV68" s="267"/>
      <c r="AW68" s="268"/>
      <c r="AX68" s="148"/>
    </row>
    <row r="69" spans="3:50">
      <c r="C69" s="144"/>
      <c r="D69" s="267"/>
      <c r="E69" s="268"/>
      <c r="F69" s="146"/>
      <c r="G69" s="144"/>
      <c r="H69" s="267"/>
      <c r="I69" s="268"/>
      <c r="J69" s="148"/>
      <c r="K69" s="144"/>
      <c r="L69" s="267"/>
      <c r="M69" s="268"/>
      <c r="N69" s="148"/>
      <c r="O69" s="144"/>
      <c r="P69" s="267"/>
      <c r="Q69" s="268"/>
      <c r="R69" s="148"/>
      <c r="S69" s="144"/>
      <c r="T69" s="277"/>
      <c r="U69" s="278"/>
      <c r="V69" s="148"/>
      <c r="W69" s="144"/>
      <c r="X69" s="277"/>
      <c r="Y69" s="278"/>
      <c r="Z69" s="148"/>
      <c r="AA69" s="144"/>
      <c r="AB69" s="277"/>
      <c r="AC69" s="278"/>
      <c r="AD69" s="148"/>
      <c r="AE69" s="144"/>
      <c r="AF69" s="277"/>
      <c r="AG69" s="278"/>
      <c r="AH69" s="148"/>
      <c r="AI69" s="144"/>
      <c r="AJ69" s="277"/>
      <c r="AK69" s="278"/>
      <c r="AL69" s="148"/>
      <c r="AM69" s="144"/>
      <c r="AN69" s="277"/>
      <c r="AO69" s="278"/>
      <c r="AP69" s="148"/>
      <c r="AQ69" s="144"/>
      <c r="AR69" s="267"/>
      <c r="AS69" s="268"/>
      <c r="AT69" s="148"/>
      <c r="AU69" s="144"/>
      <c r="AV69" s="267"/>
      <c r="AW69" s="268"/>
      <c r="AX69" s="148"/>
    </row>
    <row r="70" spans="3:50">
      <c r="C70" s="144"/>
      <c r="D70" s="267"/>
      <c r="E70" s="268"/>
      <c r="F70" s="146"/>
      <c r="G70" s="144"/>
      <c r="H70" s="267"/>
      <c r="I70" s="268"/>
      <c r="J70" s="148"/>
      <c r="K70" s="144"/>
      <c r="L70" s="267"/>
      <c r="M70" s="268"/>
      <c r="N70" s="148"/>
      <c r="O70" s="144"/>
      <c r="P70" s="267"/>
      <c r="Q70" s="268"/>
      <c r="R70" s="148"/>
      <c r="S70" s="144"/>
      <c r="T70" s="277"/>
      <c r="U70" s="278"/>
      <c r="V70" s="148"/>
      <c r="W70" s="144"/>
      <c r="X70" s="267" t="s">
        <v>431</v>
      </c>
      <c r="Y70" s="268"/>
      <c r="Z70" s="148">
        <f>3289.11+270.87</f>
        <v>3559.98</v>
      </c>
      <c r="AA70" s="144"/>
      <c r="AB70" s="277"/>
      <c r="AC70" s="278"/>
      <c r="AD70" s="148"/>
      <c r="AE70" s="144"/>
      <c r="AF70" s="277"/>
      <c r="AG70" s="278"/>
      <c r="AH70" s="148"/>
      <c r="AI70" s="144"/>
      <c r="AJ70" s="277"/>
      <c r="AK70" s="278"/>
      <c r="AL70" s="148"/>
      <c r="AM70" s="144"/>
      <c r="AN70" s="277"/>
      <c r="AO70" s="278"/>
      <c r="AP70" s="148"/>
      <c r="AQ70" s="144"/>
      <c r="AR70" s="267"/>
      <c r="AS70" s="268"/>
      <c r="AT70" s="148"/>
      <c r="AU70" s="144"/>
      <c r="AV70" s="267"/>
      <c r="AW70" s="268"/>
      <c r="AX70" s="148"/>
    </row>
    <row r="71" spans="3:50" ht="15.75" thickBot="1">
      <c r="C71" s="145"/>
      <c r="D71" s="265"/>
      <c r="E71" s="266"/>
      <c r="F71" s="147"/>
      <c r="G71" s="145"/>
      <c r="H71" s="265"/>
      <c r="I71" s="266"/>
      <c r="J71" s="149"/>
      <c r="K71" s="145"/>
      <c r="L71" s="265"/>
      <c r="M71" s="266"/>
      <c r="N71" s="149"/>
      <c r="O71" s="145"/>
      <c r="P71" s="265"/>
      <c r="Q71" s="266"/>
      <c r="R71" s="149"/>
      <c r="S71" s="145"/>
      <c r="T71" s="279"/>
      <c r="U71" s="280"/>
      <c r="V71" s="149"/>
      <c r="W71" s="145"/>
      <c r="X71" s="281" t="s">
        <v>432</v>
      </c>
      <c r="Y71" s="282"/>
      <c r="Z71" s="149">
        <f>Z70-1484.91-429.89</f>
        <v>1645.1799999999998</v>
      </c>
      <c r="AA71" s="145"/>
      <c r="AB71" s="279"/>
      <c r="AC71" s="280"/>
      <c r="AD71" s="149">
        <f>550-161.56</f>
        <v>388.44</v>
      </c>
      <c r="AE71" s="145"/>
      <c r="AF71" s="279"/>
      <c r="AG71" s="280"/>
      <c r="AH71" s="149"/>
      <c r="AI71" s="145"/>
      <c r="AJ71" s="279"/>
      <c r="AK71" s="280"/>
      <c r="AL71" s="149"/>
      <c r="AM71" s="145"/>
      <c r="AN71" s="279"/>
      <c r="AO71" s="280"/>
      <c r="AP71" s="149"/>
      <c r="AQ71" s="145"/>
      <c r="AR71" s="265"/>
      <c r="AS71" s="266"/>
      <c r="AT71" s="149"/>
      <c r="AU71" s="145"/>
      <c r="AV71" s="265"/>
      <c r="AW71" s="266"/>
      <c r="AX71" s="149"/>
    </row>
    <row r="72" spans="3:50">
      <c r="Z72">
        <f>Z71/Z70</f>
        <v>0.46213180972926809</v>
      </c>
    </row>
    <row r="75" spans="3:50">
      <c r="Z75" s="162"/>
    </row>
  </sheetData>
  <mergeCells count="408">
    <mergeCell ref="AV70:AW70"/>
    <mergeCell ref="AV71:AW71"/>
    <mergeCell ref="AV61:AW61"/>
    <mergeCell ref="AV62:AW62"/>
    <mergeCell ref="AV63:AW63"/>
    <mergeCell ref="AV64:AW64"/>
    <mergeCell ref="AV65:AW65"/>
    <mergeCell ref="AV66:AW66"/>
    <mergeCell ref="AV67:AW67"/>
    <mergeCell ref="AV68:AW68"/>
    <mergeCell ref="AV69:AW69"/>
    <mergeCell ref="AU52:AX52"/>
    <mergeCell ref="AV53:AW53"/>
    <mergeCell ref="AV54:AW54"/>
    <mergeCell ref="AV55:AW55"/>
    <mergeCell ref="AV56:AW56"/>
    <mergeCell ref="AV57:AW57"/>
    <mergeCell ref="AV58:AW58"/>
    <mergeCell ref="AV59:AW59"/>
    <mergeCell ref="AV60:AW60"/>
    <mergeCell ref="AN70:AO70"/>
    <mergeCell ref="AN71:AO71"/>
    <mergeCell ref="AQ52:AT52"/>
    <mergeCell ref="AR53:AS53"/>
    <mergeCell ref="AR54:AS54"/>
    <mergeCell ref="AR55:AS55"/>
    <mergeCell ref="AR56:AS56"/>
    <mergeCell ref="AR57:AS57"/>
    <mergeCell ref="AR58:AS58"/>
    <mergeCell ref="AR59:AS59"/>
    <mergeCell ref="AR60:AS60"/>
    <mergeCell ref="AR61:AS61"/>
    <mergeCell ref="AR62:AS62"/>
    <mergeCell ref="AR63:AS63"/>
    <mergeCell ref="AR64:AS64"/>
    <mergeCell ref="AR65:AS65"/>
    <mergeCell ref="AR66:AS66"/>
    <mergeCell ref="AR67:AS67"/>
    <mergeCell ref="AR68:AS68"/>
    <mergeCell ref="AR69:AS69"/>
    <mergeCell ref="AR70:AS70"/>
    <mergeCell ref="AR71:AS71"/>
    <mergeCell ref="AN61:AO61"/>
    <mergeCell ref="AN62:AO62"/>
    <mergeCell ref="AN63:AO63"/>
    <mergeCell ref="AN64:AO64"/>
    <mergeCell ref="AN65:AO65"/>
    <mergeCell ref="AN66:AO66"/>
    <mergeCell ref="AN67:AO67"/>
    <mergeCell ref="AN68:AO68"/>
    <mergeCell ref="AN69:AO69"/>
    <mergeCell ref="AM52:AP52"/>
    <mergeCell ref="AN53:AO53"/>
    <mergeCell ref="AN54:AO54"/>
    <mergeCell ref="AN55:AO55"/>
    <mergeCell ref="AN56:AO56"/>
    <mergeCell ref="AN57:AO57"/>
    <mergeCell ref="AN58:AO58"/>
    <mergeCell ref="AN59:AO59"/>
    <mergeCell ref="AN60:AO60"/>
    <mergeCell ref="AF70:AG70"/>
    <mergeCell ref="AF71:AG71"/>
    <mergeCell ref="AI52:AL52"/>
    <mergeCell ref="AJ53:AK53"/>
    <mergeCell ref="AJ54:AK54"/>
    <mergeCell ref="AJ55:AK55"/>
    <mergeCell ref="AJ56:AK56"/>
    <mergeCell ref="AJ57:AK57"/>
    <mergeCell ref="AJ58:AK58"/>
    <mergeCell ref="AJ59:AK59"/>
    <mergeCell ref="AJ60:AK60"/>
    <mergeCell ref="AJ61:AK61"/>
    <mergeCell ref="AJ62:AK62"/>
    <mergeCell ref="AJ63:AK63"/>
    <mergeCell ref="AJ64:AK64"/>
    <mergeCell ref="AJ65:AK65"/>
    <mergeCell ref="AJ66:AK66"/>
    <mergeCell ref="AJ67:AK67"/>
    <mergeCell ref="AJ68:AK68"/>
    <mergeCell ref="AJ69:AK69"/>
    <mergeCell ref="AJ70:AK70"/>
    <mergeCell ref="AJ71:AK71"/>
    <mergeCell ref="AF61:AG61"/>
    <mergeCell ref="AF62:AG62"/>
    <mergeCell ref="AF63:AG63"/>
    <mergeCell ref="AF64:AG64"/>
    <mergeCell ref="AF65:AG65"/>
    <mergeCell ref="AF66:AG66"/>
    <mergeCell ref="AF67:AG67"/>
    <mergeCell ref="AF68:AG68"/>
    <mergeCell ref="AF69:AG69"/>
    <mergeCell ref="AE52:AH52"/>
    <mergeCell ref="AF53:AG53"/>
    <mergeCell ref="AF54:AG54"/>
    <mergeCell ref="AF55:AG55"/>
    <mergeCell ref="AF56:AG56"/>
    <mergeCell ref="AF57:AG57"/>
    <mergeCell ref="AF58:AG58"/>
    <mergeCell ref="AF59:AG59"/>
    <mergeCell ref="AF60:AG60"/>
    <mergeCell ref="X70:Y70"/>
    <mergeCell ref="X71:Y71"/>
    <mergeCell ref="AA52:AD52"/>
    <mergeCell ref="AB53:AC53"/>
    <mergeCell ref="AB54:AC54"/>
    <mergeCell ref="AB55:AC55"/>
    <mergeCell ref="AB56:AC56"/>
    <mergeCell ref="AB57:AC57"/>
    <mergeCell ref="AB58:AC58"/>
    <mergeCell ref="AB59:AC59"/>
    <mergeCell ref="AB60:AC60"/>
    <mergeCell ref="AB61:AC61"/>
    <mergeCell ref="AB62:AC62"/>
    <mergeCell ref="AB63:AC63"/>
    <mergeCell ref="AB64:AC64"/>
    <mergeCell ref="AB65:AC65"/>
    <mergeCell ref="AB66:AC66"/>
    <mergeCell ref="AB67:AC67"/>
    <mergeCell ref="AB68:AC68"/>
    <mergeCell ref="AB69:AC69"/>
    <mergeCell ref="AB70:AC70"/>
    <mergeCell ref="AB71:AC71"/>
    <mergeCell ref="X61:Y61"/>
    <mergeCell ref="X62:Y62"/>
    <mergeCell ref="X63:Y63"/>
    <mergeCell ref="X64:Y64"/>
    <mergeCell ref="X65:Y65"/>
    <mergeCell ref="X66:Y66"/>
    <mergeCell ref="X67:Y67"/>
    <mergeCell ref="X68:Y68"/>
    <mergeCell ref="X69:Y69"/>
    <mergeCell ref="W52:Z52"/>
    <mergeCell ref="X53:Y53"/>
    <mergeCell ref="X54:Y54"/>
    <mergeCell ref="X55:Y55"/>
    <mergeCell ref="X56:Y56"/>
    <mergeCell ref="X57:Y57"/>
    <mergeCell ref="X58:Y58"/>
    <mergeCell ref="X59:Y59"/>
    <mergeCell ref="X60:Y60"/>
    <mergeCell ref="P70:Q70"/>
    <mergeCell ref="P71:Q71"/>
    <mergeCell ref="S52:V52"/>
    <mergeCell ref="T53:U53"/>
    <mergeCell ref="T54:U54"/>
    <mergeCell ref="T55:U55"/>
    <mergeCell ref="T56:U56"/>
    <mergeCell ref="T57:U57"/>
    <mergeCell ref="T58:U58"/>
    <mergeCell ref="T59:U59"/>
    <mergeCell ref="T60:U60"/>
    <mergeCell ref="T61:U61"/>
    <mergeCell ref="T62:U62"/>
    <mergeCell ref="T63:U63"/>
    <mergeCell ref="T64:U64"/>
    <mergeCell ref="T65:U65"/>
    <mergeCell ref="T66:U66"/>
    <mergeCell ref="T67:U67"/>
    <mergeCell ref="T68:U68"/>
    <mergeCell ref="T69:U69"/>
    <mergeCell ref="T70:U70"/>
    <mergeCell ref="T71:U71"/>
    <mergeCell ref="P61:Q61"/>
    <mergeCell ref="P62:Q62"/>
    <mergeCell ref="P63:Q63"/>
    <mergeCell ref="P64:Q64"/>
    <mergeCell ref="P65:Q65"/>
    <mergeCell ref="P66:Q66"/>
    <mergeCell ref="P67:Q67"/>
    <mergeCell ref="P68:Q68"/>
    <mergeCell ref="P69:Q69"/>
    <mergeCell ref="O52:R52"/>
    <mergeCell ref="P53:Q53"/>
    <mergeCell ref="P54:Q54"/>
    <mergeCell ref="P55:Q55"/>
    <mergeCell ref="P56:Q56"/>
    <mergeCell ref="P57:Q57"/>
    <mergeCell ref="P58:Q58"/>
    <mergeCell ref="P59:Q59"/>
    <mergeCell ref="P60:Q60"/>
    <mergeCell ref="H70:I70"/>
    <mergeCell ref="H71:I71"/>
    <mergeCell ref="K52:N52"/>
    <mergeCell ref="L53:M53"/>
    <mergeCell ref="L54:M54"/>
    <mergeCell ref="L55:M55"/>
    <mergeCell ref="L56:M56"/>
    <mergeCell ref="L57:M57"/>
    <mergeCell ref="L58:M58"/>
    <mergeCell ref="L59:M59"/>
    <mergeCell ref="L60:M60"/>
    <mergeCell ref="L61:M61"/>
    <mergeCell ref="L62:M62"/>
    <mergeCell ref="L63:M63"/>
    <mergeCell ref="L64:M64"/>
    <mergeCell ref="L65:M65"/>
    <mergeCell ref="L66:M66"/>
    <mergeCell ref="L67:M67"/>
    <mergeCell ref="L68:M68"/>
    <mergeCell ref="L69:M69"/>
    <mergeCell ref="L70:M70"/>
    <mergeCell ref="L71:M71"/>
    <mergeCell ref="H61:I61"/>
    <mergeCell ref="H62:I62"/>
    <mergeCell ref="H63:I63"/>
    <mergeCell ref="H64:I64"/>
    <mergeCell ref="H65:I65"/>
    <mergeCell ref="H66:I66"/>
    <mergeCell ref="H67:I67"/>
    <mergeCell ref="H68:I68"/>
    <mergeCell ref="H69:I69"/>
    <mergeCell ref="G52:J52"/>
    <mergeCell ref="H53:I53"/>
    <mergeCell ref="H54:I54"/>
    <mergeCell ref="H55:I55"/>
    <mergeCell ref="H56:I56"/>
    <mergeCell ref="H57:I57"/>
    <mergeCell ref="H58:I58"/>
    <mergeCell ref="H59:I59"/>
    <mergeCell ref="H60:I60"/>
    <mergeCell ref="C52:F52"/>
    <mergeCell ref="D53:E53"/>
    <mergeCell ref="D54:E54"/>
    <mergeCell ref="D71:E71"/>
    <mergeCell ref="D70:E70"/>
    <mergeCell ref="D55:E55"/>
    <mergeCell ref="D56:E56"/>
    <mergeCell ref="D57:E57"/>
    <mergeCell ref="D58:E58"/>
    <mergeCell ref="D59:E59"/>
    <mergeCell ref="D60:E60"/>
    <mergeCell ref="D61:E61"/>
    <mergeCell ref="D62:E62"/>
    <mergeCell ref="D63:E63"/>
    <mergeCell ref="D64:E64"/>
    <mergeCell ref="D65:E65"/>
    <mergeCell ref="D66:E66"/>
    <mergeCell ref="D67:E67"/>
    <mergeCell ref="D68:E68"/>
    <mergeCell ref="D69:E69"/>
    <mergeCell ref="AI17:AL17"/>
    <mergeCell ref="AM17:AP17"/>
    <mergeCell ref="AQ17:AT17"/>
    <mergeCell ref="AU17:AX17"/>
    <mergeCell ref="O18:R18"/>
    <mergeCell ref="K18:N18"/>
    <mergeCell ref="G18:J18"/>
    <mergeCell ref="C18:F18"/>
    <mergeCell ref="C17:F17"/>
    <mergeCell ref="G17:J17"/>
    <mergeCell ref="K17:N17"/>
    <mergeCell ref="O17:R17"/>
    <mergeCell ref="S17:V17"/>
    <mergeCell ref="AI18:AL18"/>
    <mergeCell ref="AE18:AH18"/>
    <mergeCell ref="AA18:AD18"/>
    <mergeCell ref="W18:Z18"/>
    <mergeCell ref="S18:V18"/>
    <mergeCell ref="AM18:AP18"/>
    <mergeCell ref="W17:Z17"/>
    <mergeCell ref="AA17:AD17"/>
    <mergeCell ref="AU18:AX18"/>
    <mergeCell ref="AQ18:AT18"/>
    <mergeCell ref="C16:F16"/>
    <mergeCell ref="G16:J16"/>
    <mergeCell ref="K16:N16"/>
    <mergeCell ref="O16:R16"/>
    <mergeCell ref="S16:V16"/>
    <mergeCell ref="W16:Z16"/>
    <mergeCell ref="AA16:AD16"/>
    <mergeCell ref="AE16:AH16"/>
    <mergeCell ref="AE17:AH17"/>
    <mergeCell ref="AU15:AX15"/>
    <mergeCell ref="AI16:AL16"/>
    <mergeCell ref="AM16:AP16"/>
    <mergeCell ref="AQ16:AT16"/>
    <mergeCell ref="AU16:AX16"/>
    <mergeCell ref="AI12:AL12"/>
    <mergeCell ref="AM12:AP12"/>
    <mergeCell ref="AQ12:AT12"/>
    <mergeCell ref="AU12:AX12"/>
    <mergeCell ref="AI13:AL13"/>
    <mergeCell ref="AM13:AP13"/>
    <mergeCell ref="AQ13:AT13"/>
    <mergeCell ref="AU13:AX13"/>
    <mergeCell ref="AI14:AL14"/>
    <mergeCell ref="AM14:AP14"/>
    <mergeCell ref="AQ14:AT14"/>
    <mergeCell ref="AU14:AX14"/>
    <mergeCell ref="AI15:AL15"/>
    <mergeCell ref="AM15:AP15"/>
    <mergeCell ref="AQ15:AT15"/>
    <mergeCell ref="AM9:AP9"/>
    <mergeCell ref="AQ9:AT9"/>
    <mergeCell ref="AU9:AX9"/>
    <mergeCell ref="AI10:AL10"/>
    <mergeCell ref="AM10:AP10"/>
    <mergeCell ref="AQ10:AT10"/>
    <mergeCell ref="AU10:AX10"/>
    <mergeCell ref="AI11:AL11"/>
    <mergeCell ref="AM11:AP11"/>
    <mergeCell ref="AQ11:AT11"/>
    <mergeCell ref="AU11:AX11"/>
    <mergeCell ref="AM4:AP4"/>
    <mergeCell ref="AQ4:AT4"/>
    <mergeCell ref="AU4:AX4"/>
    <mergeCell ref="AI7:AL7"/>
    <mergeCell ref="AM7:AP7"/>
    <mergeCell ref="AQ7:AT7"/>
    <mergeCell ref="AU7:AX7"/>
    <mergeCell ref="AI8:AL8"/>
    <mergeCell ref="AM8:AP8"/>
    <mergeCell ref="AQ8:AT8"/>
    <mergeCell ref="AU8:AX8"/>
    <mergeCell ref="AU5:AX5"/>
    <mergeCell ref="AI5:AL5"/>
    <mergeCell ref="AM5:AP5"/>
    <mergeCell ref="AQ5:AT5"/>
    <mergeCell ref="S14:V14"/>
    <mergeCell ref="W14:Z14"/>
    <mergeCell ref="AA14:AD14"/>
    <mergeCell ref="AE14:AH14"/>
    <mergeCell ref="S12:V12"/>
    <mergeCell ref="W12:Z12"/>
    <mergeCell ref="AA12:AD12"/>
    <mergeCell ref="AE12:AH12"/>
    <mergeCell ref="AI4:AL4"/>
    <mergeCell ref="AI9:AL9"/>
    <mergeCell ref="S4:V4"/>
    <mergeCell ref="W4:Z4"/>
    <mergeCell ref="AA4:AD4"/>
    <mergeCell ref="AE4:AH4"/>
    <mergeCell ref="S7:V7"/>
    <mergeCell ref="W7:Z7"/>
    <mergeCell ref="AA7:AD7"/>
    <mergeCell ref="AE7:AH7"/>
    <mergeCell ref="S8:V8"/>
    <mergeCell ref="W8:Z8"/>
    <mergeCell ref="AA8:AD8"/>
    <mergeCell ref="AE8:AH8"/>
    <mergeCell ref="S5:V5"/>
    <mergeCell ref="W5:Z5"/>
    <mergeCell ref="AA5:AD5"/>
    <mergeCell ref="AE5:AH5"/>
    <mergeCell ref="K4:N4"/>
    <mergeCell ref="O4:R4"/>
    <mergeCell ref="K7:N7"/>
    <mergeCell ref="K8:N8"/>
    <mergeCell ref="K9:N9"/>
    <mergeCell ref="K10:N10"/>
    <mergeCell ref="K11:N11"/>
    <mergeCell ref="K5:N5"/>
    <mergeCell ref="O5:R5"/>
    <mergeCell ref="K12:N12"/>
    <mergeCell ref="K13:N13"/>
    <mergeCell ref="O7:R7"/>
    <mergeCell ref="O8:R8"/>
    <mergeCell ref="O9:R9"/>
    <mergeCell ref="O10:R10"/>
    <mergeCell ref="O11:R11"/>
    <mergeCell ref="O12:R12"/>
    <mergeCell ref="O13:R13"/>
    <mergeCell ref="G4:J4"/>
    <mergeCell ref="C4:F4"/>
    <mergeCell ref="C9:F9"/>
    <mergeCell ref="C10:F10"/>
    <mergeCell ref="C11:F11"/>
    <mergeCell ref="C12:F12"/>
    <mergeCell ref="C13:F13"/>
    <mergeCell ref="C14:F14"/>
    <mergeCell ref="C15:F15"/>
    <mergeCell ref="G10:J10"/>
    <mergeCell ref="G11:J11"/>
    <mergeCell ref="G12:J12"/>
    <mergeCell ref="G13:J13"/>
    <mergeCell ref="G14:J14"/>
    <mergeCell ref="G15:J15"/>
    <mergeCell ref="G5:J5"/>
    <mergeCell ref="G7:J7"/>
    <mergeCell ref="G8:J8"/>
    <mergeCell ref="C8:F8"/>
    <mergeCell ref="C7:F7"/>
    <mergeCell ref="C5:F5"/>
    <mergeCell ref="G9:J9"/>
    <mergeCell ref="K14:N14"/>
    <mergeCell ref="K15:N15"/>
    <mergeCell ref="S9:V9"/>
    <mergeCell ref="W9:Z9"/>
    <mergeCell ref="AA9:AD9"/>
    <mergeCell ref="AE9:AH9"/>
    <mergeCell ref="S10:V10"/>
    <mergeCell ref="W10:Z10"/>
    <mergeCell ref="AA10:AD10"/>
    <mergeCell ref="AE10:AH10"/>
    <mergeCell ref="S11:V11"/>
    <mergeCell ref="O14:R14"/>
    <mergeCell ref="O15:R15"/>
    <mergeCell ref="S15:V15"/>
    <mergeCell ref="W15:Z15"/>
    <mergeCell ref="AA15:AD15"/>
    <mergeCell ref="AE15:AH15"/>
    <mergeCell ref="W11:Z11"/>
    <mergeCell ref="AA11:AD11"/>
    <mergeCell ref="AE11:AH11"/>
    <mergeCell ref="S13:V13"/>
    <mergeCell ref="W13:Z13"/>
    <mergeCell ref="AA13:AD13"/>
    <mergeCell ref="AE13:AH13"/>
  </mergeCells>
  <hyperlinks>
    <hyperlink ref="C20" location="'01'!B2:G20" display="ENERO" xr:uid="{00000000-0004-0000-0000-000000000000}"/>
    <hyperlink ref="C21" location="'01'!B22:G40" display="ENERO" xr:uid="{00000000-0004-0000-0000-000001000000}"/>
    <hyperlink ref="C22" location="'01'!B42:G60" display="ENERO" xr:uid="{00000000-0004-0000-0000-000002000000}"/>
    <hyperlink ref="C25" location="'01'!B102:G120" display="ENERO" xr:uid="{00000000-0004-0000-0000-000003000000}"/>
    <hyperlink ref="C27" location="'01'!B142:G160" display="ENERO" xr:uid="{00000000-0004-0000-0000-000004000000}"/>
    <hyperlink ref="C29" location="'01'!B182:G200" display="ENERO" xr:uid="{00000000-0004-0000-0000-000005000000}"/>
    <hyperlink ref="C31" location="'01'!B222:G240" display="ENERO" xr:uid="{00000000-0004-0000-0000-000006000000}"/>
    <hyperlink ref="C33" location="'01'!B262:G280" display="ENERO" xr:uid="{00000000-0004-0000-0000-000007000000}"/>
    <hyperlink ref="C35" location="'01'!B302:G320" display="ENERO" xr:uid="{00000000-0004-0000-0000-000008000000}"/>
    <hyperlink ref="C37" location="'01'!B342:G360" display="ENERO" xr:uid="{00000000-0004-0000-0000-000009000000}"/>
    <hyperlink ref="C39" location="'01'!B382:G400" display="ENERO" xr:uid="{00000000-0004-0000-0000-00000A000000}"/>
    <hyperlink ref="C41" location="'01'!B422:G440" display="ENERO" xr:uid="{00000000-0004-0000-0000-00000B000000}"/>
    <hyperlink ref="C43" location="'01'!B462:G480" display="ENERO" xr:uid="{00000000-0004-0000-0000-00000C000000}"/>
    <hyperlink ref="C26" location="'01'!B122:G140" display="ENERO" xr:uid="{00000000-0004-0000-0000-00000D000000}"/>
    <hyperlink ref="C30" location="'01'!B202:G220" display="ENERO" xr:uid="{00000000-0004-0000-0000-00000E000000}"/>
    <hyperlink ref="C32" location="'01'!B242:G260" display="ENERO" xr:uid="{00000000-0004-0000-0000-00000F000000}"/>
    <hyperlink ref="C34" location="'01'!B282:G300" display="ENERO" xr:uid="{00000000-0004-0000-0000-000010000000}"/>
    <hyperlink ref="C38" location="'01'!B362:G380" display="ENERO" xr:uid="{00000000-0004-0000-0000-000011000000}"/>
    <hyperlink ref="C40" location="'01'!B402:G420" display="ENERO" xr:uid="{00000000-0004-0000-0000-000012000000}"/>
    <hyperlink ref="C42" location="'01'!B442:G460" display="ENERO" xr:uid="{00000000-0004-0000-0000-000013000000}"/>
    <hyperlink ref="C36" location="'01'!B322:G340" display="ENERO" xr:uid="{00000000-0004-0000-0000-000014000000}"/>
    <hyperlink ref="C28" location="'01'!B162:G180" display="ENERO" xr:uid="{00000000-0004-0000-0000-000015000000}"/>
    <hyperlink ref="C45" location="'01'!B502:G520" display="ENERO" xr:uid="{00000000-0004-0000-0000-000016000000}"/>
    <hyperlink ref="C44" location="'01'!B482:G500" display="ENERO" xr:uid="{00000000-0004-0000-0000-000017000000}"/>
    <hyperlink ref="C4:F4" location="'01'!I2:L19" display="ENERO" xr:uid="{00000000-0004-0000-0000-000018000000}"/>
    <hyperlink ref="C23" location="'01'!B62:G80" display="ENERO" xr:uid="{00000000-0004-0000-0000-000019000000}"/>
    <hyperlink ref="C24" location="'01'!B82:G100" display="ENERO" xr:uid="{00000000-0004-0000-0000-00001A000000}"/>
    <hyperlink ref="G4:J4" location="'02'!I2:L19" display="FEBRERO" xr:uid="{00000000-0004-0000-0000-00001B000000}"/>
    <hyperlink ref="K4:N4" location="'03'!I2:L19" display="MARZO" xr:uid="{00000000-0004-0000-0000-00001C000000}"/>
    <hyperlink ref="W4:Z4" location="'06'!I2:L19" display="JUNIO" xr:uid="{00000000-0004-0000-0000-00001D000000}"/>
    <hyperlink ref="G24" location="'02'!B82:G100" display="ENERO" xr:uid="{00000000-0004-0000-0000-00001E000000}"/>
    <hyperlink ref="G23" location="'02'!B62:G80" display="ENERO" xr:uid="{00000000-0004-0000-0000-00001F000000}"/>
    <hyperlink ref="G44" location="'02'!B482:G500" display="ENERO" xr:uid="{00000000-0004-0000-0000-000020000000}"/>
    <hyperlink ref="G45" location="'02'!B502:G520" display="ENERO" xr:uid="{00000000-0004-0000-0000-000021000000}"/>
    <hyperlink ref="G28" location="'02'!B162:G180" display="ENERO" xr:uid="{00000000-0004-0000-0000-000022000000}"/>
    <hyperlink ref="G36" location="'02'!B322:G340" display="ENERO" xr:uid="{00000000-0004-0000-0000-000023000000}"/>
    <hyperlink ref="G42" location="'02'!B442:G460" display="ENERO" xr:uid="{00000000-0004-0000-0000-000024000000}"/>
    <hyperlink ref="G40" location="'02'!B402:G420" display="ENERO" xr:uid="{00000000-0004-0000-0000-000025000000}"/>
    <hyperlink ref="G38" location="'02'!B362:G380" display="ENERO" xr:uid="{00000000-0004-0000-0000-000026000000}"/>
    <hyperlink ref="G34" location="'02'!B282:G300" display="ENERO" xr:uid="{00000000-0004-0000-0000-000027000000}"/>
    <hyperlink ref="G32" location="'02'!B242:G260" display="ENERO" xr:uid="{00000000-0004-0000-0000-000028000000}"/>
    <hyperlink ref="G30" location="'02'!B202:G220" display="ENERO" xr:uid="{00000000-0004-0000-0000-000029000000}"/>
    <hyperlink ref="G26" location="'02'!B122:G140" display="ENERO" xr:uid="{00000000-0004-0000-0000-00002A000000}"/>
    <hyperlink ref="G43" location="'02'!B462:G480" display="ENERO" xr:uid="{00000000-0004-0000-0000-00002B000000}"/>
    <hyperlink ref="G41" location="'02'!B422:G440" display="ENERO" xr:uid="{00000000-0004-0000-0000-00002C000000}"/>
    <hyperlink ref="G39" location="'02'!B382:G400" display="ENERO" xr:uid="{00000000-0004-0000-0000-00002D000000}"/>
    <hyperlink ref="G37" location="'02'!B342:G360" display="ENERO" xr:uid="{00000000-0004-0000-0000-00002E000000}"/>
    <hyperlink ref="G35" location="'02'!B302:G320" display="ENERO" xr:uid="{00000000-0004-0000-0000-00002F000000}"/>
    <hyperlink ref="G33" location="'02'!B262:G280" display="ENERO" xr:uid="{00000000-0004-0000-0000-000030000000}"/>
    <hyperlink ref="G31" location="'02'!B222:G240" display="ENERO" xr:uid="{00000000-0004-0000-0000-000031000000}"/>
    <hyperlink ref="G29" location="'02'!B182:G200" display="ENERO" xr:uid="{00000000-0004-0000-0000-000032000000}"/>
    <hyperlink ref="G27" location="'02'!B142:G160" display="ENERO" xr:uid="{00000000-0004-0000-0000-000033000000}"/>
    <hyperlink ref="G25" location="'02'!B102:G120" display="ENERO" xr:uid="{00000000-0004-0000-0000-000034000000}"/>
    <hyperlink ref="G20" location="'02'!B2:G20" display="FEBRERO" xr:uid="{00000000-0004-0000-0000-000035000000}"/>
    <hyperlink ref="G21" location="'02'!B22:G40" display="FEBRERO" xr:uid="{00000000-0004-0000-0000-000036000000}"/>
    <hyperlink ref="G22" location="'02'!B42:G60" display="ENERO" xr:uid="{00000000-0004-0000-0000-000037000000}"/>
    <hyperlink ref="K24" location="'03'!B82:G100" display="FEBRERO" xr:uid="{00000000-0004-0000-0000-000038000000}"/>
    <hyperlink ref="K23" location="'03'!B62:G80" display="FEBRERO" xr:uid="{00000000-0004-0000-0000-000039000000}"/>
    <hyperlink ref="K44" location="'03'!B482:G500" display="MARZO" xr:uid="{00000000-0004-0000-0000-00003A000000}"/>
    <hyperlink ref="K45" location="'03'!B502:G520" display="MARZO" xr:uid="{00000000-0004-0000-0000-00003B000000}"/>
    <hyperlink ref="K28" location="'03'!B162:G180" display="FEBRERO" xr:uid="{00000000-0004-0000-0000-00003C000000}"/>
    <hyperlink ref="K36" location="'03'!B322:G340" display="MARZO" xr:uid="{00000000-0004-0000-0000-00003D000000}"/>
    <hyperlink ref="K42" location="'03'!B442:G460" display="MARZO" xr:uid="{00000000-0004-0000-0000-00003E000000}"/>
    <hyperlink ref="K40" location="'03'!B402:G420" display="MARZO" xr:uid="{00000000-0004-0000-0000-00003F000000}"/>
    <hyperlink ref="K38" location="'03'!B362:G380" display="MARZO" xr:uid="{00000000-0004-0000-0000-000040000000}"/>
    <hyperlink ref="K34" location="'03'!B282:G300" display="MARZO" xr:uid="{00000000-0004-0000-0000-000041000000}"/>
    <hyperlink ref="K32" location="'03'!B242:G260" display="MARZO" xr:uid="{00000000-0004-0000-0000-000042000000}"/>
    <hyperlink ref="K30" location="'03'!B202:G220" display="MARZO" xr:uid="{00000000-0004-0000-0000-000043000000}"/>
    <hyperlink ref="K26" location="'03'!B122:G140" display="FEBRERO" xr:uid="{00000000-0004-0000-0000-000044000000}"/>
    <hyperlink ref="K43" location="'03'!B462:G480" display="MARZO" xr:uid="{00000000-0004-0000-0000-000045000000}"/>
    <hyperlink ref="K41" location="'03'!B422:G440" display="MARZO" xr:uid="{00000000-0004-0000-0000-000046000000}"/>
    <hyperlink ref="K39" location="'03'!B382:G400" display="MARZO" xr:uid="{00000000-0004-0000-0000-000047000000}"/>
    <hyperlink ref="K37" location="'03'!B342:G360" display="MARZO" xr:uid="{00000000-0004-0000-0000-000048000000}"/>
    <hyperlink ref="K35" location="'03'!B302:G320" display="MARZO" xr:uid="{00000000-0004-0000-0000-000049000000}"/>
    <hyperlink ref="K31" location="'03'!B222:G240" display="MARZO" xr:uid="{00000000-0004-0000-0000-00004A000000}"/>
    <hyperlink ref="K29" location="'03'!B182:G200" display="MARZO" xr:uid="{00000000-0004-0000-0000-00004B000000}"/>
    <hyperlink ref="K27" location="'03'!B142:G160" display="FEBRERO" xr:uid="{00000000-0004-0000-0000-00004C000000}"/>
    <hyperlink ref="K25" location="'03'!B102:G120" display="FEBRERO" xr:uid="{00000000-0004-0000-0000-00004D000000}"/>
    <hyperlink ref="K20" location="'03'!B2:G20" display="FEBRERO" xr:uid="{00000000-0004-0000-0000-00004E000000}"/>
    <hyperlink ref="K21" location="'03'!B22:G40" display="FEBRERO" xr:uid="{00000000-0004-0000-0000-00004F000000}"/>
    <hyperlink ref="K22" location="'03'!B42:G60" display="FEBRERO" xr:uid="{00000000-0004-0000-0000-000050000000}"/>
    <hyperlink ref="K33" location="'03'!B262:G280" display="MARZO" xr:uid="{00000000-0004-0000-0000-000051000000}"/>
    <hyperlink ref="O24" location="'04'!B82:G100" display="MARZO" xr:uid="{00000000-0004-0000-0000-000052000000}"/>
    <hyperlink ref="O23" location="'04'!B62:G80" display="MARZO" xr:uid="{00000000-0004-0000-0000-000053000000}"/>
    <hyperlink ref="O44" location="'04'!B482:G500" display="MARZO" xr:uid="{00000000-0004-0000-0000-000054000000}"/>
    <hyperlink ref="O45" location="'04'!B502:G520" display="MARZO" xr:uid="{00000000-0004-0000-0000-000055000000}"/>
    <hyperlink ref="O28" location="'04'!B162:G180" display="MARZO" xr:uid="{00000000-0004-0000-0000-000056000000}"/>
    <hyperlink ref="O36" location="'04'!B322:G340" display="MARZO" xr:uid="{00000000-0004-0000-0000-000057000000}"/>
    <hyperlink ref="O42" location="'04'!B442:G460" display="MARZO" xr:uid="{00000000-0004-0000-0000-000058000000}"/>
    <hyperlink ref="O40" location="'04'!B402:G420" display="MARZO" xr:uid="{00000000-0004-0000-0000-000059000000}"/>
    <hyperlink ref="O38" location="'04'!B362:G380" display="MARZO" xr:uid="{00000000-0004-0000-0000-00005A000000}"/>
    <hyperlink ref="O34" location="'04'!B282:G300" display="MARZO" xr:uid="{00000000-0004-0000-0000-00005B000000}"/>
    <hyperlink ref="O32" location="'04'!B242:G260" display="MARZO" xr:uid="{00000000-0004-0000-0000-00005C000000}"/>
    <hyperlink ref="O30" location="'04'!B202:G220" display="MARZO" xr:uid="{00000000-0004-0000-0000-00005D000000}"/>
    <hyperlink ref="O26" location="'04'!B122:G140" display="MARZO" xr:uid="{00000000-0004-0000-0000-00005E000000}"/>
    <hyperlink ref="O43" location="'04'!B462:G480" display="MARZO" xr:uid="{00000000-0004-0000-0000-00005F000000}"/>
    <hyperlink ref="O41" location="'04'!B422:G440" display="MARZO" xr:uid="{00000000-0004-0000-0000-000060000000}"/>
    <hyperlink ref="O39" location="'04'!B382:G400" display="MARZO" xr:uid="{00000000-0004-0000-0000-000061000000}"/>
    <hyperlink ref="O37" location="'04'!B342:G360" display="MARZO" xr:uid="{00000000-0004-0000-0000-000062000000}"/>
    <hyperlink ref="O35" location="'04'!B302:G320" display="MARZO" xr:uid="{00000000-0004-0000-0000-000063000000}"/>
    <hyperlink ref="O31" location="'04'!B222:G240" display="MARZO" xr:uid="{00000000-0004-0000-0000-000064000000}"/>
    <hyperlink ref="O29" location="'04'!B182:G200" display="MARZO" xr:uid="{00000000-0004-0000-0000-000065000000}"/>
    <hyperlink ref="O27" location="'04'!B142:G160" display="MARZO" xr:uid="{00000000-0004-0000-0000-000066000000}"/>
    <hyperlink ref="O25" location="'04'!B102:G120" display="MARZO" xr:uid="{00000000-0004-0000-0000-000067000000}"/>
    <hyperlink ref="O20" location="'04'!B2:G20" display="MARZO" xr:uid="{00000000-0004-0000-0000-000068000000}"/>
    <hyperlink ref="O21" location="'04'!B22:G40" display="MARZO" xr:uid="{00000000-0004-0000-0000-000069000000}"/>
    <hyperlink ref="O22" location="'04'!B42:G60" display="MARZO" xr:uid="{00000000-0004-0000-0000-00006A000000}"/>
    <hyperlink ref="O33" location="'04'!B262:G280" display="MARZO" xr:uid="{00000000-0004-0000-0000-00006B000000}"/>
    <hyperlink ref="O4:R4" location="'04'!I2:L19" display="MARZO" xr:uid="{00000000-0004-0000-0000-00006C000000}"/>
    <hyperlink ref="S24" location="'05'!B82:G100" display="ABRIL" xr:uid="{00000000-0004-0000-0000-00006D000000}"/>
    <hyperlink ref="S23" location="'05'!B62:G80" display="ABRIL" xr:uid="{00000000-0004-0000-0000-00006E000000}"/>
    <hyperlink ref="S44" location="'05'!B482:G500" display="ABRIL" xr:uid="{00000000-0004-0000-0000-00006F000000}"/>
    <hyperlink ref="S45" location="'05'!B502:G520" display="ABRIL" xr:uid="{00000000-0004-0000-0000-000070000000}"/>
    <hyperlink ref="S28" location="'05'!B162:G180" display="ABRIL" xr:uid="{00000000-0004-0000-0000-000071000000}"/>
    <hyperlink ref="S36" location="'05'!B322:G340" display="ABRIL" xr:uid="{00000000-0004-0000-0000-000072000000}"/>
    <hyperlink ref="S42" location="'05'!B442:G460" display="ABRIL" xr:uid="{00000000-0004-0000-0000-000073000000}"/>
    <hyperlink ref="S40" location="'05'!B402:G420" display="ABRIL" xr:uid="{00000000-0004-0000-0000-000074000000}"/>
    <hyperlink ref="S38" location="'05'!B362:G380" display="ABRIL" xr:uid="{00000000-0004-0000-0000-000075000000}"/>
    <hyperlink ref="S34" location="'05'!B282:G300" display="ABRIL" xr:uid="{00000000-0004-0000-0000-000076000000}"/>
    <hyperlink ref="S32" location="'05'!B242:G260" display="ABRIL" xr:uid="{00000000-0004-0000-0000-000077000000}"/>
    <hyperlink ref="S30" location="'05'!B202:G220" display="ABRIL" xr:uid="{00000000-0004-0000-0000-000078000000}"/>
    <hyperlink ref="S26" location="'05'!B122:G140" display="ABRIL" xr:uid="{00000000-0004-0000-0000-000079000000}"/>
    <hyperlink ref="S43" location="'05'!B462:G480" display="ABRIL" xr:uid="{00000000-0004-0000-0000-00007A000000}"/>
    <hyperlink ref="S41" location="'05'!B422:G440" display="ABRIL" xr:uid="{00000000-0004-0000-0000-00007B000000}"/>
    <hyperlink ref="S39" location="'05'!B382:G400" display="ABRIL" xr:uid="{00000000-0004-0000-0000-00007C000000}"/>
    <hyperlink ref="S37" location="'05'!B342:G360" display="ABRIL" xr:uid="{00000000-0004-0000-0000-00007D000000}"/>
    <hyperlink ref="S35" location="'05'!B302:G320" display="ABRIL" xr:uid="{00000000-0004-0000-0000-00007E000000}"/>
    <hyperlink ref="S31" location="'05'!B222:G240" display="ABRIL" xr:uid="{00000000-0004-0000-0000-00007F000000}"/>
    <hyperlink ref="S29" location="'05'!B182:G200" display="ABRIL" xr:uid="{00000000-0004-0000-0000-000080000000}"/>
    <hyperlink ref="S27" location="'05'!B142:G160" display="ABRIL" xr:uid="{00000000-0004-0000-0000-000081000000}"/>
    <hyperlink ref="S25" location="'05'!B102:G120" display="ABRIL" xr:uid="{00000000-0004-0000-0000-000082000000}"/>
    <hyperlink ref="S20" location="'05'!B2:G20" display="ABRIL" xr:uid="{00000000-0004-0000-0000-000083000000}"/>
    <hyperlink ref="S21" location="'05'!B22:G40" display="ABRIL" xr:uid="{00000000-0004-0000-0000-000084000000}"/>
    <hyperlink ref="S22" location="'05'!B42:G60" display="ABRIL" xr:uid="{00000000-0004-0000-0000-000085000000}"/>
    <hyperlink ref="S33" location="'05'!B262:G280" display="ABRIL" xr:uid="{00000000-0004-0000-0000-000086000000}"/>
    <hyperlink ref="S4:V4" location="'05'!I2:L19" display="ABRIL" xr:uid="{00000000-0004-0000-0000-000087000000}"/>
    <hyperlink ref="AA24" location="'07'!B82:G100" display="JULIO" xr:uid="{00000000-0004-0000-0000-000088000000}"/>
    <hyperlink ref="AA23" location="'07'!B62:G80" display="JULIO" xr:uid="{00000000-0004-0000-0000-000089000000}"/>
    <hyperlink ref="AA44" location="'07'!B482:G500" display="JULIO" xr:uid="{00000000-0004-0000-0000-00008A000000}"/>
    <hyperlink ref="AA45" location="'07'!B502:G520" display="JULIO" xr:uid="{00000000-0004-0000-0000-00008B000000}"/>
    <hyperlink ref="AA28" location="'07'!B162:G180" display="JULIO" xr:uid="{00000000-0004-0000-0000-00008C000000}"/>
    <hyperlink ref="AA36" location="'07'!B322:G340" display="JULIO" xr:uid="{00000000-0004-0000-0000-00008D000000}"/>
    <hyperlink ref="AA42" location="'07'!B442:G460" display="JULIO" xr:uid="{00000000-0004-0000-0000-00008E000000}"/>
    <hyperlink ref="AA40" location="'07'!B402:G420" display="JULIO" xr:uid="{00000000-0004-0000-0000-00008F000000}"/>
    <hyperlink ref="AA38" location="'07'!B362:G380" display="JULIO" xr:uid="{00000000-0004-0000-0000-000090000000}"/>
    <hyperlink ref="AA34" location="'07'!B282:G300" display="JULIO" xr:uid="{00000000-0004-0000-0000-000091000000}"/>
    <hyperlink ref="AA32" location="'07'!B242:G260" display="JULIO" xr:uid="{00000000-0004-0000-0000-000092000000}"/>
    <hyperlink ref="AA30" location="'07'!B202:G220" display="JULIO" xr:uid="{00000000-0004-0000-0000-000093000000}"/>
    <hyperlink ref="AA26" location="'07'!B122:G140" display="JULIO" xr:uid="{00000000-0004-0000-0000-000094000000}"/>
    <hyperlink ref="AA43" location="'07'!B462:G480" display="JULIO" xr:uid="{00000000-0004-0000-0000-000095000000}"/>
    <hyperlink ref="AA41" location="'07'!B422:G440" display="JULIO" xr:uid="{00000000-0004-0000-0000-000096000000}"/>
    <hyperlink ref="AA39" location="'07'!B382:G400" display="JULIO" xr:uid="{00000000-0004-0000-0000-000097000000}"/>
    <hyperlink ref="AA37" location="'07'!B342:G360" display="JULIO" xr:uid="{00000000-0004-0000-0000-000098000000}"/>
    <hyperlink ref="AA35" location="'07'!B302:G320" display="JULIO" xr:uid="{00000000-0004-0000-0000-000099000000}"/>
    <hyperlink ref="AA31" location="'07'!B222:G240" display="JULIO" xr:uid="{00000000-0004-0000-0000-00009A000000}"/>
    <hyperlink ref="AA29" location="'07'!B182:G200" display="JULIO" xr:uid="{00000000-0004-0000-0000-00009B000000}"/>
    <hyperlink ref="AA27" location="'07'!B142:G160" display="JULIO" xr:uid="{00000000-0004-0000-0000-00009C000000}"/>
    <hyperlink ref="AA25" location="'07'!B102:G120" display="JULIO" xr:uid="{00000000-0004-0000-0000-00009D000000}"/>
    <hyperlink ref="AA20" location="'07'!B2:G20" display="JULIO" xr:uid="{00000000-0004-0000-0000-00009E000000}"/>
    <hyperlink ref="AA21" location="'07'!B22:G40" display="JULIO" xr:uid="{00000000-0004-0000-0000-00009F000000}"/>
    <hyperlink ref="AA22" location="'07'!B42:G60" display="JULIO" xr:uid="{00000000-0004-0000-0000-0000A0000000}"/>
    <hyperlink ref="AA33" location="'07'!B262:G280" display="JULIO" xr:uid="{00000000-0004-0000-0000-0000A1000000}"/>
    <hyperlink ref="AA4:AD4" location="'07'!I2:L19" display="JULIO" xr:uid="{00000000-0004-0000-0000-0000A2000000}"/>
    <hyperlink ref="AE24" location="'08'!B82:G100" display="AGOSTO" xr:uid="{00000000-0004-0000-0000-0000A3000000}"/>
    <hyperlink ref="AE23" location="'08'!B62:G80" display="AGOSTO" xr:uid="{00000000-0004-0000-0000-0000A4000000}"/>
    <hyperlink ref="AE44" location="'08'!B482:G500" display="AGOSTO" xr:uid="{00000000-0004-0000-0000-0000A5000000}"/>
    <hyperlink ref="AE45" location="'08'!B502:G520" display="AGOSTO" xr:uid="{00000000-0004-0000-0000-0000A6000000}"/>
    <hyperlink ref="AE28" location="'08'!B162:G180" display="AGOSTO" xr:uid="{00000000-0004-0000-0000-0000A7000000}"/>
    <hyperlink ref="AE36" location="'08'!B322:G340" display="AGOSTO" xr:uid="{00000000-0004-0000-0000-0000A8000000}"/>
    <hyperlink ref="AE42" location="'08'!B442:G460" display="AGOSTO" xr:uid="{00000000-0004-0000-0000-0000A9000000}"/>
    <hyperlink ref="AE40" location="'08'!B402:G420" display="AGOSTO" xr:uid="{00000000-0004-0000-0000-0000AA000000}"/>
    <hyperlink ref="AE38" location="'08'!B362:G380" display="AGOSTO" xr:uid="{00000000-0004-0000-0000-0000AB000000}"/>
    <hyperlink ref="AE34" location="'08'!B282:G300" display="AGOSTO" xr:uid="{00000000-0004-0000-0000-0000AC000000}"/>
    <hyperlink ref="AE32" location="'08'!B242:G260" display="AGOSTO" xr:uid="{00000000-0004-0000-0000-0000AD000000}"/>
    <hyperlink ref="AE30" location="'08'!B202:G220" display="AGOSTO" xr:uid="{00000000-0004-0000-0000-0000AE000000}"/>
    <hyperlink ref="AE26" location="'08'!B122:G140" display="AGOSTO" xr:uid="{00000000-0004-0000-0000-0000AF000000}"/>
    <hyperlink ref="AE43" location="'08'!B462:G480" display="AGOSTO" xr:uid="{00000000-0004-0000-0000-0000B0000000}"/>
    <hyperlink ref="AE41" location="'08'!B422:G440" display="AGOSTO" xr:uid="{00000000-0004-0000-0000-0000B1000000}"/>
    <hyperlink ref="AE39" location="'08'!B382:G400" display="AGOSTO" xr:uid="{00000000-0004-0000-0000-0000B2000000}"/>
    <hyperlink ref="AE37" location="'08'!B342:G360" display="AGOSTO" xr:uid="{00000000-0004-0000-0000-0000B3000000}"/>
    <hyperlink ref="AE35" location="'08'!B302:G320" display="AGOSTO" xr:uid="{00000000-0004-0000-0000-0000B4000000}"/>
    <hyperlink ref="AE31" location="'08'!B222:G240" display="AGOSTO" xr:uid="{00000000-0004-0000-0000-0000B5000000}"/>
    <hyperlink ref="AE29" location="'08'!B182:G200" display="AGOSTO" xr:uid="{00000000-0004-0000-0000-0000B6000000}"/>
    <hyperlink ref="AE27" location="'08'!B142:G160" display="AGOSTO" xr:uid="{00000000-0004-0000-0000-0000B7000000}"/>
    <hyperlink ref="AE25" location="'08'!B102:G120" display="AGOSTO" xr:uid="{00000000-0004-0000-0000-0000B8000000}"/>
    <hyperlink ref="AE20" location="'08'!B2:G20" display="AGOSTO" xr:uid="{00000000-0004-0000-0000-0000B9000000}"/>
    <hyperlink ref="AE21" location="'08'!B22:G40" display="AGOSTO" xr:uid="{00000000-0004-0000-0000-0000BA000000}"/>
    <hyperlink ref="AE22" location="'08'!B42:G60" display="AGOSTO" xr:uid="{00000000-0004-0000-0000-0000BB000000}"/>
    <hyperlink ref="AE33" location="'08'!B262:G280" display="AGOSTO" xr:uid="{00000000-0004-0000-0000-0000BC000000}"/>
    <hyperlink ref="AE4:AH4" location="'08'!I2:L19" display="AGOSTO" xr:uid="{00000000-0004-0000-0000-0000BD000000}"/>
    <hyperlink ref="AI24" location="'09'!B82:G100" display="SEPT…" xr:uid="{00000000-0004-0000-0000-0000BE000000}"/>
    <hyperlink ref="AI23" location="'09'!B62:G80" display="SEPT…" xr:uid="{00000000-0004-0000-0000-0000BF000000}"/>
    <hyperlink ref="AI44" location="'09'!B482:G500" display="SEPT…" xr:uid="{00000000-0004-0000-0000-0000C0000000}"/>
    <hyperlink ref="AI45" location="'09'!B502:G520" display="SEPT…" xr:uid="{00000000-0004-0000-0000-0000C1000000}"/>
    <hyperlink ref="AI28" location="'09'!B162:G180" display="SEPT…" xr:uid="{00000000-0004-0000-0000-0000C2000000}"/>
    <hyperlink ref="AI36" location="'09'!B322:G340" display="SEPT…" xr:uid="{00000000-0004-0000-0000-0000C3000000}"/>
    <hyperlink ref="AI42" location="'09'!B442:G460" display="SEPT…" xr:uid="{00000000-0004-0000-0000-0000C4000000}"/>
    <hyperlink ref="AI40" location="'09'!B402:G420" display="SEPT…" xr:uid="{00000000-0004-0000-0000-0000C5000000}"/>
    <hyperlink ref="AI38" location="'09'!B362:G380" display="SEPT…" xr:uid="{00000000-0004-0000-0000-0000C6000000}"/>
    <hyperlink ref="AI34" location="'09'!B282:G300" display="SEPT…" xr:uid="{00000000-0004-0000-0000-0000C7000000}"/>
    <hyperlink ref="AI32" location="'09'!B242:G260" display="SEPT…" xr:uid="{00000000-0004-0000-0000-0000C8000000}"/>
    <hyperlink ref="AI30" location="'09'!B202:G220" display="SEPT…" xr:uid="{00000000-0004-0000-0000-0000C9000000}"/>
    <hyperlink ref="AI26" location="'09'!B122:G140" display="SEPT…" xr:uid="{00000000-0004-0000-0000-0000CA000000}"/>
    <hyperlink ref="AI43" location="'09'!B462:G480" display="SEPT…" xr:uid="{00000000-0004-0000-0000-0000CB000000}"/>
    <hyperlink ref="AI41" location="'09'!B422:G440" display="SEPT…" xr:uid="{00000000-0004-0000-0000-0000CC000000}"/>
    <hyperlink ref="AI39" location="'09'!B382:G400" display="SEPT…" xr:uid="{00000000-0004-0000-0000-0000CD000000}"/>
    <hyperlink ref="AI37" location="'09'!B342:G360" display="SEPT…" xr:uid="{00000000-0004-0000-0000-0000CE000000}"/>
    <hyperlink ref="AI35" location="'09'!B302:G320" display="SEPT…" xr:uid="{00000000-0004-0000-0000-0000CF000000}"/>
    <hyperlink ref="AI31" location="'09'!B222:G240" display="SEPT…" xr:uid="{00000000-0004-0000-0000-0000D0000000}"/>
    <hyperlink ref="AI29" location="'09'!B182:G200" display="SEPT…" xr:uid="{00000000-0004-0000-0000-0000D1000000}"/>
    <hyperlink ref="AI27" location="'09'!B142:G160" display="SEPT…" xr:uid="{00000000-0004-0000-0000-0000D2000000}"/>
    <hyperlink ref="AI25" location="'09'!B102:G120" display="SEPT…" xr:uid="{00000000-0004-0000-0000-0000D3000000}"/>
    <hyperlink ref="AI20" location="'09'!B2:G20" display="SEPT…" xr:uid="{00000000-0004-0000-0000-0000D4000000}"/>
    <hyperlink ref="AI21" location="'09'!B22:G40" display="SEPT…" xr:uid="{00000000-0004-0000-0000-0000D5000000}"/>
    <hyperlink ref="AI22" location="'09'!B42:G60" display="SEPT…" xr:uid="{00000000-0004-0000-0000-0000D6000000}"/>
    <hyperlink ref="AI33" location="'09'!B262:G280" display="SEPT…" xr:uid="{00000000-0004-0000-0000-0000D7000000}"/>
    <hyperlink ref="AI4:AL4" location="'09'!I2:L19" display="SEPTIEMBRE" xr:uid="{00000000-0004-0000-0000-0000D8000000}"/>
    <hyperlink ref="AM24" location="'10'!B82:G100" display="OCTUBRE" xr:uid="{00000000-0004-0000-0000-0000D9000000}"/>
    <hyperlink ref="AM23" location="'10'!B62:G80" display="OCTUBRE" xr:uid="{00000000-0004-0000-0000-0000DA000000}"/>
    <hyperlink ref="AM44" location="'10'!B482:G500" display="OCTUBRE" xr:uid="{00000000-0004-0000-0000-0000DB000000}"/>
    <hyperlink ref="AM45" location="'10'!B502:G520" display="OCTUBRE" xr:uid="{00000000-0004-0000-0000-0000DC000000}"/>
    <hyperlink ref="AM28" location="'10'!B162:G180" display="OCTUBRE" xr:uid="{00000000-0004-0000-0000-0000DD000000}"/>
    <hyperlink ref="AM36" location="'10'!B322:G340" display="OCTUBRE" xr:uid="{00000000-0004-0000-0000-0000DE000000}"/>
    <hyperlink ref="AM42" location="'10'!B442:G460" display="OCTUBRE" xr:uid="{00000000-0004-0000-0000-0000DF000000}"/>
    <hyperlink ref="AM40" location="'10'!B402:G420" display="OCTUBRE" xr:uid="{00000000-0004-0000-0000-0000E0000000}"/>
    <hyperlink ref="AM38" location="'10'!B362:G380" display="OCTUBRE" xr:uid="{00000000-0004-0000-0000-0000E1000000}"/>
    <hyperlink ref="AM34" location="'10'!B282:G300" display="OCTUBRE" xr:uid="{00000000-0004-0000-0000-0000E2000000}"/>
    <hyperlink ref="AM32" location="'10'!B242:G260" display="OCTUBRE" xr:uid="{00000000-0004-0000-0000-0000E3000000}"/>
    <hyperlink ref="AM30" location="'10'!B202:G220" display="OCTUBRE" xr:uid="{00000000-0004-0000-0000-0000E4000000}"/>
    <hyperlink ref="AM26" location="'10'!B122:G140" display="OCTUBRE" xr:uid="{00000000-0004-0000-0000-0000E5000000}"/>
    <hyperlink ref="AM43" location="'10'!B462:G480" display="OCTUBRE" xr:uid="{00000000-0004-0000-0000-0000E6000000}"/>
    <hyperlink ref="AM41" location="'10'!B422:G440" display="OCTUBRE" xr:uid="{00000000-0004-0000-0000-0000E7000000}"/>
    <hyperlink ref="AM39" location="'10'!B382:G400" display="OCTUBRE" xr:uid="{00000000-0004-0000-0000-0000E8000000}"/>
    <hyperlink ref="AM37" location="'10'!B342:G360" display="OCTUBRE" xr:uid="{00000000-0004-0000-0000-0000E9000000}"/>
    <hyperlink ref="AM35" location="'10'!B302:G320" display="OCTUBRE" xr:uid="{00000000-0004-0000-0000-0000EA000000}"/>
    <hyperlink ref="AM31" location="'10'!B222:G240" display="OCTUBRE" xr:uid="{00000000-0004-0000-0000-0000EB000000}"/>
    <hyperlink ref="AM29" location="'10'!B182:G200" display="OCTUBRE" xr:uid="{00000000-0004-0000-0000-0000EC000000}"/>
    <hyperlink ref="AM27" location="'10'!B142:G160" display="OCTUBRE" xr:uid="{00000000-0004-0000-0000-0000ED000000}"/>
    <hyperlink ref="AM25" location="'10'!B102:G120" display="OCTUBRE" xr:uid="{00000000-0004-0000-0000-0000EE000000}"/>
    <hyperlink ref="AM20" location="'10'!B2:G20" display="OCTUBRE" xr:uid="{00000000-0004-0000-0000-0000EF000000}"/>
    <hyperlink ref="AM21" location="'10'!B22:G40" display="OCTUBRE" xr:uid="{00000000-0004-0000-0000-0000F0000000}"/>
    <hyperlink ref="AM22" location="'10'!B42:G60" display="OCTUBRE" xr:uid="{00000000-0004-0000-0000-0000F1000000}"/>
    <hyperlink ref="AM33" location="'10'!B262:G280" display="OCTUBRE" xr:uid="{00000000-0004-0000-0000-0000F2000000}"/>
    <hyperlink ref="AM4:AP4" location="'10'!I2:L19" display="OCTUBRE" xr:uid="{00000000-0004-0000-0000-0000F3000000}"/>
    <hyperlink ref="AQ20" location="'11'!B2:G20" display="NOV…" xr:uid="{00000000-0004-0000-0000-0000F4000000}"/>
    <hyperlink ref="AQ4:AT4" location="'11'!I2:L19" display="NOVIEMBRE" xr:uid="{00000000-0004-0000-0000-0000F5000000}"/>
    <hyperlink ref="W24" location="'06'!B82:G100" display="JUNIO" xr:uid="{00000000-0004-0000-0000-0000F6000000}"/>
    <hyperlink ref="W23" location="'06'!B62:G80" display="JUNIO" xr:uid="{00000000-0004-0000-0000-0000F7000000}"/>
    <hyperlink ref="W44" location="'06'!B482:G500" display="JUNIO" xr:uid="{00000000-0004-0000-0000-0000F8000000}"/>
    <hyperlink ref="W45" location="'06'!B502:G520" display="JUNIO" xr:uid="{00000000-0004-0000-0000-0000F9000000}"/>
    <hyperlink ref="W28" location="'06'!B162:G180" display="JUNIO" xr:uid="{00000000-0004-0000-0000-0000FA000000}"/>
    <hyperlink ref="W36" location="'06'!B322:G340" display="JUNIO" xr:uid="{00000000-0004-0000-0000-0000FB000000}"/>
    <hyperlink ref="W42" location="'06'!B442:G460" display="JUNIO" xr:uid="{00000000-0004-0000-0000-0000FC000000}"/>
    <hyperlink ref="W40" location="'06'!B402:G420" display="JUNIO" xr:uid="{00000000-0004-0000-0000-0000FD000000}"/>
    <hyperlink ref="W38" location="'06'!B362:G380" display="JUNIO" xr:uid="{00000000-0004-0000-0000-0000FE000000}"/>
    <hyperlink ref="W34" location="'06'!B282:G300" display="JUNIO" xr:uid="{00000000-0004-0000-0000-0000FF000000}"/>
    <hyperlink ref="W32" location="'06'!B242:G260" display="JUNIO" xr:uid="{00000000-0004-0000-0000-000000010000}"/>
    <hyperlink ref="W30" location="'06'!B202:G220" display="JUNIO" xr:uid="{00000000-0004-0000-0000-000001010000}"/>
    <hyperlink ref="W26" location="'06'!B122:G140" display="JUNIO" xr:uid="{00000000-0004-0000-0000-000002010000}"/>
    <hyperlink ref="W43" location="'06'!B462:G480" display="JUNIO" xr:uid="{00000000-0004-0000-0000-000003010000}"/>
    <hyperlink ref="W41" location="'06'!B422:G440" display="JUNIO" xr:uid="{00000000-0004-0000-0000-000004010000}"/>
    <hyperlink ref="W39" location="'06'!B382:G400" display="JUNIO" xr:uid="{00000000-0004-0000-0000-000005010000}"/>
    <hyperlink ref="W37" location="'06'!B342:G360" display="JUNIO" xr:uid="{00000000-0004-0000-0000-000006010000}"/>
    <hyperlink ref="W35" location="'06'!B302:G320" display="JUNIO" xr:uid="{00000000-0004-0000-0000-000007010000}"/>
    <hyperlink ref="W31" location="'06'!B222:G240" display="JUNIO" xr:uid="{00000000-0004-0000-0000-000008010000}"/>
    <hyperlink ref="W29" location="'06'!B182:G200" display="JUNIO" xr:uid="{00000000-0004-0000-0000-000009010000}"/>
    <hyperlink ref="W27" location="'06'!B142:G160" display="JUNIO" xr:uid="{00000000-0004-0000-0000-00000A010000}"/>
    <hyperlink ref="W25" location="'06'!B102:G120" display="JUNIO" xr:uid="{00000000-0004-0000-0000-00000B010000}"/>
    <hyperlink ref="W20" location="'06'!B2:G20" display="JUNIO" xr:uid="{00000000-0004-0000-0000-00000C010000}"/>
    <hyperlink ref="W21" location="'06'!B22:G40" display="JUNIO" xr:uid="{00000000-0004-0000-0000-00000D010000}"/>
    <hyperlink ref="W22" location="'06'!B42:G60" display="JUNIO" xr:uid="{00000000-0004-0000-0000-00000E010000}"/>
    <hyperlink ref="W33" location="'06'!B262:G280" display="JUNIO" xr:uid="{00000000-0004-0000-0000-00000F010000}"/>
    <hyperlink ref="AQ21" location="'11'!A1" display="NOV…" xr:uid="{00000000-0004-0000-0000-000010010000}"/>
    <hyperlink ref="AQ24" location="'11'!B82:G100" display="NOV…" xr:uid="{00000000-0004-0000-0000-000011010000}"/>
    <hyperlink ref="AQ23" location="'11'!B62:G80" display="NOV…" xr:uid="{00000000-0004-0000-0000-000012010000}"/>
    <hyperlink ref="AQ44" location="'11'!B482:G500" display="NOV…" xr:uid="{00000000-0004-0000-0000-000013010000}"/>
    <hyperlink ref="AQ45" location="'11'!B502:G520" display="NOV…" xr:uid="{00000000-0004-0000-0000-000014010000}"/>
    <hyperlink ref="AQ28" location="'11'!B162:G180" display="NOV…" xr:uid="{00000000-0004-0000-0000-000015010000}"/>
    <hyperlink ref="AQ36" location="'11'!B322:G340" display="NOV…" xr:uid="{00000000-0004-0000-0000-000016010000}"/>
    <hyperlink ref="AQ42" location="'11'!B442:G460" display="NOV…" xr:uid="{00000000-0004-0000-0000-000017010000}"/>
    <hyperlink ref="AQ40" location="'11'!B402:G420" display="NOV…" xr:uid="{00000000-0004-0000-0000-000018010000}"/>
    <hyperlink ref="AQ38" location="'11'!B362:G380" display="NOV…" xr:uid="{00000000-0004-0000-0000-000019010000}"/>
    <hyperlink ref="AQ34" location="'11'!B282:G300" display="NOV…" xr:uid="{00000000-0004-0000-0000-00001A010000}"/>
    <hyperlink ref="AQ32" location="'11'!B242:G260" display="NOV…" xr:uid="{00000000-0004-0000-0000-00001B010000}"/>
    <hyperlink ref="AQ30" location="'11'!B202:G220" display="NOV…" xr:uid="{00000000-0004-0000-0000-00001C010000}"/>
    <hyperlink ref="AQ26" location="'11'!B122:G140" display="NOV…" xr:uid="{00000000-0004-0000-0000-00001D010000}"/>
    <hyperlink ref="AQ43" location="'11'!B462:G480" display="NOV…" xr:uid="{00000000-0004-0000-0000-00001E010000}"/>
    <hyperlink ref="AQ41" location="'11'!B422:G440" display="NOV…" xr:uid="{00000000-0004-0000-0000-00001F010000}"/>
    <hyperlink ref="AQ39" location="'11'!B382:G400" display="NOV…" xr:uid="{00000000-0004-0000-0000-000020010000}"/>
    <hyperlink ref="AQ37" location="'11'!B342:G360" display="NOV…" xr:uid="{00000000-0004-0000-0000-000021010000}"/>
    <hyperlink ref="AQ35" location="'11'!B302:G320" display="NOV…" xr:uid="{00000000-0004-0000-0000-000022010000}"/>
    <hyperlink ref="AQ31" location="'11'!B222:G240" display="NOV…" xr:uid="{00000000-0004-0000-0000-000023010000}"/>
    <hyperlink ref="AQ29" location="'11'!B182:G200" display="NOV…" xr:uid="{00000000-0004-0000-0000-000024010000}"/>
    <hyperlink ref="AQ27" location="'11'!B142:G160" display="NOV…" xr:uid="{00000000-0004-0000-0000-000025010000}"/>
    <hyperlink ref="AQ25" location="'11'!B102:G120" display="NOV…" xr:uid="{00000000-0004-0000-0000-000026010000}"/>
    <hyperlink ref="AQ22" location="'11'!B42:G60" display="NOV…" xr:uid="{00000000-0004-0000-0000-000027010000}"/>
    <hyperlink ref="AQ33" location="'11'!B262:G280" display="NOV…" xr:uid="{00000000-0004-0000-0000-000028010000}"/>
    <hyperlink ref="AU24" location="'12'!B82:G100" display="DICIEMBRE" xr:uid="{00000000-0004-0000-0000-000029010000}"/>
    <hyperlink ref="AU23" location="'12'!B62:G80" display="DICIEMBRE" xr:uid="{00000000-0004-0000-0000-00002A010000}"/>
    <hyperlink ref="AU44" location="'12'!B482:G500" display="DICIEMBRE" xr:uid="{00000000-0004-0000-0000-00002B010000}"/>
    <hyperlink ref="AU45" location="'12'!B502:G520" display="DICIEMBRE" xr:uid="{00000000-0004-0000-0000-00002C010000}"/>
    <hyperlink ref="AU28" location="'12'!B162:G180" display="DICIEMBRE" xr:uid="{00000000-0004-0000-0000-00002D010000}"/>
    <hyperlink ref="AU36" location="'12'!B322:G340" display="DICIEMBRE" xr:uid="{00000000-0004-0000-0000-00002E010000}"/>
    <hyperlink ref="AU42" location="'12'!B442:G460" display="DICIEMBRE" xr:uid="{00000000-0004-0000-0000-00002F010000}"/>
    <hyperlink ref="AU40" location="'12'!B402:G420" display="DICIEMBRE" xr:uid="{00000000-0004-0000-0000-000030010000}"/>
    <hyperlink ref="AU38" location="'12'!B362:G380" display="DICIEMBRE" xr:uid="{00000000-0004-0000-0000-000031010000}"/>
    <hyperlink ref="AU34" location="'12'!B282:G300" display="DICIEMBRE" xr:uid="{00000000-0004-0000-0000-000032010000}"/>
    <hyperlink ref="AU32" location="'12'!B242:G260" display="DICIEMBRE" xr:uid="{00000000-0004-0000-0000-000033010000}"/>
    <hyperlink ref="AU30" location="'12'!B202:G220" display="DICIEMBRE" xr:uid="{00000000-0004-0000-0000-000034010000}"/>
    <hyperlink ref="AU26" location="'12'!B122:G140" display="DICIEMBRE" xr:uid="{00000000-0004-0000-0000-000035010000}"/>
    <hyperlink ref="AU43" location="'12'!B462:G480" display="DICIEMBRE" xr:uid="{00000000-0004-0000-0000-000036010000}"/>
    <hyperlink ref="AU41" location="'12'!B422:G440" display="DICIEMBRE" xr:uid="{00000000-0004-0000-0000-000037010000}"/>
    <hyperlink ref="AU39" location="'12'!B382:G400" display="DICIEMBRE" xr:uid="{00000000-0004-0000-0000-000038010000}"/>
    <hyperlink ref="AU37" location="'12'!B342:G360" display="DICIEMBRE" xr:uid="{00000000-0004-0000-0000-000039010000}"/>
    <hyperlink ref="AU35" location="'12'!B302:G320" display="DICIEMBRE" xr:uid="{00000000-0004-0000-0000-00003A010000}"/>
    <hyperlink ref="AU31" location="'12'!B222:G240" display="DICIEMBRE" xr:uid="{00000000-0004-0000-0000-00003B010000}"/>
    <hyperlink ref="AU29" location="'12'!B182:G200" display="DICIEMBRE" xr:uid="{00000000-0004-0000-0000-00003C010000}"/>
    <hyperlink ref="AU27" location="'12'!B142:G160" display="DICIEMBRE" xr:uid="{00000000-0004-0000-0000-00003D010000}"/>
    <hyperlink ref="AU25" location="'12'!B102:G120" display="DICIEMBRE" xr:uid="{00000000-0004-0000-0000-00003E010000}"/>
    <hyperlink ref="AU20" location="'12'!B2:G20" display="DICIEMBRE" xr:uid="{00000000-0004-0000-0000-00003F010000}"/>
    <hyperlink ref="AU21" location="'12'!B22:G40" display="DICIEMBRE" xr:uid="{00000000-0004-0000-0000-000040010000}"/>
    <hyperlink ref="AU22" location="'12'!B42:G60" display="DICIEMBRE" xr:uid="{00000000-0004-0000-0000-000041010000}"/>
    <hyperlink ref="AU33" location="'12'!B262:G280" display="DICIEMBRE" xr:uid="{00000000-0004-0000-0000-000042010000}"/>
    <hyperlink ref="AU4:AX4" location="'12'!I2:L19" display="DICIEMBRE" xr:uid="{00000000-0004-0000-0000-000043010000}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V520"/>
  <sheetViews>
    <sheetView topLeftCell="A316" workbookViewId="0">
      <selection activeCell="B322" sqref="B322:G323"/>
    </sheetView>
  </sheetViews>
  <sheetFormatPr defaultColWidth="11.42578125" defaultRowHeight="15"/>
  <cols>
    <col min="1" max="1" width="11.42578125" style="137"/>
    <col min="2" max="2" width="10" style="137" customWidth="1"/>
    <col min="3" max="3" width="33.28515625" style="137" customWidth="1"/>
    <col min="4" max="6" width="10" style="137" customWidth="1"/>
    <col min="7" max="7" width="33.28515625" style="137" customWidth="1"/>
    <col min="8" max="9" width="11.42578125" style="137"/>
    <col min="10" max="10" width="31.28515625" style="137" customWidth="1"/>
    <col min="11" max="16384" width="11.42578125" style="137"/>
  </cols>
  <sheetData>
    <row r="1" spans="1:22" ht="16.5" thickBot="1">
      <c r="A1" s="1"/>
      <c r="B1" s="1"/>
      <c r="C1" s="1"/>
      <c r="D1" s="1"/>
      <c r="E1" s="1"/>
      <c r="F1" s="1"/>
      <c r="G1" s="1"/>
      <c r="H1" s="30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89" t="str">
        <f>'2018'!A20</f>
        <v>Cártama Gastos</v>
      </c>
      <c r="C2" s="290"/>
      <c r="D2" s="290"/>
      <c r="E2" s="290"/>
      <c r="F2" s="290"/>
      <c r="G2" s="291"/>
      <c r="H2" s="1"/>
      <c r="I2" s="302" t="s">
        <v>4</v>
      </c>
      <c r="J2" s="290"/>
      <c r="K2" s="290"/>
      <c r="L2" s="291"/>
      <c r="M2" s="1"/>
      <c r="N2" s="1"/>
      <c r="R2" s="3"/>
    </row>
    <row r="3" spans="1:22" ht="16.5" thickBot="1">
      <c r="A3" s="1"/>
      <c r="B3" s="292"/>
      <c r="C3" s="293"/>
      <c r="D3" s="293"/>
      <c r="E3" s="293"/>
      <c r="F3" s="293"/>
      <c r="G3" s="294"/>
      <c r="H3" s="1"/>
      <c r="I3" s="292"/>
      <c r="J3" s="293"/>
      <c r="K3" s="293"/>
      <c r="L3" s="294"/>
      <c r="M3" s="1"/>
      <c r="N3" s="1"/>
      <c r="R3" s="3"/>
    </row>
    <row r="4" spans="1:22" ht="15.75">
      <c r="A4" s="1"/>
      <c r="B4" s="297" t="s">
        <v>10</v>
      </c>
      <c r="C4" s="296"/>
      <c r="D4" s="295" t="s">
        <v>11</v>
      </c>
      <c r="E4" s="295"/>
      <c r="F4" s="295"/>
      <c r="G4" s="296"/>
      <c r="H4" s="1"/>
      <c r="I4" s="88" t="s">
        <v>70</v>
      </c>
      <c r="J4" s="156" t="s">
        <v>71</v>
      </c>
      <c r="K4" s="303" t="s">
        <v>72</v>
      </c>
      <c r="L4" s="304"/>
      <c r="M4" s="1"/>
      <c r="N4" s="1"/>
      <c r="R4" s="3"/>
    </row>
    <row r="5" spans="1:22" ht="15.75">
      <c r="A5" s="1" t="s">
        <v>608</v>
      </c>
      <c r="B5" s="52" t="s">
        <v>32</v>
      </c>
      <c r="C5" s="60" t="s">
        <v>33</v>
      </c>
      <c r="D5" s="52" t="s">
        <v>68</v>
      </c>
      <c r="E5" s="53" t="s">
        <v>69</v>
      </c>
      <c r="F5" s="53" t="s">
        <v>32</v>
      </c>
      <c r="G5" s="60" t="s">
        <v>33</v>
      </c>
      <c r="H5" s="1"/>
      <c r="I5" s="157" t="s">
        <v>73</v>
      </c>
      <c r="J5" s="158" t="s">
        <v>74</v>
      </c>
      <c r="K5" s="305">
        <v>2037.62</v>
      </c>
      <c r="L5" s="306"/>
      <c r="M5" s="1"/>
      <c r="N5" s="1"/>
      <c r="R5" s="3"/>
    </row>
    <row r="6" spans="1:22" ht="15.75">
      <c r="A6" s="163">
        <f>'08'!A6+B6-E6</f>
        <v>6</v>
      </c>
      <c r="B6" s="54">
        <v>399</v>
      </c>
      <c r="C6" s="36" t="s">
        <v>311</v>
      </c>
      <c r="D6" s="57"/>
      <c r="E6" s="58">
        <f>398.31+398.31</f>
        <v>796.62</v>
      </c>
      <c r="F6" s="58"/>
      <c r="G6" s="33" t="s">
        <v>35</v>
      </c>
      <c r="H6" s="1"/>
      <c r="I6" s="159" t="s">
        <v>73</v>
      </c>
      <c r="J6" s="158" t="s">
        <v>75</v>
      </c>
      <c r="K6" s="298">
        <v>550</v>
      </c>
      <c r="L6" s="299"/>
      <c r="M6" s="1" t="s">
        <v>394</v>
      </c>
      <c r="N6" s="1"/>
      <c r="R6" s="3"/>
    </row>
    <row r="7" spans="1:22" ht="15.75">
      <c r="A7" s="163">
        <f>17.94+3+6.86</f>
        <v>27.8</v>
      </c>
      <c r="B7" s="55">
        <v>60</v>
      </c>
      <c r="C7" s="33" t="s">
        <v>325</v>
      </c>
      <c r="D7" s="57"/>
      <c r="E7" s="58"/>
      <c r="F7" s="58"/>
      <c r="G7" s="33" t="s">
        <v>106</v>
      </c>
      <c r="H7" s="82"/>
      <c r="I7" s="159" t="s">
        <v>76</v>
      </c>
      <c r="J7" s="158" t="s">
        <v>77</v>
      </c>
      <c r="K7" s="298">
        <v>6798.75</v>
      </c>
      <c r="L7" s="299"/>
      <c r="M7" s="1"/>
      <c r="N7" s="1"/>
      <c r="R7" s="3"/>
    </row>
    <row r="8" spans="1:22" ht="15.75">
      <c r="A8" s="163">
        <v>0</v>
      </c>
      <c r="B8" s="55">
        <v>108.71</v>
      </c>
      <c r="C8" s="33" t="s">
        <v>38</v>
      </c>
      <c r="D8" s="57"/>
      <c r="E8" s="58"/>
      <c r="F8" s="58"/>
      <c r="G8" s="33" t="s">
        <v>38</v>
      </c>
      <c r="H8" s="1"/>
      <c r="I8" s="159" t="s">
        <v>76</v>
      </c>
      <c r="J8" s="158" t="s">
        <v>78</v>
      </c>
      <c r="K8" s="298">
        <v>7000</v>
      </c>
      <c r="L8" s="299"/>
      <c r="M8" s="1"/>
      <c r="N8" s="1"/>
      <c r="R8" s="3"/>
    </row>
    <row r="9" spans="1:22" ht="15.75">
      <c r="A9" s="163">
        <f>'08'!A9+B9-E9</f>
        <v>-28.14</v>
      </c>
      <c r="B9" s="55">
        <v>0</v>
      </c>
      <c r="C9" s="33" t="s">
        <v>40</v>
      </c>
      <c r="D9" s="57"/>
      <c r="E9" s="58">
        <v>28.14</v>
      </c>
      <c r="F9" s="58"/>
      <c r="G9" s="33" t="s">
        <v>40</v>
      </c>
      <c r="H9" s="1"/>
      <c r="I9" s="159" t="s">
        <v>76</v>
      </c>
      <c r="J9" s="158" t="s">
        <v>267</v>
      </c>
      <c r="K9" s="298">
        <v>659.77</v>
      </c>
      <c r="L9" s="299"/>
      <c r="M9" s="1"/>
      <c r="N9" s="1"/>
      <c r="R9" s="3"/>
    </row>
    <row r="10" spans="1:22" ht="15.75">
      <c r="A10" s="163">
        <f>0</f>
        <v>0</v>
      </c>
      <c r="B10" s="55">
        <v>12</v>
      </c>
      <c r="C10" s="33" t="s">
        <v>39</v>
      </c>
      <c r="D10" s="57"/>
      <c r="E10" s="58">
        <v>12</v>
      </c>
      <c r="F10" s="58"/>
      <c r="G10" s="33" t="s">
        <v>39</v>
      </c>
      <c r="H10" s="1"/>
      <c r="I10" s="159" t="s">
        <v>76</v>
      </c>
      <c r="J10" s="158" t="s">
        <v>115</v>
      </c>
      <c r="K10" s="298">
        <v>1800.04</v>
      </c>
      <c r="L10" s="299"/>
      <c r="M10" s="1" t="s">
        <v>265</v>
      </c>
      <c r="N10" s="1"/>
      <c r="R10" s="3"/>
    </row>
    <row r="11" spans="1:22" ht="15.75">
      <c r="A11" s="163">
        <f>0</f>
        <v>0</v>
      </c>
      <c r="B11" s="55">
        <v>31</v>
      </c>
      <c r="C11" s="33" t="s">
        <v>37</v>
      </c>
      <c r="D11" s="57"/>
      <c r="E11" s="58">
        <v>30.23</v>
      </c>
      <c r="F11" s="58"/>
      <c r="G11" s="33" t="s">
        <v>37</v>
      </c>
      <c r="H11" s="1"/>
      <c r="I11" s="159" t="s">
        <v>93</v>
      </c>
      <c r="J11" s="158" t="s">
        <v>94</v>
      </c>
      <c r="K11" s="298">
        <f>400+185+90</f>
        <v>675</v>
      </c>
      <c r="L11" s="299"/>
      <c r="M11" s="1"/>
      <c r="N11" s="1"/>
      <c r="R11" s="3"/>
    </row>
    <row r="12" spans="1:22" ht="15.75">
      <c r="A12" s="163">
        <f>'08'!A14+B12-E12</f>
        <v>225</v>
      </c>
      <c r="B12" s="55">
        <v>25</v>
      </c>
      <c r="C12" s="33" t="s">
        <v>206</v>
      </c>
      <c r="D12" s="57"/>
      <c r="E12" s="58"/>
      <c r="F12" s="58"/>
      <c r="G12" s="33"/>
      <c r="H12" s="1"/>
      <c r="I12" s="159" t="s">
        <v>303</v>
      </c>
      <c r="J12" s="158" t="s">
        <v>304</v>
      </c>
      <c r="K12" s="298">
        <v>5092.08</v>
      </c>
      <c r="L12" s="299"/>
      <c r="M12" s="140"/>
      <c r="N12" s="1"/>
      <c r="R12" s="3"/>
    </row>
    <row r="13" spans="1:22" ht="15.75">
      <c r="A13" s="163">
        <f>'08'!A15+B13-E13</f>
        <v>42</v>
      </c>
      <c r="B13" s="55">
        <v>7</v>
      </c>
      <c r="C13" s="33" t="s">
        <v>352</v>
      </c>
      <c r="D13" s="57"/>
      <c r="E13" s="58"/>
      <c r="F13" s="58"/>
      <c r="G13" s="33"/>
      <c r="H13" s="1"/>
      <c r="I13" s="159"/>
      <c r="J13" s="158"/>
      <c r="K13" s="298"/>
      <c r="L13" s="299"/>
      <c r="M13" s="1"/>
      <c r="N13" s="1"/>
      <c r="R13" s="3"/>
    </row>
    <row r="14" spans="1:22" ht="15.75">
      <c r="A14" s="163"/>
      <c r="B14" s="55"/>
      <c r="C14" s="33"/>
      <c r="D14" s="57"/>
      <c r="E14" s="58"/>
      <c r="F14" s="58"/>
      <c r="G14" s="33"/>
      <c r="H14" s="1"/>
      <c r="I14" s="159"/>
      <c r="J14" s="158"/>
      <c r="K14" s="298"/>
      <c r="L14" s="299"/>
      <c r="M14" s="1"/>
      <c r="N14" s="1"/>
      <c r="R14" s="3"/>
    </row>
    <row r="15" spans="1:22" ht="15.75">
      <c r="A15" s="163"/>
      <c r="B15" s="55"/>
      <c r="C15" s="33"/>
      <c r="D15" s="57"/>
      <c r="E15" s="58"/>
      <c r="F15" s="58"/>
      <c r="G15" s="33"/>
      <c r="H15" s="1"/>
      <c r="I15" s="159"/>
      <c r="J15" s="158"/>
      <c r="K15" s="298"/>
      <c r="L15" s="299"/>
      <c r="M15" s="1"/>
      <c r="N15" s="1"/>
      <c r="R15" s="3"/>
    </row>
    <row r="16" spans="1:22" ht="15.75">
      <c r="A16" s="163"/>
      <c r="B16" s="55"/>
      <c r="C16" s="33"/>
      <c r="D16" s="57"/>
      <c r="E16" s="58"/>
      <c r="F16" s="58"/>
      <c r="G16" s="33"/>
      <c r="H16" s="1"/>
      <c r="I16" s="159"/>
      <c r="J16" s="158"/>
      <c r="K16" s="298"/>
      <c r="L16" s="299"/>
      <c r="M16" s="1"/>
      <c r="N16" s="1"/>
      <c r="R16" s="3"/>
    </row>
    <row r="17" spans="1:18" ht="15.75">
      <c r="A17" s="1"/>
      <c r="B17" s="55"/>
      <c r="C17" s="33"/>
      <c r="D17" s="57"/>
      <c r="E17" s="58"/>
      <c r="F17" s="58"/>
      <c r="G17" s="33"/>
      <c r="H17" s="1"/>
      <c r="I17" s="159"/>
      <c r="J17" s="158"/>
      <c r="K17" s="298"/>
      <c r="L17" s="299"/>
      <c r="M17" s="1"/>
      <c r="N17" s="1"/>
      <c r="R17" s="3"/>
    </row>
    <row r="18" spans="1:18" ht="16.5" thickBot="1">
      <c r="A18" s="1"/>
      <c r="B18" s="55"/>
      <c r="C18" s="33"/>
      <c r="D18" s="57"/>
      <c r="E18" s="58"/>
      <c r="F18" s="58"/>
      <c r="G18" s="33"/>
      <c r="H18" s="1"/>
      <c r="I18" s="160"/>
      <c r="J18" s="161"/>
      <c r="K18" s="300"/>
      <c r="L18" s="301"/>
      <c r="M18" s="1"/>
      <c r="N18" s="1"/>
      <c r="R18" s="3"/>
    </row>
    <row r="19" spans="1:18" ht="16.5" thickBot="1">
      <c r="A19" s="1"/>
      <c r="B19" s="56"/>
      <c r="C19" s="34"/>
      <c r="D19" s="56"/>
      <c r="E19" s="59"/>
      <c r="F19" s="59"/>
      <c r="G19" s="34"/>
      <c r="H19" s="1"/>
      <c r="I19" s="63" t="s">
        <v>83</v>
      </c>
      <c r="J19" s="37"/>
      <c r="K19" s="300">
        <f>SUM(K5:K18)</f>
        <v>24613.260000000002</v>
      </c>
      <c r="L19" s="301"/>
      <c r="M19" s="1"/>
      <c r="N19" s="1"/>
      <c r="R19" s="3"/>
    </row>
    <row r="20" spans="1:18" ht="16.5" thickBot="1">
      <c r="A20" s="163">
        <f>SUM(A6:A15)</f>
        <v>272.65999999999997</v>
      </c>
      <c r="B20" s="56">
        <f>SUM(B6:B19)</f>
        <v>642.71</v>
      </c>
      <c r="C20" s="34" t="s">
        <v>66</v>
      </c>
      <c r="D20" s="56">
        <f>SUM(D6:D19)</f>
        <v>0</v>
      </c>
      <c r="E20" s="56">
        <f>SUM(E6:E19)</f>
        <v>866.99</v>
      </c>
      <c r="F20" s="56">
        <f>SUM(F6:F19)</f>
        <v>0</v>
      </c>
      <c r="G20" s="34" t="s">
        <v>66</v>
      </c>
      <c r="H20" s="1"/>
      <c r="I20" s="137" t="s">
        <v>116</v>
      </c>
      <c r="L20" s="140">
        <f>K19-K10-K12</f>
        <v>17721.14</v>
      </c>
      <c r="M20" s="1"/>
      <c r="R20" s="3"/>
    </row>
    <row r="21" spans="1:18" ht="16.5" thickBot="1">
      <c r="A21" s="1">
        <v>272.66000000000003</v>
      </c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63">
        <f>A21-A20</f>
        <v>0</v>
      </c>
      <c r="B22" s="289" t="str">
        <f>'2018'!A21</f>
        <v>Waterloo</v>
      </c>
      <c r="C22" s="290"/>
      <c r="D22" s="290"/>
      <c r="E22" s="290"/>
      <c r="F22" s="290"/>
      <c r="G22" s="291"/>
      <c r="H22" s="1"/>
      <c r="I22" s="302" t="s">
        <v>6</v>
      </c>
      <c r="J22" s="290"/>
      <c r="K22" s="290"/>
      <c r="L22" s="291"/>
      <c r="M22" s="1"/>
      <c r="R22" s="3"/>
    </row>
    <row r="23" spans="1:18" ht="16.149999999999999" customHeight="1" thickBot="1">
      <c r="A23" s="1"/>
      <c r="B23" s="292"/>
      <c r="C23" s="293"/>
      <c r="D23" s="293"/>
      <c r="E23" s="293"/>
      <c r="F23" s="293"/>
      <c r="G23" s="294"/>
      <c r="H23" s="1"/>
      <c r="I23" s="292"/>
      <c r="J23" s="293"/>
      <c r="K23" s="293"/>
      <c r="L23" s="294"/>
      <c r="M23" s="1"/>
      <c r="R23" s="3"/>
    </row>
    <row r="24" spans="1:18" ht="15.75">
      <c r="A24" s="1"/>
      <c r="B24" s="297" t="s">
        <v>10</v>
      </c>
      <c r="C24" s="296"/>
      <c r="D24" s="295" t="s">
        <v>11</v>
      </c>
      <c r="E24" s="295"/>
      <c r="F24" s="295"/>
      <c r="G24" s="296"/>
      <c r="H24" s="1"/>
      <c r="I24" s="88" t="s">
        <v>33</v>
      </c>
      <c r="J24" s="32" t="s">
        <v>133</v>
      </c>
      <c r="K24" s="303" t="s">
        <v>134</v>
      </c>
      <c r="L24" s="304"/>
      <c r="M24" s="1"/>
      <c r="R24" s="3"/>
    </row>
    <row r="25" spans="1:18" ht="15.75">
      <c r="A25" s="1" t="s">
        <v>608</v>
      </c>
      <c r="B25" s="52" t="s">
        <v>32</v>
      </c>
      <c r="C25" s="60" t="s">
        <v>33</v>
      </c>
      <c r="D25" s="52" t="s">
        <v>68</v>
      </c>
      <c r="E25" s="53" t="s">
        <v>69</v>
      </c>
      <c r="F25" s="53" t="s">
        <v>32</v>
      </c>
      <c r="G25" s="60" t="s">
        <v>33</v>
      </c>
      <c r="H25" s="1"/>
      <c r="I25" s="150">
        <v>3</v>
      </c>
      <c r="J25" s="3" t="s">
        <v>575</v>
      </c>
      <c r="K25" s="305">
        <v>300</v>
      </c>
      <c r="L25" s="306"/>
      <c r="M25" s="1"/>
      <c r="R25" s="3"/>
    </row>
    <row r="26" spans="1:18" ht="15.75">
      <c r="A26" s="163">
        <v>0</v>
      </c>
      <c r="B26" s="54">
        <v>900</v>
      </c>
      <c r="C26" s="66" t="s">
        <v>42</v>
      </c>
      <c r="D26" s="57">
        <v>900</v>
      </c>
      <c r="E26" s="58"/>
      <c r="F26" s="58"/>
      <c r="G26" s="33" t="s">
        <v>42</v>
      </c>
      <c r="H26" s="1"/>
      <c r="I26" s="151">
        <v>2</v>
      </c>
      <c r="J26" s="35" t="s">
        <v>336</v>
      </c>
      <c r="K26" s="298">
        <v>280.26</v>
      </c>
      <c r="L26" s="299"/>
      <c r="M26" s="1"/>
      <c r="R26" s="3"/>
    </row>
    <row r="27" spans="1:18" ht="15.75">
      <c r="A27" s="163">
        <f>B27-D27</f>
        <v>3</v>
      </c>
      <c r="B27" s="55">
        <v>170</v>
      </c>
      <c r="C27" s="66" t="s">
        <v>44</v>
      </c>
      <c r="D27" s="57">
        <v>167</v>
      </c>
      <c r="E27" s="58"/>
      <c r="F27" s="58"/>
      <c r="G27" s="33" t="s">
        <v>44</v>
      </c>
      <c r="H27" s="1"/>
      <c r="I27" s="151">
        <v>8</v>
      </c>
      <c r="J27" s="35" t="s">
        <v>580</v>
      </c>
      <c r="K27" s="298">
        <v>586.85</v>
      </c>
      <c r="L27" s="299"/>
      <c r="M27" s="1">
        <f>550+108.71+28.14-100</f>
        <v>586.85</v>
      </c>
      <c r="R27" s="3"/>
    </row>
    <row r="28" spans="1:18" ht="15.75">
      <c r="A28" s="163">
        <f>B28*3-D28</f>
        <v>120</v>
      </c>
      <c r="B28" s="55">
        <v>40</v>
      </c>
      <c r="C28" s="66" t="s">
        <v>45</v>
      </c>
      <c r="D28" s="57"/>
      <c r="E28" s="58"/>
      <c r="F28" s="58"/>
      <c r="G28" s="33" t="s">
        <v>45</v>
      </c>
      <c r="H28" s="1"/>
      <c r="I28" s="151">
        <v>5</v>
      </c>
      <c r="J28" s="35" t="s">
        <v>644</v>
      </c>
      <c r="K28" s="298">
        <v>500</v>
      </c>
      <c r="L28" s="299"/>
      <c r="M28" s="1"/>
      <c r="R28" s="3"/>
    </row>
    <row r="29" spans="1:18" ht="15.75">
      <c r="A29" s="163">
        <f>B29-D29</f>
        <v>0.53999999999999915</v>
      </c>
      <c r="B29" s="55">
        <v>18</v>
      </c>
      <c r="C29" s="66" t="s">
        <v>41</v>
      </c>
      <c r="D29" s="57">
        <v>17.46</v>
      </c>
      <c r="E29" s="58"/>
      <c r="F29" s="58"/>
      <c r="G29" s="33" t="s">
        <v>41</v>
      </c>
      <c r="H29" s="1"/>
      <c r="I29" s="151"/>
      <c r="J29" s="35"/>
      <c r="K29" s="298"/>
      <c r="L29" s="299"/>
      <c r="M29" s="1"/>
      <c r="R29" s="3"/>
    </row>
    <row r="30" spans="1:18" ht="15.75">
      <c r="A30" s="163">
        <f>593.56+B30-D30</f>
        <v>593.55999999999995</v>
      </c>
      <c r="B30" s="55">
        <v>0</v>
      </c>
      <c r="C30" s="66" t="s">
        <v>46</v>
      </c>
      <c r="D30" s="57"/>
      <c r="E30" s="58"/>
      <c r="F30" s="58"/>
      <c r="G30" s="33"/>
      <c r="H30" s="1"/>
      <c r="I30" s="151"/>
      <c r="J30" s="35"/>
      <c r="K30" s="298"/>
      <c r="L30" s="299"/>
      <c r="M30" s="1"/>
      <c r="R30" s="3"/>
    </row>
    <row r="31" spans="1:18" ht="15.75">
      <c r="A31" s="163"/>
      <c r="B31" s="55"/>
      <c r="C31" s="33"/>
      <c r="D31" s="57"/>
      <c r="E31" s="58"/>
      <c r="F31" s="58"/>
      <c r="G31" s="33"/>
      <c r="H31" s="1"/>
      <c r="I31" s="151"/>
      <c r="J31" s="35"/>
      <c r="K31" s="298"/>
      <c r="L31" s="299"/>
      <c r="M31" s="1"/>
      <c r="R31" s="3"/>
    </row>
    <row r="32" spans="1:18" ht="15.75">
      <c r="A32" s="163"/>
      <c r="B32" s="55"/>
      <c r="C32" s="33"/>
      <c r="D32" s="57"/>
      <c r="E32" s="58"/>
      <c r="F32" s="58"/>
      <c r="G32" s="33"/>
      <c r="H32" s="1"/>
      <c r="I32" s="151"/>
      <c r="J32" s="35"/>
      <c r="K32" s="298"/>
      <c r="L32" s="299"/>
      <c r="M32" s="1"/>
      <c r="R32" s="3"/>
    </row>
    <row r="33" spans="1:18" ht="15.75">
      <c r="A33" s="163"/>
      <c r="B33" s="55"/>
      <c r="C33" s="33"/>
      <c r="D33" s="57"/>
      <c r="E33" s="58"/>
      <c r="F33" s="58"/>
      <c r="G33" s="33"/>
      <c r="H33" s="1"/>
      <c r="I33" s="151"/>
      <c r="J33" s="35"/>
      <c r="K33" s="298"/>
      <c r="L33" s="299"/>
      <c r="M33" s="1"/>
      <c r="R33" s="3"/>
    </row>
    <row r="34" spans="1:18" ht="15.75">
      <c r="A34" s="163"/>
      <c r="B34" s="55"/>
      <c r="C34" s="33"/>
      <c r="D34" s="57"/>
      <c r="E34" s="58"/>
      <c r="F34" s="58"/>
      <c r="G34" s="33"/>
      <c r="H34" s="1"/>
      <c r="I34" s="151"/>
      <c r="J34" s="35"/>
      <c r="K34" s="298"/>
      <c r="L34" s="299"/>
      <c r="M34" s="1"/>
      <c r="R34" s="3"/>
    </row>
    <row r="35" spans="1:18" ht="15.75">
      <c r="A35" s="163"/>
      <c r="B35" s="55"/>
      <c r="C35" s="33"/>
      <c r="D35" s="57"/>
      <c r="E35" s="58"/>
      <c r="F35" s="58"/>
      <c r="G35" s="33"/>
      <c r="H35" s="1"/>
      <c r="I35" s="151"/>
      <c r="J35" s="35"/>
      <c r="K35" s="298"/>
      <c r="L35" s="299"/>
      <c r="M35" s="1"/>
      <c r="R35" s="3"/>
    </row>
    <row r="36" spans="1:18" ht="15.75">
      <c r="A36" s="1"/>
      <c r="B36" s="55"/>
      <c r="C36" s="33"/>
      <c r="D36" s="57"/>
      <c r="E36" s="58"/>
      <c r="F36" s="58"/>
      <c r="G36" s="33"/>
      <c r="H36" s="1"/>
      <c r="I36" s="151"/>
      <c r="J36" s="35"/>
      <c r="K36" s="298"/>
      <c r="L36" s="299"/>
      <c r="M36" s="1"/>
      <c r="R36" s="3"/>
    </row>
    <row r="37" spans="1:18" ht="15.75">
      <c r="A37" s="1"/>
      <c r="B37" s="55"/>
      <c r="C37" s="33"/>
      <c r="D37" s="57"/>
      <c r="E37" s="58"/>
      <c r="F37" s="58"/>
      <c r="G37" s="33"/>
      <c r="H37" s="1"/>
      <c r="I37" s="151"/>
      <c r="J37" s="35"/>
      <c r="K37" s="298"/>
      <c r="L37" s="299"/>
      <c r="M37" s="1"/>
      <c r="R37" s="3"/>
    </row>
    <row r="38" spans="1:18" ht="16.5" thickBot="1">
      <c r="A38" s="1"/>
      <c r="B38" s="55"/>
      <c r="C38" s="33"/>
      <c r="D38" s="57"/>
      <c r="E38" s="58"/>
      <c r="F38" s="58"/>
      <c r="G38" s="33"/>
      <c r="H38" s="1"/>
      <c r="I38" s="152"/>
      <c r="J38" s="37"/>
      <c r="K38" s="300"/>
      <c r="L38" s="301"/>
      <c r="M38" s="1"/>
      <c r="R38" s="3"/>
    </row>
    <row r="39" spans="1:18" ht="16.5" thickBot="1">
      <c r="A39" s="1"/>
      <c r="B39" s="56"/>
      <c r="C39" s="34"/>
      <c r="D39" s="56"/>
      <c r="E39" s="59"/>
      <c r="F39" s="59"/>
      <c r="G39" s="34"/>
      <c r="H39" s="1"/>
      <c r="M39" s="1"/>
      <c r="R39" s="3"/>
    </row>
    <row r="40" spans="1:18" ht="16.5" thickBot="1">
      <c r="A40" s="163">
        <f>SUM(A26:A35)</f>
        <v>717.09999999999991</v>
      </c>
      <c r="B40" s="56">
        <f>SUM(B26:B39)</f>
        <v>1128</v>
      </c>
      <c r="C40" s="34" t="s">
        <v>66</v>
      </c>
      <c r="D40" s="56">
        <f>SUM(D26:D39)</f>
        <v>1084.46</v>
      </c>
      <c r="E40" s="56">
        <f>SUM(E26:E39)</f>
        <v>0</v>
      </c>
      <c r="F40" s="56">
        <f>SUM(F26:F39)</f>
        <v>0</v>
      </c>
      <c r="G40" s="34" t="s">
        <v>66</v>
      </c>
      <c r="H40" s="1"/>
      <c r="M40" s="1"/>
      <c r="R40" s="3"/>
    </row>
    <row r="41" spans="1:18" ht="16.5" thickBot="1">
      <c r="A41" s="163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89" t="str">
        <f>'2018'!A22</f>
        <v>Comida+Limpieza</v>
      </c>
      <c r="C42" s="290"/>
      <c r="D42" s="290"/>
      <c r="E42" s="290"/>
      <c r="F42" s="290"/>
      <c r="G42" s="291"/>
      <c r="H42" s="1"/>
      <c r="M42" s="1"/>
      <c r="R42" s="3"/>
    </row>
    <row r="43" spans="1:18" ht="16.149999999999999" customHeight="1" thickBot="1">
      <c r="A43" s="1"/>
      <c r="B43" s="292"/>
      <c r="C43" s="293"/>
      <c r="D43" s="293"/>
      <c r="E43" s="293"/>
      <c r="F43" s="293"/>
      <c r="G43" s="294"/>
      <c r="H43" s="1"/>
      <c r="M43" s="1"/>
      <c r="R43" s="3"/>
    </row>
    <row r="44" spans="1:18" ht="15.75">
      <c r="A44" s="1"/>
      <c r="B44" s="297" t="s">
        <v>10</v>
      </c>
      <c r="C44" s="296"/>
      <c r="D44" s="295" t="s">
        <v>11</v>
      </c>
      <c r="E44" s="295"/>
      <c r="F44" s="295"/>
      <c r="G44" s="296"/>
      <c r="H44" s="1"/>
      <c r="M44" s="1"/>
      <c r="R44" s="3"/>
    </row>
    <row r="45" spans="1:18" ht="15.75">
      <c r="A45" s="1"/>
      <c r="B45" s="52" t="s">
        <v>32</v>
      </c>
      <c r="C45" s="60" t="s">
        <v>33</v>
      </c>
      <c r="D45" s="52" t="s">
        <v>68</v>
      </c>
      <c r="E45" s="53" t="s">
        <v>69</v>
      </c>
      <c r="F45" s="53" t="s">
        <v>32</v>
      </c>
      <c r="G45" s="60" t="s">
        <v>393</v>
      </c>
      <c r="H45" s="1"/>
      <c r="M45" s="1"/>
      <c r="R45" s="3"/>
    </row>
    <row r="46" spans="1:18" ht="15.75">
      <c r="A46" s="1"/>
      <c r="B46" s="54">
        <v>432</v>
      </c>
      <c r="C46" s="36"/>
      <c r="D46" s="57">
        <f>92.12+4.18</f>
        <v>96.300000000000011</v>
      </c>
      <c r="E46" s="58"/>
      <c r="F46" s="58"/>
      <c r="G46" s="69" t="s">
        <v>588</v>
      </c>
      <c r="H46" s="1"/>
      <c r="M46" s="1"/>
      <c r="R46" s="3"/>
    </row>
    <row r="47" spans="1:18" ht="15.75">
      <c r="A47" s="1"/>
      <c r="B47" s="55">
        <v>28</v>
      </c>
      <c r="C47" s="33" t="s">
        <v>110</v>
      </c>
      <c r="D47" s="57">
        <f>77.27</f>
        <v>77.27</v>
      </c>
      <c r="E47" s="58"/>
      <c r="F47" s="58"/>
      <c r="G47" s="33" t="s">
        <v>589</v>
      </c>
      <c r="H47" s="1"/>
      <c r="M47" s="1"/>
      <c r="R47" s="3"/>
    </row>
    <row r="48" spans="1:18" ht="15.75">
      <c r="A48" s="1"/>
      <c r="B48" s="55"/>
      <c r="C48" s="33"/>
      <c r="D48" s="57">
        <v>38.07</v>
      </c>
      <c r="E48" s="58"/>
      <c r="F48" s="58"/>
      <c r="G48" s="33" t="s">
        <v>598</v>
      </c>
      <c r="H48" s="1"/>
      <c r="M48" s="1"/>
      <c r="R48" s="3"/>
    </row>
    <row r="49" spans="1:18" ht="15.75">
      <c r="A49" s="1"/>
      <c r="B49" s="55"/>
      <c r="C49" s="33"/>
      <c r="D49" s="57">
        <v>36.090000000000003</v>
      </c>
      <c r="E49" s="58"/>
      <c r="F49" s="58"/>
      <c r="G49" s="33" t="s">
        <v>603</v>
      </c>
      <c r="H49" s="1"/>
      <c r="M49" s="1"/>
      <c r="R49" s="3"/>
    </row>
    <row r="50" spans="1:18" ht="15.75">
      <c r="A50" s="1"/>
      <c r="B50" s="55"/>
      <c r="C50" s="33"/>
      <c r="D50" s="57">
        <v>38.81</v>
      </c>
      <c r="E50" s="58"/>
      <c r="F50" s="58"/>
      <c r="G50" s="33" t="s">
        <v>604</v>
      </c>
      <c r="H50" s="1"/>
      <c r="M50" s="1"/>
      <c r="R50" s="3"/>
    </row>
    <row r="51" spans="1:18" ht="15.75">
      <c r="A51" s="1"/>
      <c r="B51" s="55"/>
      <c r="C51" s="33"/>
      <c r="D51" s="57">
        <f>26.4</f>
        <v>26.4</v>
      </c>
      <c r="E51" s="58"/>
      <c r="F51" s="58"/>
      <c r="G51" s="33" t="s">
        <v>617</v>
      </c>
      <c r="H51" s="1"/>
      <c r="M51" s="1"/>
      <c r="R51" s="3"/>
    </row>
    <row r="52" spans="1:18" ht="15.75">
      <c r="A52" s="1"/>
      <c r="B52" s="55"/>
      <c r="C52" s="33"/>
      <c r="D52" s="57">
        <v>22.93</v>
      </c>
      <c r="E52" s="58"/>
      <c r="F52" s="58"/>
      <c r="G52" s="33" t="s">
        <v>627</v>
      </c>
      <c r="H52" s="1"/>
      <c r="M52" s="1"/>
      <c r="R52" s="3"/>
    </row>
    <row r="53" spans="1:18" ht="15.75">
      <c r="A53" s="1"/>
      <c r="B53" s="55"/>
      <c r="C53" s="33"/>
      <c r="D53" s="57">
        <v>16.27</v>
      </c>
      <c r="E53" s="58"/>
      <c r="F53" s="58"/>
      <c r="G53" s="33" t="s">
        <v>630</v>
      </c>
      <c r="H53" s="1"/>
      <c r="M53" s="1"/>
      <c r="R53" s="3"/>
    </row>
    <row r="54" spans="1:18" ht="15.75">
      <c r="A54" s="1"/>
      <c r="B54" s="55"/>
      <c r="C54" s="33"/>
      <c r="D54" s="57">
        <f>38.95-D327-D187</f>
        <v>10.000000000000004</v>
      </c>
      <c r="E54" s="58"/>
      <c r="F54" s="58"/>
      <c r="G54" s="33" t="s">
        <v>634</v>
      </c>
      <c r="H54" s="1"/>
      <c r="M54" s="1"/>
      <c r="R54" s="3"/>
    </row>
    <row r="55" spans="1:18" ht="15.75">
      <c r="A55" s="1"/>
      <c r="B55" s="55"/>
      <c r="C55" s="33"/>
      <c r="D55" s="57">
        <v>56.86</v>
      </c>
      <c r="E55" s="58"/>
      <c r="F55" s="58"/>
      <c r="G55" s="33" t="s">
        <v>638</v>
      </c>
      <c r="H55" s="1"/>
      <c r="M55" s="1"/>
      <c r="R55" s="3"/>
    </row>
    <row r="56" spans="1:18" ht="15.75">
      <c r="A56" s="1"/>
      <c r="B56" s="55"/>
      <c r="C56" s="33"/>
      <c r="D56" s="57"/>
      <c r="E56" s="58"/>
      <c r="F56" s="58"/>
      <c r="G56" s="33"/>
      <c r="H56" s="1"/>
      <c r="M56" s="1"/>
      <c r="R56" s="3"/>
    </row>
    <row r="57" spans="1:18" ht="15.75">
      <c r="A57" s="1"/>
      <c r="B57" s="55"/>
      <c r="C57" s="33"/>
      <c r="D57" s="57"/>
      <c r="E57" s="58"/>
      <c r="F57" s="58"/>
      <c r="G57" s="33"/>
      <c r="H57" s="1"/>
      <c r="M57" s="1"/>
      <c r="R57" s="3"/>
    </row>
    <row r="58" spans="1:18" ht="15.75">
      <c r="A58" s="1"/>
      <c r="B58" s="55"/>
      <c r="C58" s="33"/>
      <c r="D58" s="57"/>
      <c r="E58" s="58"/>
      <c r="F58" s="58"/>
      <c r="G58" s="33"/>
      <c r="H58" s="1"/>
      <c r="M58" s="1"/>
      <c r="R58" s="3"/>
    </row>
    <row r="59" spans="1:18" ht="16.5" thickBot="1">
      <c r="A59" s="1"/>
      <c r="B59" s="56"/>
      <c r="C59" s="34"/>
      <c r="D59" s="56"/>
      <c r="E59" s="59"/>
      <c r="F59" s="59"/>
      <c r="G59" s="34"/>
      <c r="H59" s="1"/>
      <c r="M59" s="1"/>
      <c r="R59" s="3"/>
    </row>
    <row r="60" spans="1:18" ht="16.5" thickBot="1">
      <c r="A60" s="1"/>
      <c r="B60" s="56">
        <f>SUM(B46:B59)</f>
        <v>460</v>
      </c>
      <c r="C60" s="34" t="s">
        <v>66</v>
      </c>
      <c r="D60" s="56">
        <f>SUM(D46:D59)</f>
        <v>418.99999999999994</v>
      </c>
      <c r="E60" s="56">
        <f>SUM(E46:E59)</f>
        <v>0</v>
      </c>
      <c r="F60" s="56">
        <f>SUM(F46:F59)</f>
        <v>0</v>
      </c>
      <c r="G60" s="34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89" t="str">
        <f>'2018'!A23</f>
        <v>Ocio</v>
      </c>
      <c r="C62" s="290"/>
      <c r="D62" s="290"/>
      <c r="E62" s="290"/>
      <c r="F62" s="290"/>
      <c r="G62" s="291"/>
      <c r="H62" s="1"/>
      <c r="M62" s="1"/>
      <c r="R62" s="3"/>
    </row>
    <row r="63" spans="1:18" ht="16.149999999999999" customHeight="1" thickBot="1">
      <c r="A63" s="1"/>
      <c r="B63" s="292"/>
      <c r="C63" s="293"/>
      <c r="D63" s="293"/>
      <c r="E63" s="293"/>
      <c r="F63" s="293"/>
      <c r="G63" s="294"/>
      <c r="H63" s="1"/>
      <c r="M63" s="1"/>
      <c r="R63" s="3"/>
    </row>
    <row r="64" spans="1:18" ht="15.75">
      <c r="A64" s="1"/>
      <c r="B64" s="297" t="s">
        <v>10</v>
      </c>
      <c r="C64" s="296"/>
      <c r="D64" s="295" t="s">
        <v>11</v>
      </c>
      <c r="E64" s="295"/>
      <c r="F64" s="295"/>
      <c r="G64" s="296"/>
      <c r="H64" s="1"/>
      <c r="M64" s="1"/>
      <c r="R64" s="3"/>
    </row>
    <row r="65" spans="1:18" ht="15.75">
      <c r="A65" s="1"/>
      <c r="B65" s="52" t="s">
        <v>32</v>
      </c>
      <c r="C65" s="60" t="s">
        <v>33</v>
      </c>
      <c r="D65" s="52" t="s">
        <v>68</v>
      </c>
      <c r="E65" s="53" t="s">
        <v>69</v>
      </c>
      <c r="F65" s="53" t="s">
        <v>32</v>
      </c>
      <c r="G65" s="60" t="s">
        <v>393</v>
      </c>
      <c r="H65" s="1"/>
      <c r="M65" s="1"/>
      <c r="R65" s="3"/>
    </row>
    <row r="66" spans="1:18" ht="15.75">
      <c r="A66" s="1"/>
      <c r="B66" s="54">
        <v>150</v>
      </c>
      <c r="C66" s="36" t="s">
        <v>36</v>
      </c>
      <c r="D66" s="57">
        <v>35.619999999999997</v>
      </c>
      <c r="E66" s="58"/>
      <c r="F66" s="58"/>
      <c r="G66" s="36" t="s">
        <v>572</v>
      </c>
      <c r="H66" s="1"/>
      <c r="M66" s="1"/>
      <c r="R66" s="3"/>
    </row>
    <row r="67" spans="1:18" ht="15.75">
      <c r="A67" s="1"/>
      <c r="B67" s="55">
        <v>97.1</v>
      </c>
      <c r="C67" s="33" t="s">
        <v>645</v>
      </c>
      <c r="D67" s="57">
        <f>29.39</f>
        <v>29.39</v>
      </c>
      <c r="E67" s="58"/>
      <c r="F67" s="58">
        <v>1</v>
      </c>
      <c r="G67" s="70" t="s">
        <v>605</v>
      </c>
      <c r="H67" s="1"/>
      <c r="M67" s="1"/>
      <c r="R67" s="3"/>
    </row>
    <row r="68" spans="1:18" ht="15.75">
      <c r="A68" s="1"/>
      <c r="B68" s="55"/>
      <c r="C68" s="33"/>
      <c r="D68" s="57"/>
      <c r="E68" s="58"/>
      <c r="F68" s="58">
        <v>21</v>
      </c>
      <c r="G68" s="33" t="s">
        <v>628</v>
      </c>
      <c r="H68" s="1"/>
      <c r="M68" s="1"/>
      <c r="R68" s="3"/>
    </row>
    <row r="69" spans="1:18" ht="15.75">
      <c r="A69" s="1"/>
      <c r="B69" s="55"/>
      <c r="C69" s="33"/>
      <c r="D69" s="57"/>
      <c r="E69" s="58"/>
      <c r="F69" s="58">
        <v>30</v>
      </c>
      <c r="G69" s="33" t="s">
        <v>643</v>
      </c>
      <c r="H69" s="1"/>
      <c r="M69" s="1"/>
      <c r="R69" s="3"/>
    </row>
    <row r="70" spans="1:18" ht="15.75">
      <c r="A70" s="1"/>
      <c r="B70" s="55"/>
      <c r="C70" s="33"/>
      <c r="D70" s="57"/>
      <c r="E70" s="58"/>
      <c r="F70" s="58"/>
      <c r="G70" s="33"/>
      <c r="H70" s="1"/>
      <c r="M70" s="1"/>
      <c r="R70" s="3"/>
    </row>
    <row r="71" spans="1:18" ht="15.75">
      <c r="A71" s="1"/>
      <c r="B71" s="55"/>
      <c r="C71" s="33"/>
      <c r="D71" s="57"/>
      <c r="E71" s="58"/>
      <c r="F71" s="58"/>
      <c r="G71" s="33"/>
      <c r="H71" s="1"/>
      <c r="M71" s="1"/>
      <c r="R71" s="3"/>
    </row>
    <row r="72" spans="1:18" ht="15.75">
      <c r="A72" s="1"/>
      <c r="B72" s="55"/>
      <c r="C72" s="33"/>
      <c r="D72" s="57"/>
      <c r="E72" s="58"/>
      <c r="F72" s="58"/>
      <c r="G72" s="33"/>
      <c r="H72" s="1"/>
      <c r="M72" s="1"/>
      <c r="R72" s="3"/>
    </row>
    <row r="73" spans="1:18" ht="15.75">
      <c r="A73" s="1"/>
      <c r="B73" s="55"/>
      <c r="C73" s="33"/>
      <c r="D73" s="57"/>
      <c r="E73" s="58"/>
      <c r="F73" s="58"/>
      <c r="G73" s="33"/>
      <c r="H73" s="1"/>
      <c r="M73" s="1"/>
      <c r="R73" s="3"/>
    </row>
    <row r="74" spans="1:18" ht="15.75">
      <c r="A74" s="1"/>
      <c r="B74" s="55"/>
      <c r="C74" s="33"/>
      <c r="D74" s="57"/>
      <c r="E74" s="58"/>
      <c r="F74" s="58"/>
      <c r="G74" s="33"/>
      <c r="H74" s="1"/>
      <c r="M74" s="1"/>
      <c r="R74" s="3"/>
    </row>
    <row r="75" spans="1:18" ht="15.75">
      <c r="A75" s="1"/>
      <c r="B75" s="55"/>
      <c r="C75" s="33"/>
      <c r="D75" s="57"/>
      <c r="E75" s="58"/>
      <c r="F75" s="58"/>
      <c r="G75" s="33"/>
      <c r="H75" s="1"/>
      <c r="M75" s="1"/>
      <c r="R75" s="3"/>
    </row>
    <row r="76" spans="1:18" ht="15.75">
      <c r="A76" s="1"/>
      <c r="B76" s="55"/>
      <c r="C76" s="33"/>
      <c r="D76" s="57"/>
      <c r="E76" s="58"/>
      <c r="F76" s="58"/>
      <c r="G76" s="33"/>
      <c r="H76" s="1"/>
      <c r="M76" s="1"/>
      <c r="R76" s="3"/>
    </row>
    <row r="77" spans="1:18" ht="15.75">
      <c r="A77" s="1"/>
      <c r="B77" s="55"/>
      <c r="C77" s="33"/>
      <c r="D77" s="57"/>
      <c r="E77" s="58"/>
      <c r="F77" s="58"/>
      <c r="G77" s="33"/>
      <c r="H77" s="1"/>
      <c r="M77" s="1"/>
      <c r="R77" s="3"/>
    </row>
    <row r="78" spans="1:18" ht="15.75">
      <c r="A78" s="1"/>
      <c r="B78" s="55"/>
      <c r="C78" s="33"/>
      <c r="D78" s="57"/>
      <c r="E78" s="58"/>
      <c r="F78" s="58"/>
      <c r="G78" s="33"/>
      <c r="H78" s="1"/>
      <c r="M78" s="1"/>
      <c r="R78" s="3"/>
    </row>
    <row r="79" spans="1:18" ht="16.5" thickBot="1">
      <c r="A79" s="1"/>
      <c r="B79" s="56"/>
      <c r="C79" s="34"/>
      <c r="D79" s="56"/>
      <c r="E79" s="59"/>
      <c r="F79" s="59"/>
      <c r="G79" s="34"/>
      <c r="H79" s="1"/>
      <c r="M79" s="1"/>
      <c r="R79" s="3"/>
    </row>
    <row r="80" spans="1:18" ht="16.5" thickBot="1">
      <c r="A80" s="1"/>
      <c r="B80" s="56">
        <f>SUM(B66:B79)</f>
        <v>247.1</v>
      </c>
      <c r="C80" s="34" t="s">
        <v>66</v>
      </c>
      <c r="D80" s="56">
        <f>SUM(D66:D79)</f>
        <v>65.009999999999991</v>
      </c>
      <c r="E80" s="56">
        <f>SUM(E66:E79)</f>
        <v>0</v>
      </c>
      <c r="F80" s="56">
        <f>SUM(F66:F79)</f>
        <v>52</v>
      </c>
      <c r="G80" s="34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89" t="str">
        <f>'2018'!A24</f>
        <v>Transportes</v>
      </c>
      <c r="C82" s="290"/>
      <c r="D82" s="290"/>
      <c r="E82" s="290"/>
      <c r="F82" s="290"/>
      <c r="G82" s="291"/>
      <c r="H82" s="1"/>
      <c r="M82" s="1"/>
      <c r="R82" s="3"/>
    </row>
    <row r="83" spans="1:18" ht="16.149999999999999" customHeight="1" thickBot="1">
      <c r="A83" s="1"/>
      <c r="B83" s="292"/>
      <c r="C83" s="293"/>
      <c r="D83" s="293"/>
      <c r="E83" s="293"/>
      <c r="F83" s="293"/>
      <c r="G83" s="294"/>
      <c r="H83" s="1"/>
      <c r="M83" s="1"/>
      <c r="R83" s="3"/>
    </row>
    <row r="84" spans="1:18" ht="15.75">
      <c r="A84" s="1"/>
      <c r="B84" s="297" t="s">
        <v>10</v>
      </c>
      <c r="C84" s="296"/>
      <c r="D84" s="295" t="s">
        <v>11</v>
      </c>
      <c r="E84" s="295"/>
      <c r="F84" s="295"/>
      <c r="G84" s="296"/>
      <c r="H84" s="1"/>
      <c r="M84" s="1"/>
      <c r="R84" s="3"/>
    </row>
    <row r="85" spans="1:18" ht="15.75">
      <c r="A85" s="1"/>
      <c r="B85" s="52" t="s">
        <v>32</v>
      </c>
      <c r="C85" s="60" t="s">
        <v>33</v>
      </c>
      <c r="D85" s="52" t="s">
        <v>68</v>
      </c>
      <c r="E85" s="53" t="s">
        <v>69</v>
      </c>
      <c r="F85" s="53" t="s">
        <v>32</v>
      </c>
      <c r="G85" s="60" t="s">
        <v>393</v>
      </c>
      <c r="H85" s="1"/>
      <c r="M85" s="1"/>
      <c r="R85" s="3"/>
    </row>
    <row r="86" spans="1:18" ht="15.75">
      <c r="A86" s="1"/>
      <c r="B86" s="54">
        <v>150</v>
      </c>
      <c r="C86" s="36" t="s">
        <v>51</v>
      </c>
      <c r="D86" s="57"/>
      <c r="E86" s="58">
        <v>2</v>
      </c>
      <c r="F86" s="58"/>
      <c r="G86" s="33" t="s">
        <v>570</v>
      </c>
      <c r="H86" s="1"/>
      <c r="M86" s="1"/>
      <c r="R86" s="3"/>
    </row>
    <row r="87" spans="1:18" ht="15.75">
      <c r="A87" s="1"/>
      <c r="B87" s="55">
        <v>2.9</v>
      </c>
      <c r="C87" s="33" t="s">
        <v>645</v>
      </c>
      <c r="D87" s="57">
        <v>53.97</v>
      </c>
      <c r="E87" s="58"/>
      <c r="F87" s="58"/>
      <c r="G87" s="33" t="s">
        <v>590</v>
      </c>
      <c r="H87" s="1"/>
      <c r="M87" s="1"/>
      <c r="R87" s="3"/>
    </row>
    <row r="88" spans="1:18" ht="15.75">
      <c r="A88" s="1"/>
      <c r="B88" s="55"/>
      <c r="C88" s="33"/>
      <c r="D88" s="57">
        <v>2.4</v>
      </c>
      <c r="E88" s="58"/>
      <c r="F88" s="58"/>
      <c r="G88" s="33" t="s">
        <v>600</v>
      </c>
      <c r="H88" s="1"/>
      <c r="M88" s="1"/>
      <c r="R88" s="3"/>
    </row>
    <row r="89" spans="1:18" ht="15.75">
      <c r="A89" s="1"/>
      <c r="B89" s="55"/>
      <c r="C89" s="33"/>
      <c r="D89" s="57"/>
      <c r="E89" s="58"/>
      <c r="F89" s="58">
        <v>4.8</v>
      </c>
      <c r="G89" s="33" t="s">
        <v>601</v>
      </c>
      <c r="H89" s="1"/>
      <c r="M89" s="1"/>
      <c r="R89" s="3"/>
    </row>
    <row r="90" spans="1:18" ht="15.75">
      <c r="A90" s="1"/>
      <c r="B90" s="55"/>
      <c r="C90" s="33"/>
      <c r="D90" s="57">
        <v>55.81</v>
      </c>
      <c r="E90" s="58"/>
      <c r="F90" s="58"/>
      <c r="G90" s="33" t="s">
        <v>611</v>
      </c>
      <c r="H90" s="1"/>
      <c r="M90" s="1"/>
      <c r="R90" s="3"/>
    </row>
    <row r="91" spans="1:18" ht="15.75">
      <c r="A91" s="1"/>
      <c r="B91" s="55"/>
      <c r="C91" s="33"/>
      <c r="D91" s="57">
        <v>2.4</v>
      </c>
      <c r="E91" s="58"/>
      <c r="F91" s="58"/>
      <c r="G91" s="33" t="s">
        <v>614</v>
      </c>
      <c r="H91" s="1"/>
      <c r="M91" s="1"/>
      <c r="R91" s="3"/>
    </row>
    <row r="92" spans="1:18" ht="15.75">
      <c r="A92" s="1"/>
      <c r="B92" s="55"/>
      <c r="C92" s="33"/>
      <c r="D92" s="57">
        <v>2.4</v>
      </c>
      <c r="E92" s="58"/>
      <c r="F92" s="58"/>
      <c r="G92" s="33" t="s">
        <v>629</v>
      </c>
      <c r="H92" s="1"/>
      <c r="M92" s="1"/>
      <c r="R92" s="3"/>
    </row>
    <row r="93" spans="1:18" ht="15.75">
      <c r="A93" s="1"/>
      <c r="B93" s="55"/>
      <c r="C93" s="33"/>
      <c r="D93" s="57">
        <v>56.91</v>
      </c>
      <c r="E93" s="58"/>
      <c r="F93" s="58"/>
      <c r="G93" s="33" t="s">
        <v>639</v>
      </c>
      <c r="H93" s="1"/>
      <c r="M93" s="1"/>
      <c r="R93" s="3"/>
    </row>
    <row r="94" spans="1:18" ht="15.75">
      <c r="A94" s="1"/>
      <c r="B94" s="55"/>
      <c r="C94" s="33"/>
      <c r="D94" s="57"/>
      <c r="E94" s="58"/>
      <c r="F94" s="58"/>
      <c r="G94" s="33"/>
      <c r="H94" s="1"/>
      <c r="M94" s="1"/>
      <c r="R94" s="3"/>
    </row>
    <row r="95" spans="1:18" ht="15.75">
      <c r="A95" s="1"/>
      <c r="B95" s="55"/>
      <c r="C95" s="33"/>
      <c r="D95" s="57"/>
      <c r="E95" s="58"/>
      <c r="F95" s="58"/>
      <c r="G95" s="33"/>
      <c r="H95" s="1"/>
      <c r="M95" s="1"/>
      <c r="R95" s="3"/>
    </row>
    <row r="96" spans="1:18" ht="15.75">
      <c r="A96" s="1"/>
      <c r="B96" s="55"/>
      <c r="C96" s="33"/>
      <c r="D96" s="57"/>
      <c r="E96" s="58"/>
      <c r="F96" s="58"/>
      <c r="G96" s="33"/>
      <c r="H96" s="1"/>
      <c r="M96" s="1"/>
      <c r="R96" s="3"/>
    </row>
    <row r="97" spans="1:18" ht="15.75">
      <c r="A97" s="1"/>
      <c r="B97" s="55"/>
      <c r="C97" s="33"/>
      <c r="D97" s="57"/>
      <c r="E97" s="58"/>
      <c r="F97" s="58"/>
      <c r="G97" s="33"/>
      <c r="H97" s="1"/>
      <c r="M97" s="1"/>
      <c r="R97" s="3"/>
    </row>
    <row r="98" spans="1:18" ht="15.75">
      <c r="A98" s="1"/>
      <c r="B98" s="55"/>
      <c r="C98" s="33"/>
      <c r="D98" s="57"/>
      <c r="E98" s="58"/>
      <c r="F98" s="58"/>
      <c r="G98" s="33"/>
      <c r="H98" s="1"/>
      <c r="M98" s="1"/>
      <c r="R98" s="3"/>
    </row>
    <row r="99" spans="1:18" ht="16.5" thickBot="1">
      <c r="A99" s="1"/>
      <c r="B99" s="56"/>
      <c r="C99" s="34"/>
      <c r="D99" s="56"/>
      <c r="E99" s="59"/>
      <c r="F99" s="59"/>
      <c r="G99" s="34"/>
      <c r="H99" s="1"/>
      <c r="M99" s="1"/>
      <c r="R99" s="3"/>
    </row>
    <row r="100" spans="1:18" ht="16.5" thickBot="1">
      <c r="A100" s="1"/>
      <c r="B100" s="56">
        <f>SUM(B86:B99)</f>
        <v>152.9</v>
      </c>
      <c r="C100" s="34" t="s">
        <v>66</v>
      </c>
      <c r="D100" s="56">
        <f>SUM(D86:D99)</f>
        <v>173.89000000000001</v>
      </c>
      <c r="E100" s="56">
        <f>SUM(E86:E99)</f>
        <v>2</v>
      </c>
      <c r="F100" s="56">
        <f>SUM(F86:F99)</f>
        <v>4.8</v>
      </c>
      <c r="G100" s="34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89" t="str">
        <f>'2018'!A25</f>
        <v>Coche</v>
      </c>
      <c r="C102" s="290"/>
      <c r="D102" s="290"/>
      <c r="E102" s="290"/>
      <c r="F102" s="290"/>
      <c r="G102" s="291"/>
      <c r="H102" s="1"/>
      <c r="M102" s="1"/>
      <c r="R102" s="3"/>
    </row>
    <row r="103" spans="1:18" ht="16.149999999999999" customHeight="1" thickBot="1">
      <c r="A103" s="1"/>
      <c r="B103" s="292"/>
      <c r="C103" s="293"/>
      <c r="D103" s="293"/>
      <c r="E103" s="293"/>
      <c r="F103" s="293"/>
      <c r="G103" s="294"/>
      <c r="H103" s="1"/>
      <c r="M103" s="1"/>
      <c r="R103" s="3"/>
    </row>
    <row r="104" spans="1:18" ht="15.75">
      <c r="A104" s="1"/>
      <c r="B104" s="297" t="s">
        <v>10</v>
      </c>
      <c r="C104" s="296"/>
      <c r="D104" s="295" t="s">
        <v>11</v>
      </c>
      <c r="E104" s="295"/>
      <c r="F104" s="295"/>
      <c r="G104" s="296"/>
      <c r="H104" s="1"/>
      <c r="M104" s="1"/>
      <c r="R104" s="3"/>
    </row>
    <row r="105" spans="1:18" ht="15.75">
      <c r="A105" s="137" t="s">
        <v>608</v>
      </c>
      <c r="B105" s="52" t="s">
        <v>32</v>
      </c>
      <c r="C105" s="60" t="s">
        <v>33</v>
      </c>
      <c r="D105" s="52" t="s">
        <v>68</v>
      </c>
      <c r="E105" s="53" t="s">
        <v>69</v>
      </c>
      <c r="F105" s="53" t="s">
        <v>32</v>
      </c>
      <c r="G105" s="60" t="s">
        <v>33</v>
      </c>
      <c r="H105" s="1"/>
      <c r="M105" s="1"/>
      <c r="R105" s="3"/>
    </row>
    <row r="106" spans="1:18" ht="15.75">
      <c r="A106" s="164">
        <v>0</v>
      </c>
      <c r="B106" s="54">
        <v>260</v>
      </c>
      <c r="C106" s="35" t="s">
        <v>55</v>
      </c>
      <c r="D106" s="57">
        <v>258.47000000000003</v>
      </c>
      <c r="E106" s="58"/>
      <c r="F106" s="58"/>
      <c r="G106" s="70" t="s">
        <v>55</v>
      </c>
      <c r="H106" s="1"/>
      <c r="M106" s="1"/>
      <c r="R106" s="3"/>
    </row>
    <row r="107" spans="1:18" ht="15.75">
      <c r="A107" s="164">
        <v>0</v>
      </c>
      <c r="B107" s="55">
        <v>71</v>
      </c>
      <c r="C107" s="35" t="s">
        <v>56</v>
      </c>
      <c r="D107" s="57">
        <v>70.349999999999994</v>
      </c>
      <c r="E107" s="58"/>
      <c r="F107" s="58"/>
      <c r="G107" s="70" t="s">
        <v>56</v>
      </c>
      <c r="H107" s="1"/>
      <c r="M107" s="1"/>
      <c r="R107" s="3"/>
    </row>
    <row r="108" spans="1:18" ht="15.75">
      <c r="A108" s="164">
        <f>3713.44-A109</f>
        <v>1000</v>
      </c>
      <c r="B108" s="55">
        <v>50</v>
      </c>
      <c r="C108" s="35" t="s">
        <v>616</v>
      </c>
      <c r="D108" s="57">
        <f>2</f>
        <v>2</v>
      </c>
      <c r="E108" s="58"/>
      <c r="F108" s="58"/>
      <c r="G108" s="73" t="s">
        <v>612</v>
      </c>
      <c r="H108" s="1"/>
      <c r="M108" s="1"/>
      <c r="R108" s="3"/>
    </row>
    <row r="109" spans="1:18" ht="15.75">
      <c r="A109" s="164">
        <v>2713.44</v>
      </c>
      <c r="B109" s="55">
        <v>19</v>
      </c>
      <c r="C109" s="35" t="s">
        <v>615</v>
      </c>
      <c r="D109" s="57"/>
      <c r="E109" s="58"/>
      <c r="F109" s="58"/>
      <c r="G109" s="70"/>
      <c r="H109" s="1"/>
      <c r="M109" s="1"/>
      <c r="R109" s="3"/>
    </row>
    <row r="110" spans="1:18" ht="15.75">
      <c r="B110" s="55"/>
      <c r="C110" s="35"/>
      <c r="D110" s="57"/>
      <c r="E110" s="58"/>
      <c r="F110" s="58"/>
      <c r="G110" s="70"/>
      <c r="H110" s="1"/>
      <c r="M110" s="1"/>
      <c r="R110" s="3"/>
    </row>
    <row r="111" spans="1:18" ht="15.75">
      <c r="B111" s="55"/>
      <c r="C111" s="66"/>
      <c r="D111" s="57"/>
      <c r="E111" s="58"/>
      <c r="F111" s="58"/>
      <c r="G111" s="73"/>
      <c r="H111" s="1"/>
      <c r="M111" s="1"/>
      <c r="R111" s="3"/>
    </row>
    <row r="112" spans="1:18" ht="15.75">
      <c r="B112" s="55"/>
      <c r="C112" s="71"/>
      <c r="D112" s="57"/>
      <c r="E112" s="58"/>
      <c r="F112" s="58"/>
      <c r="G112" s="70"/>
      <c r="H112" s="1"/>
      <c r="M112" s="1"/>
      <c r="R112" s="3"/>
    </row>
    <row r="113" spans="1:18" ht="15.75">
      <c r="B113" s="55"/>
      <c r="C113" s="72"/>
      <c r="D113" s="57"/>
      <c r="E113" s="58"/>
      <c r="F113" s="58"/>
      <c r="G113" s="70"/>
      <c r="H113" s="1"/>
      <c r="M113" s="1"/>
      <c r="R113" s="3"/>
    </row>
    <row r="114" spans="1:18" ht="15.75">
      <c r="B114" s="55"/>
      <c r="C114" s="71"/>
      <c r="D114" s="57"/>
      <c r="E114" s="58"/>
      <c r="F114" s="58"/>
      <c r="G114" s="70"/>
      <c r="H114" s="1"/>
      <c r="M114" s="1"/>
      <c r="R114" s="3"/>
    </row>
    <row r="115" spans="1:18" ht="15.75">
      <c r="B115" s="55"/>
      <c r="C115" s="66"/>
      <c r="D115" s="57"/>
      <c r="E115" s="58"/>
      <c r="F115" s="58"/>
      <c r="G115" s="33"/>
      <c r="H115" s="1"/>
      <c r="M115" s="1"/>
      <c r="R115" s="3"/>
    </row>
    <row r="116" spans="1:18" ht="15.75">
      <c r="B116" s="55"/>
      <c r="C116" s="35"/>
      <c r="D116" s="57"/>
      <c r="E116" s="58"/>
      <c r="F116" s="58"/>
      <c r="G116" s="33"/>
      <c r="H116" s="1"/>
      <c r="M116" s="1"/>
      <c r="R116" s="3"/>
    </row>
    <row r="117" spans="1:18" ht="15.75">
      <c r="B117" s="55"/>
      <c r="C117" s="35"/>
      <c r="D117" s="57"/>
      <c r="E117" s="58"/>
      <c r="F117" s="58"/>
      <c r="G117" s="33"/>
      <c r="H117" s="1"/>
      <c r="M117" s="1"/>
      <c r="R117" s="3"/>
    </row>
    <row r="118" spans="1:18" ht="15.75">
      <c r="B118" s="55"/>
      <c r="C118" s="35"/>
      <c r="D118" s="57"/>
      <c r="E118" s="58"/>
      <c r="F118" s="58"/>
      <c r="G118" s="33"/>
      <c r="H118" s="1"/>
      <c r="M118" s="1"/>
      <c r="R118" s="3"/>
    </row>
    <row r="119" spans="1:18" ht="16.5" thickBot="1">
      <c r="B119" s="56"/>
      <c r="C119" s="37"/>
      <c r="D119" s="56"/>
      <c r="E119" s="59"/>
      <c r="F119" s="59"/>
      <c r="G119" s="34"/>
      <c r="H119" s="1"/>
      <c r="M119" s="1"/>
      <c r="R119" s="3"/>
    </row>
    <row r="120" spans="1:18" ht="16.5" thickBot="1">
      <c r="A120" s="164">
        <f>SUM(A106:A119)</f>
        <v>3713.44</v>
      </c>
      <c r="B120" s="56">
        <f>SUM(B106:B119)</f>
        <v>400</v>
      </c>
      <c r="C120" s="34" t="s">
        <v>66</v>
      </c>
      <c r="D120" s="56">
        <f>SUM(D106:D119)</f>
        <v>330.82000000000005</v>
      </c>
      <c r="E120" s="56">
        <f>SUM(E106:E119)</f>
        <v>0</v>
      </c>
      <c r="F120" s="56">
        <f>SUM(F106:F119)</f>
        <v>0</v>
      </c>
      <c r="G120" s="34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89" t="str">
        <f>'2018'!A26</f>
        <v>Teléfono</v>
      </c>
      <c r="C122" s="290"/>
      <c r="D122" s="290"/>
      <c r="E122" s="290"/>
      <c r="F122" s="290"/>
      <c r="G122" s="291"/>
      <c r="H122" s="1"/>
      <c r="M122" s="1"/>
      <c r="R122" s="3"/>
    </row>
    <row r="123" spans="1:18" ht="16.149999999999999" customHeight="1" thickBot="1">
      <c r="A123" s="1"/>
      <c r="B123" s="292"/>
      <c r="C123" s="293"/>
      <c r="D123" s="293"/>
      <c r="E123" s="293"/>
      <c r="F123" s="293"/>
      <c r="G123" s="294"/>
      <c r="H123" s="1"/>
      <c r="M123" s="1"/>
      <c r="R123" s="3"/>
    </row>
    <row r="124" spans="1:18" ht="15.75">
      <c r="A124" s="1"/>
      <c r="B124" s="297" t="s">
        <v>10</v>
      </c>
      <c r="C124" s="296"/>
      <c r="D124" s="295" t="s">
        <v>11</v>
      </c>
      <c r="E124" s="295"/>
      <c r="F124" s="295"/>
      <c r="G124" s="296"/>
      <c r="H124" s="1"/>
      <c r="M124" s="1"/>
      <c r="R124" s="3"/>
    </row>
    <row r="125" spans="1:18" ht="15.75">
      <c r="A125" s="1"/>
      <c r="B125" s="52" t="s">
        <v>32</v>
      </c>
      <c r="C125" s="60" t="s">
        <v>33</v>
      </c>
      <c r="D125" s="52" t="s">
        <v>68</v>
      </c>
      <c r="E125" s="53" t="s">
        <v>69</v>
      </c>
      <c r="F125" s="53" t="s">
        <v>32</v>
      </c>
      <c r="G125" s="60" t="s">
        <v>33</v>
      </c>
      <c r="H125" s="1"/>
      <c r="M125" s="1"/>
      <c r="R125" s="3"/>
    </row>
    <row r="126" spans="1:18" ht="15.75">
      <c r="A126" s="1"/>
      <c r="B126" s="54">
        <v>27.5</v>
      </c>
      <c r="C126" s="36" t="s">
        <v>57</v>
      </c>
      <c r="D126" s="57">
        <v>27.5</v>
      </c>
      <c r="E126" s="58"/>
      <c r="F126" s="58"/>
      <c r="G126" s="33" t="s">
        <v>57</v>
      </c>
      <c r="H126" s="1"/>
      <c r="M126" s="1"/>
      <c r="R126" s="3"/>
    </row>
    <row r="127" spans="1:18" ht="15.75">
      <c r="A127" s="1"/>
      <c r="B127" s="55">
        <v>12.5</v>
      </c>
      <c r="C127" s="33" t="s">
        <v>58</v>
      </c>
      <c r="D127" s="57">
        <v>15</v>
      </c>
      <c r="E127" s="58"/>
      <c r="F127" s="58"/>
      <c r="G127" s="33" t="s">
        <v>199</v>
      </c>
      <c r="H127" s="1"/>
      <c r="M127" s="1"/>
      <c r="R127" s="3"/>
    </row>
    <row r="128" spans="1:18" ht="15.75">
      <c r="A128" s="1"/>
      <c r="B128" s="55">
        <v>8</v>
      </c>
      <c r="C128" s="33" t="s">
        <v>337</v>
      </c>
      <c r="D128" s="57">
        <v>10</v>
      </c>
      <c r="E128" s="58"/>
      <c r="F128" s="58"/>
      <c r="G128" s="33" t="s">
        <v>219</v>
      </c>
      <c r="H128" s="1"/>
      <c r="M128" s="1"/>
      <c r="R128" s="3"/>
    </row>
    <row r="129" spans="1:18" ht="15.75">
      <c r="A129" s="1"/>
      <c r="B129" s="55"/>
      <c r="C129" s="33"/>
      <c r="D129" s="57"/>
      <c r="E129" s="58">
        <v>7.99</v>
      </c>
      <c r="F129" s="58"/>
      <c r="G129" s="33" t="s">
        <v>337</v>
      </c>
      <c r="H129" s="1"/>
      <c r="M129" s="1"/>
      <c r="R129" s="3"/>
    </row>
    <row r="130" spans="1:18" ht="15.75">
      <c r="A130" s="1"/>
      <c r="B130" s="55"/>
      <c r="C130" s="33"/>
      <c r="D130" s="57"/>
      <c r="E130" s="58"/>
      <c r="F130" s="58"/>
      <c r="G130" s="33"/>
      <c r="H130" s="1"/>
      <c r="M130" s="1"/>
      <c r="R130" s="3"/>
    </row>
    <row r="131" spans="1:18" ht="15.75">
      <c r="A131" s="1"/>
      <c r="B131" s="55"/>
      <c r="C131" s="33"/>
      <c r="D131" s="57"/>
      <c r="E131" s="58"/>
      <c r="F131" s="58"/>
      <c r="G131" s="33"/>
      <c r="H131" s="1"/>
      <c r="M131" s="1"/>
      <c r="R131" s="3"/>
    </row>
    <row r="132" spans="1:18" ht="15.75">
      <c r="A132" s="1"/>
      <c r="B132" s="55"/>
      <c r="C132" s="33"/>
      <c r="D132" s="57"/>
      <c r="E132" s="58"/>
      <c r="F132" s="58"/>
      <c r="G132" s="33"/>
      <c r="H132" s="1"/>
      <c r="M132" s="1"/>
      <c r="R132" s="3"/>
    </row>
    <row r="133" spans="1:18" ht="15.75">
      <c r="A133" s="1"/>
      <c r="B133" s="55"/>
      <c r="C133" s="33"/>
      <c r="D133" s="57"/>
      <c r="E133" s="58"/>
      <c r="F133" s="58"/>
      <c r="G133" s="33"/>
      <c r="H133" s="1"/>
      <c r="M133" s="1"/>
      <c r="R133" s="3"/>
    </row>
    <row r="134" spans="1:18" ht="15.75">
      <c r="A134" s="1"/>
      <c r="B134" s="55"/>
      <c r="C134" s="33"/>
      <c r="D134" s="57"/>
      <c r="E134" s="58"/>
      <c r="F134" s="58"/>
      <c r="G134" s="33"/>
      <c r="H134" s="1"/>
      <c r="M134" s="1"/>
      <c r="R134" s="3"/>
    </row>
    <row r="135" spans="1:18" ht="15.75">
      <c r="A135" s="1"/>
      <c r="B135" s="55"/>
      <c r="C135" s="33"/>
      <c r="D135" s="57"/>
      <c r="E135" s="58"/>
      <c r="F135" s="58"/>
      <c r="G135" s="33"/>
      <c r="H135" s="1"/>
      <c r="M135" s="1"/>
      <c r="R135" s="3"/>
    </row>
    <row r="136" spans="1:18" ht="15.75">
      <c r="A136" s="1"/>
      <c r="B136" s="55"/>
      <c r="C136" s="33"/>
      <c r="D136" s="57"/>
      <c r="E136" s="58"/>
      <c r="F136" s="58"/>
      <c r="G136" s="33"/>
      <c r="H136" s="1"/>
      <c r="M136" s="1"/>
      <c r="R136" s="3"/>
    </row>
    <row r="137" spans="1:18" ht="15.75">
      <c r="A137" s="1"/>
      <c r="B137" s="55"/>
      <c r="C137" s="33"/>
      <c r="D137" s="57"/>
      <c r="E137" s="58"/>
      <c r="F137" s="58"/>
      <c r="G137" s="33"/>
      <c r="H137" s="1"/>
      <c r="M137" s="1"/>
      <c r="R137" s="3"/>
    </row>
    <row r="138" spans="1:18" ht="15.75">
      <c r="A138" s="1"/>
      <c r="B138" s="55"/>
      <c r="C138" s="33"/>
      <c r="D138" s="57"/>
      <c r="E138" s="58"/>
      <c r="F138" s="58"/>
      <c r="G138" s="33"/>
      <c r="H138" s="1"/>
      <c r="M138" s="1"/>
      <c r="R138" s="3"/>
    </row>
    <row r="139" spans="1:18" ht="16.5" thickBot="1">
      <c r="A139" s="1"/>
      <c r="B139" s="56"/>
      <c r="C139" s="34"/>
      <c r="D139" s="56"/>
      <c r="E139" s="59"/>
      <c r="F139" s="59"/>
      <c r="G139" s="34"/>
      <c r="H139" s="1"/>
      <c r="M139" s="1"/>
      <c r="R139" s="3"/>
    </row>
    <row r="140" spans="1:18" ht="16.5" thickBot="1">
      <c r="A140" s="1"/>
      <c r="B140" s="56">
        <f>SUM(B126:B139)</f>
        <v>48</v>
      </c>
      <c r="C140" s="34" t="s">
        <v>66</v>
      </c>
      <c r="D140" s="56">
        <f>SUM(D126:D139)</f>
        <v>52.5</v>
      </c>
      <c r="E140" s="56">
        <f>SUM(E126:E139)</f>
        <v>7.99</v>
      </c>
      <c r="F140" s="56">
        <f>SUM(F126:F139)</f>
        <v>0</v>
      </c>
      <c r="G140" s="34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89" t="str">
        <f>'2018'!A27</f>
        <v>Gatos</v>
      </c>
      <c r="C142" s="290"/>
      <c r="D142" s="290"/>
      <c r="E142" s="290"/>
      <c r="F142" s="290"/>
      <c r="G142" s="291"/>
      <c r="H142" s="1"/>
      <c r="M142" s="1"/>
      <c r="R142" s="3"/>
    </row>
    <row r="143" spans="1:18" ht="16.149999999999999" customHeight="1" thickBot="1">
      <c r="A143" s="1"/>
      <c r="B143" s="292"/>
      <c r="C143" s="293"/>
      <c r="D143" s="293"/>
      <c r="E143" s="293"/>
      <c r="F143" s="293"/>
      <c r="G143" s="294"/>
      <c r="H143" s="1"/>
      <c r="M143" s="1"/>
      <c r="R143" s="3"/>
    </row>
    <row r="144" spans="1:18" ht="15.75">
      <c r="A144" s="1"/>
      <c r="B144" s="297" t="s">
        <v>10</v>
      </c>
      <c r="C144" s="296"/>
      <c r="D144" s="295" t="s">
        <v>11</v>
      </c>
      <c r="E144" s="295"/>
      <c r="F144" s="295"/>
      <c r="G144" s="296"/>
      <c r="H144" s="1"/>
      <c r="M144" s="1"/>
      <c r="R144" s="3"/>
    </row>
    <row r="145" spans="1:22" ht="15.75">
      <c r="A145" s="1"/>
      <c r="B145" s="52" t="s">
        <v>32</v>
      </c>
      <c r="C145" s="60" t="s">
        <v>33</v>
      </c>
      <c r="D145" s="52" t="s">
        <v>68</v>
      </c>
      <c r="E145" s="53" t="s">
        <v>69</v>
      </c>
      <c r="F145" s="53" t="s">
        <v>32</v>
      </c>
      <c r="G145" s="60" t="s">
        <v>393</v>
      </c>
      <c r="H145" s="1"/>
      <c r="M145" s="1"/>
      <c r="R145" s="3"/>
    </row>
    <row r="146" spans="1:22" ht="15.75">
      <c r="A146" s="1"/>
      <c r="B146" s="54">
        <v>50</v>
      </c>
      <c r="C146" s="36" t="s">
        <v>487</v>
      </c>
      <c r="D146" s="57"/>
      <c r="E146" s="58"/>
      <c r="F146" s="58"/>
      <c r="G146" s="33"/>
      <c r="H146" s="1"/>
      <c r="M146" s="1"/>
      <c r="R146" s="3"/>
    </row>
    <row r="147" spans="1:22" ht="15.75">
      <c r="A147" s="1"/>
      <c r="B147" s="55"/>
      <c r="C147" s="33"/>
      <c r="D147" s="57"/>
      <c r="E147" s="58"/>
      <c r="F147" s="58"/>
      <c r="G147" s="33"/>
      <c r="H147" s="1"/>
      <c r="M147" s="1"/>
      <c r="R147" s="3"/>
    </row>
    <row r="148" spans="1:22" ht="15.75">
      <c r="A148" s="1"/>
      <c r="B148" s="55"/>
      <c r="C148" s="33"/>
      <c r="D148" s="57"/>
      <c r="E148" s="58"/>
      <c r="F148" s="58"/>
      <c r="G148" s="33"/>
      <c r="H148" s="1"/>
      <c r="M148" s="1"/>
      <c r="R148" s="3"/>
    </row>
    <row r="149" spans="1:22" ht="15.75">
      <c r="A149" s="1"/>
      <c r="B149" s="55"/>
      <c r="C149" s="33"/>
      <c r="D149" s="57"/>
      <c r="E149" s="58"/>
      <c r="F149" s="58"/>
      <c r="G149" s="33"/>
      <c r="H149" s="1"/>
      <c r="M149" s="1"/>
      <c r="R149" s="3"/>
    </row>
    <row r="150" spans="1:22" ht="15.75">
      <c r="A150" s="1"/>
      <c r="B150" s="55"/>
      <c r="C150" s="33"/>
      <c r="D150" s="57"/>
      <c r="E150" s="58"/>
      <c r="F150" s="58"/>
      <c r="G150" s="33"/>
      <c r="H150" s="1"/>
      <c r="M150" s="1"/>
      <c r="R150" s="3"/>
    </row>
    <row r="151" spans="1:22" ht="15.75">
      <c r="A151" s="1"/>
      <c r="B151" s="55"/>
      <c r="C151" s="33"/>
      <c r="D151" s="57"/>
      <c r="E151" s="58"/>
      <c r="F151" s="58"/>
      <c r="G151" s="33"/>
      <c r="H151" s="1"/>
      <c r="M151" s="1"/>
      <c r="R151" s="3"/>
    </row>
    <row r="152" spans="1:22" ht="15.75">
      <c r="A152" s="1"/>
      <c r="B152" s="55"/>
      <c r="C152" s="33"/>
      <c r="D152" s="57"/>
      <c r="E152" s="58"/>
      <c r="F152" s="58"/>
      <c r="G152" s="33"/>
      <c r="H152" s="1"/>
      <c r="M152" s="1"/>
      <c r="R152" s="3"/>
    </row>
    <row r="153" spans="1:22" ht="15.75">
      <c r="A153" s="1"/>
      <c r="B153" s="55"/>
      <c r="C153" s="33"/>
      <c r="D153" s="57"/>
      <c r="E153" s="58"/>
      <c r="F153" s="58"/>
      <c r="G153" s="33"/>
      <c r="H153" s="1"/>
      <c r="M153" s="1"/>
      <c r="R153" s="3"/>
    </row>
    <row r="154" spans="1:22" ht="15.75">
      <c r="A154" s="1"/>
      <c r="B154" s="55"/>
      <c r="C154" s="33"/>
      <c r="D154" s="57"/>
      <c r="E154" s="58"/>
      <c r="F154" s="58"/>
      <c r="G154" s="33"/>
      <c r="H154" s="1"/>
      <c r="M154" s="1"/>
      <c r="R154" s="3"/>
    </row>
    <row r="155" spans="1:22" ht="15.75">
      <c r="A155" s="1"/>
      <c r="B155" s="55"/>
      <c r="C155" s="33"/>
      <c r="D155" s="57"/>
      <c r="E155" s="58"/>
      <c r="F155" s="58"/>
      <c r="G155" s="33"/>
      <c r="H155" s="1"/>
      <c r="M155" s="1"/>
      <c r="R155" s="3"/>
    </row>
    <row r="156" spans="1:22" ht="15.75">
      <c r="A156" s="1"/>
      <c r="B156" s="55"/>
      <c r="C156" s="33"/>
      <c r="D156" s="57"/>
      <c r="E156" s="58"/>
      <c r="F156" s="58"/>
      <c r="G156" s="33"/>
      <c r="H156" s="1"/>
      <c r="M156" s="1"/>
      <c r="R156" s="3"/>
    </row>
    <row r="157" spans="1:22" ht="15.75">
      <c r="A157" s="1"/>
      <c r="B157" s="55"/>
      <c r="C157" s="33"/>
      <c r="D157" s="57"/>
      <c r="E157" s="58"/>
      <c r="F157" s="58"/>
      <c r="G157" s="33"/>
      <c r="H157" s="1"/>
      <c r="M157" s="1"/>
      <c r="R157" s="3"/>
    </row>
    <row r="158" spans="1:22" ht="15.75">
      <c r="A158" s="1"/>
      <c r="B158" s="55"/>
      <c r="C158" s="33"/>
      <c r="D158" s="57"/>
      <c r="E158" s="58"/>
      <c r="F158" s="58"/>
      <c r="G158" s="33"/>
      <c r="H158" s="1"/>
      <c r="M158" s="1"/>
      <c r="R158" s="3"/>
    </row>
    <row r="159" spans="1:22" ht="16.5" thickBot="1">
      <c r="A159" s="1"/>
      <c r="B159" s="56"/>
      <c r="C159" s="34"/>
      <c r="D159" s="56"/>
      <c r="E159" s="59"/>
      <c r="F159" s="59"/>
      <c r="G159" s="34"/>
      <c r="H159" s="1"/>
      <c r="M159" s="1"/>
      <c r="R159" s="3"/>
    </row>
    <row r="160" spans="1:22" ht="16.5" thickBot="1">
      <c r="A160" s="1"/>
      <c r="B160" s="56">
        <f>SUM(B146:B159)</f>
        <v>50</v>
      </c>
      <c r="C160" s="34" t="s">
        <v>66</v>
      </c>
      <c r="D160" s="56">
        <f>SUM(D146:D159)</f>
        <v>0</v>
      </c>
      <c r="E160" s="56">
        <f>SUM(E146:E159)</f>
        <v>0</v>
      </c>
      <c r="F160" s="56">
        <f>SUM(F146:F159)</f>
        <v>0</v>
      </c>
      <c r="G160" s="34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89" t="str">
        <f>'2018'!A28</f>
        <v>Vacaciones</v>
      </c>
      <c r="C162" s="290"/>
      <c r="D162" s="290"/>
      <c r="E162" s="290"/>
      <c r="F162" s="290"/>
      <c r="G162" s="29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92"/>
      <c r="C163" s="293"/>
      <c r="D163" s="293"/>
      <c r="E163" s="293"/>
      <c r="F163" s="293"/>
      <c r="G163" s="294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97" t="s">
        <v>10</v>
      </c>
      <c r="C164" s="296"/>
      <c r="D164" s="295" t="s">
        <v>11</v>
      </c>
      <c r="E164" s="295"/>
      <c r="F164" s="295"/>
      <c r="G164" s="29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52" t="s">
        <v>32</v>
      </c>
      <c r="C165" s="60" t="s">
        <v>33</v>
      </c>
      <c r="D165" s="52" t="s">
        <v>68</v>
      </c>
      <c r="E165" s="53" t="s">
        <v>69</v>
      </c>
      <c r="F165" s="53" t="s">
        <v>32</v>
      </c>
      <c r="G165" s="60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54">
        <v>200</v>
      </c>
      <c r="C166" s="36" t="s">
        <v>36</v>
      </c>
      <c r="D166" s="57"/>
      <c r="E166" s="58"/>
      <c r="F166" s="58">
        <f>500-100-78</f>
        <v>322</v>
      </c>
      <c r="G166" s="33" t="s">
        <v>569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55"/>
      <c r="C167" s="33"/>
      <c r="D167" s="57">
        <v>9</v>
      </c>
      <c r="E167" s="58"/>
      <c r="F167" s="58"/>
      <c r="G167" s="33" t="s">
        <v>574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55"/>
      <c r="C168" s="33"/>
      <c r="D168" s="57">
        <v>70</v>
      </c>
      <c r="E168" s="58"/>
      <c r="F168" s="58"/>
      <c r="G168" s="33" t="s">
        <v>574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55"/>
      <c r="C169" s="33"/>
      <c r="D169" s="57">
        <v>27.57</v>
      </c>
      <c r="E169" s="58"/>
      <c r="F169" s="58"/>
      <c r="G169" s="33" t="s">
        <v>576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55"/>
      <c r="C170" s="33"/>
      <c r="D170" s="57">
        <v>52.1</v>
      </c>
      <c r="E170" s="58"/>
      <c r="F170" s="58"/>
      <c r="G170" s="33" t="s">
        <v>577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55"/>
      <c r="C171" s="33"/>
      <c r="D171" s="57">
        <v>28</v>
      </c>
      <c r="E171" s="58"/>
      <c r="F171" s="58"/>
      <c r="G171" s="33" t="s">
        <v>578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55"/>
      <c r="C172" s="33"/>
      <c r="D172" s="57">
        <v>22</v>
      </c>
      <c r="E172" s="58"/>
      <c r="F172" s="58"/>
      <c r="G172" s="33" t="s">
        <v>578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55"/>
      <c r="C173" s="33"/>
      <c r="D173" s="57">
        <v>12.64</v>
      </c>
      <c r="E173" s="58"/>
      <c r="F173" s="58"/>
      <c r="G173" s="33" t="s">
        <v>579</v>
      </c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55"/>
      <c r="C174" s="33"/>
      <c r="D174" s="57">
        <v>494.9</v>
      </c>
      <c r="E174" s="58"/>
      <c r="F174" s="58"/>
      <c r="G174" s="33" t="s">
        <v>593</v>
      </c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55"/>
      <c r="C175" s="33"/>
      <c r="D175" s="57"/>
      <c r="E175" s="58"/>
      <c r="F175" s="58"/>
      <c r="G175" s="33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55"/>
      <c r="C176" s="33"/>
      <c r="D176" s="57"/>
      <c r="E176" s="58"/>
      <c r="F176" s="58"/>
      <c r="G176" s="33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55"/>
      <c r="C177" s="33"/>
      <c r="D177" s="57"/>
      <c r="E177" s="58"/>
      <c r="F177" s="58"/>
      <c r="G177" s="33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55"/>
      <c r="C178" s="33"/>
      <c r="D178" s="57"/>
      <c r="E178" s="58"/>
      <c r="F178" s="58"/>
      <c r="G178" s="33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56"/>
      <c r="C179" s="34"/>
      <c r="D179" s="56"/>
      <c r="E179" s="59"/>
      <c r="F179" s="59"/>
      <c r="G179" s="34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56">
        <f>SUM(B166:B179)</f>
        <v>200</v>
      </c>
      <c r="C180" s="34" t="s">
        <v>66</v>
      </c>
      <c r="D180" s="56">
        <f>SUM(D166:D179)</f>
        <v>716.21</v>
      </c>
      <c r="E180" s="56">
        <f>SUM(E166:E179)</f>
        <v>0</v>
      </c>
      <c r="F180" s="56">
        <f>SUM(F166:F179)</f>
        <v>322</v>
      </c>
      <c r="G180" s="34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89" t="str">
        <f>'2018'!A29</f>
        <v>Ropa</v>
      </c>
      <c r="C182" s="290"/>
      <c r="D182" s="290"/>
      <c r="E182" s="290"/>
      <c r="F182" s="290"/>
      <c r="G182" s="29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92"/>
      <c r="C183" s="293"/>
      <c r="D183" s="293"/>
      <c r="E183" s="293"/>
      <c r="F183" s="293"/>
      <c r="G183" s="294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97" t="s">
        <v>10</v>
      </c>
      <c r="C184" s="296"/>
      <c r="D184" s="295" t="s">
        <v>11</v>
      </c>
      <c r="E184" s="295"/>
      <c r="F184" s="295"/>
      <c r="G184" s="29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52" t="s">
        <v>32</v>
      </c>
      <c r="C185" s="60" t="s">
        <v>33</v>
      </c>
      <c r="D185" s="52" t="s">
        <v>68</v>
      </c>
      <c r="E185" s="53" t="s">
        <v>69</v>
      </c>
      <c r="F185" s="53" t="s">
        <v>32</v>
      </c>
      <c r="G185" s="60" t="s">
        <v>393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54">
        <v>70</v>
      </c>
      <c r="C186" s="36" t="s">
        <v>506</v>
      </c>
      <c r="D186" s="57">
        <v>33.799999999999997</v>
      </c>
      <c r="E186" s="58"/>
      <c r="F186" s="58"/>
      <c r="G186" s="33" t="s">
        <v>573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55"/>
      <c r="C187" s="33"/>
      <c r="D187" s="57">
        <v>20</v>
      </c>
      <c r="E187" s="58"/>
      <c r="F187" s="58"/>
      <c r="G187" s="33" t="s">
        <v>634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55"/>
      <c r="C188" s="33"/>
      <c r="D188" s="57"/>
      <c r="E188" s="58"/>
      <c r="F188" s="58"/>
      <c r="G188" s="33"/>
    </row>
    <row r="189" spans="1:22">
      <c r="B189" s="55"/>
      <c r="C189" s="33"/>
      <c r="D189" s="57"/>
      <c r="E189" s="58"/>
      <c r="F189" s="58"/>
      <c r="G189" s="33"/>
    </row>
    <row r="190" spans="1:22">
      <c r="B190" s="55"/>
      <c r="C190" s="33"/>
      <c r="D190" s="57"/>
      <c r="E190" s="58"/>
      <c r="F190" s="58"/>
      <c r="G190" s="33"/>
    </row>
    <row r="191" spans="1:22">
      <c r="B191" s="55"/>
      <c r="C191" s="33"/>
      <c r="D191" s="57"/>
      <c r="E191" s="58"/>
      <c r="F191" s="58"/>
      <c r="G191" s="33"/>
    </row>
    <row r="192" spans="1:22">
      <c r="B192" s="55"/>
      <c r="C192" s="33"/>
      <c r="D192" s="57"/>
      <c r="E192" s="58"/>
      <c r="F192" s="58"/>
      <c r="G192" s="33"/>
    </row>
    <row r="193" spans="2:7">
      <c r="B193" s="55"/>
      <c r="C193" s="33"/>
      <c r="D193" s="57"/>
      <c r="E193" s="58"/>
      <c r="F193" s="58"/>
      <c r="G193" s="33"/>
    </row>
    <row r="194" spans="2:7">
      <c r="B194" s="55"/>
      <c r="C194" s="33"/>
      <c r="D194" s="57"/>
      <c r="E194" s="58"/>
      <c r="F194" s="58"/>
      <c r="G194" s="33"/>
    </row>
    <row r="195" spans="2:7">
      <c r="B195" s="55"/>
      <c r="C195" s="33"/>
      <c r="D195" s="57"/>
      <c r="E195" s="58"/>
      <c r="F195" s="58"/>
      <c r="G195" s="33"/>
    </row>
    <row r="196" spans="2:7">
      <c r="B196" s="55"/>
      <c r="C196" s="33"/>
      <c r="D196" s="57"/>
      <c r="E196" s="58"/>
      <c r="F196" s="58"/>
      <c r="G196" s="33"/>
    </row>
    <row r="197" spans="2:7">
      <c r="B197" s="55"/>
      <c r="C197" s="33"/>
      <c r="D197" s="57"/>
      <c r="E197" s="58"/>
      <c r="F197" s="58"/>
      <c r="G197" s="33"/>
    </row>
    <row r="198" spans="2:7">
      <c r="B198" s="55"/>
      <c r="C198" s="33"/>
      <c r="D198" s="57"/>
      <c r="E198" s="58"/>
      <c r="F198" s="58"/>
      <c r="G198" s="33"/>
    </row>
    <row r="199" spans="2:7" ht="15.75" thickBot="1">
      <c r="B199" s="56"/>
      <c r="C199" s="34"/>
      <c r="D199" s="56"/>
      <c r="E199" s="59"/>
      <c r="F199" s="59"/>
      <c r="G199" s="34"/>
    </row>
    <row r="200" spans="2:7" ht="15.75" thickBot="1">
      <c r="B200" s="56">
        <f>SUM(B186:B199)</f>
        <v>70</v>
      </c>
      <c r="C200" s="34" t="s">
        <v>66</v>
      </c>
      <c r="D200" s="56">
        <f>SUM(D186:D199)</f>
        <v>53.8</v>
      </c>
      <c r="E200" s="56">
        <f>SUM(E186:E199)</f>
        <v>0</v>
      </c>
      <c r="F200" s="56">
        <f>SUM(F186:F199)</f>
        <v>0</v>
      </c>
      <c r="G200" s="34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89" t="str">
        <f>'2018'!A30</f>
        <v>Belleza</v>
      </c>
      <c r="C202" s="290"/>
      <c r="D202" s="290"/>
      <c r="E202" s="290"/>
      <c r="F202" s="290"/>
      <c r="G202" s="291"/>
    </row>
    <row r="203" spans="2:7" ht="15" customHeight="1" thickBot="1">
      <c r="B203" s="292"/>
      <c r="C203" s="293"/>
      <c r="D203" s="293"/>
      <c r="E203" s="293"/>
      <c r="F203" s="293"/>
      <c r="G203" s="294"/>
    </row>
    <row r="204" spans="2:7">
      <c r="B204" s="297" t="s">
        <v>10</v>
      </c>
      <c r="C204" s="296"/>
      <c r="D204" s="295" t="s">
        <v>11</v>
      </c>
      <c r="E204" s="295"/>
      <c r="F204" s="295"/>
      <c r="G204" s="296"/>
    </row>
    <row r="205" spans="2:7">
      <c r="B205" s="52" t="s">
        <v>32</v>
      </c>
      <c r="C205" s="60" t="s">
        <v>33</v>
      </c>
      <c r="D205" s="52" t="s">
        <v>68</v>
      </c>
      <c r="E205" s="53" t="s">
        <v>69</v>
      </c>
      <c r="F205" s="53" t="s">
        <v>32</v>
      </c>
      <c r="G205" s="60" t="s">
        <v>393</v>
      </c>
    </row>
    <row r="206" spans="2:7">
      <c r="B206" s="54">
        <v>35</v>
      </c>
      <c r="C206" s="36"/>
      <c r="D206" s="57"/>
      <c r="E206" s="58"/>
      <c r="F206" s="58"/>
      <c r="G206" s="33"/>
    </row>
    <row r="207" spans="2:7">
      <c r="B207" s="55"/>
      <c r="C207" s="33"/>
      <c r="D207" s="57"/>
      <c r="E207" s="58"/>
      <c r="F207" s="58"/>
      <c r="G207" s="33"/>
    </row>
    <row r="208" spans="2:7">
      <c r="B208" s="55"/>
      <c r="C208" s="33"/>
      <c r="D208" s="57"/>
      <c r="E208" s="58"/>
      <c r="F208" s="58"/>
      <c r="G208" s="33"/>
    </row>
    <row r="209" spans="2:7">
      <c r="B209" s="55"/>
      <c r="C209" s="33"/>
      <c r="D209" s="57"/>
      <c r="E209" s="58"/>
      <c r="F209" s="58"/>
      <c r="G209" s="33"/>
    </row>
    <row r="210" spans="2:7">
      <c r="B210" s="55"/>
      <c r="C210" s="33"/>
      <c r="D210" s="57"/>
      <c r="E210" s="58"/>
      <c r="F210" s="58"/>
      <c r="G210" s="33"/>
    </row>
    <row r="211" spans="2:7">
      <c r="B211" s="55"/>
      <c r="C211" s="33"/>
      <c r="D211" s="57"/>
      <c r="E211" s="58"/>
      <c r="F211" s="58"/>
      <c r="G211" s="33"/>
    </row>
    <row r="212" spans="2:7">
      <c r="B212" s="55"/>
      <c r="C212" s="33"/>
      <c r="D212" s="57"/>
      <c r="E212" s="58"/>
      <c r="F212" s="58"/>
      <c r="G212" s="33"/>
    </row>
    <row r="213" spans="2:7">
      <c r="B213" s="55"/>
      <c r="C213" s="33"/>
      <c r="D213" s="57"/>
      <c r="E213" s="58"/>
      <c r="F213" s="58"/>
      <c r="G213" s="33"/>
    </row>
    <row r="214" spans="2:7">
      <c r="B214" s="55"/>
      <c r="C214" s="33"/>
      <c r="D214" s="57"/>
      <c r="E214" s="58"/>
      <c r="F214" s="58"/>
      <c r="G214" s="33"/>
    </row>
    <row r="215" spans="2:7">
      <c r="B215" s="55"/>
      <c r="C215" s="33"/>
      <c r="D215" s="57"/>
      <c r="E215" s="58"/>
      <c r="F215" s="58"/>
      <c r="G215" s="33"/>
    </row>
    <row r="216" spans="2:7">
      <c r="B216" s="55"/>
      <c r="C216" s="33"/>
      <c r="D216" s="57"/>
      <c r="E216" s="58"/>
      <c r="F216" s="58"/>
      <c r="G216" s="33"/>
    </row>
    <row r="217" spans="2:7">
      <c r="B217" s="55"/>
      <c r="C217" s="33"/>
      <c r="D217" s="57"/>
      <c r="E217" s="58"/>
      <c r="F217" s="58"/>
      <c r="G217" s="33"/>
    </row>
    <row r="218" spans="2:7">
      <c r="B218" s="55"/>
      <c r="C218" s="33"/>
      <c r="D218" s="57"/>
      <c r="E218" s="58"/>
      <c r="F218" s="58"/>
      <c r="G218" s="33"/>
    </row>
    <row r="219" spans="2:7" ht="15.75" thickBot="1">
      <c r="B219" s="56"/>
      <c r="C219" s="34"/>
      <c r="D219" s="56"/>
      <c r="E219" s="59"/>
      <c r="F219" s="59"/>
      <c r="G219" s="34"/>
    </row>
    <row r="220" spans="2:7" ht="15.75" thickBot="1">
      <c r="B220" s="56">
        <f>SUM(B206:B219)</f>
        <v>35</v>
      </c>
      <c r="C220" s="34" t="s">
        <v>66</v>
      </c>
      <c r="D220" s="56">
        <f>SUM(D206:D219)</f>
        <v>0</v>
      </c>
      <c r="E220" s="56">
        <f>SUM(E206:E219)</f>
        <v>0</v>
      </c>
      <c r="F220" s="56">
        <f>SUM(F206:F219)</f>
        <v>0</v>
      </c>
      <c r="G220" s="34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89" t="str">
        <f>'2018'!A31</f>
        <v>Deportes</v>
      </c>
      <c r="C222" s="290"/>
      <c r="D222" s="290"/>
      <c r="E222" s="290"/>
      <c r="F222" s="290"/>
      <c r="G222" s="291"/>
    </row>
    <row r="223" spans="2:7" ht="15" customHeight="1" thickBot="1">
      <c r="B223" s="292"/>
      <c r="C223" s="293"/>
      <c r="D223" s="293"/>
      <c r="E223" s="293"/>
      <c r="F223" s="293"/>
      <c r="G223" s="294"/>
    </row>
    <row r="224" spans="2:7">
      <c r="B224" s="297" t="s">
        <v>10</v>
      </c>
      <c r="C224" s="296"/>
      <c r="D224" s="295" t="s">
        <v>11</v>
      </c>
      <c r="E224" s="295"/>
      <c r="F224" s="295"/>
      <c r="G224" s="296"/>
    </row>
    <row r="225" spans="2:7">
      <c r="B225" s="52" t="s">
        <v>32</v>
      </c>
      <c r="C225" s="60" t="s">
        <v>33</v>
      </c>
      <c r="D225" s="52" t="s">
        <v>68</v>
      </c>
      <c r="E225" s="53" t="s">
        <v>69</v>
      </c>
      <c r="F225" s="53" t="s">
        <v>32</v>
      </c>
      <c r="G225" s="60" t="s">
        <v>33</v>
      </c>
    </row>
    <row r="226" spans="2:7">
      <c r="B226" s="54">
        <v>20</v>
      </c>
      <c r="C226" s="36" t="s">
        <v>50</v>
      </c>
      <c r="D226" s="57">
        <f>20+20</f>
        <v>40</v>
      </c>
      <c r="E226" s="58"/>
      <c r="F226" s="58"/>
      <c r="G226" s="58" t="s">
        <v>50</v>
      </c>
    </row>
    <row r="227" spans="2:7">
      <c r="B227" s="55">
        <v>0</v>
      </c>
      <c r="C227" s="33" t="s">
        <v>46</v>
      </c>
      <c r="D227" s="57"/>
      <c r="E227" s="58"/>
      <c r="F227" s="58"/>
      <c r="G227" s="33"/>
    </row>
    <row r="228" spans="2:7">
      <c r="B228" s="55"/>
      <c r="C228" s="33"/>
      <c r="D228" s="57"/>
      <c r="E228" s="58"/>
      <c r="F228" s="58"/>
      <c r="G228" s="33"/>
    </row>
    <row r="229" spans="2:7">
      <c r="B229" s="55"/>
      <c r="C229" s="33"/>
      <c r="D229" s="57"/>
      <c r="E229" s="58"/>
      <c r="F229" s="58"/>
      <c r="G229" s="33"/>
    </row>
    <row r="230" spans="2:7">
      <c r="B230" s="55"/>
      <c r="C230" s="33"/>
      <c r="D230" s="57"/>
      <c r="E230" s="58"/>
      <c r="F230" s="58"/>
      <c r="G230" s="33"/>
    </row>
    <row r="231" spans="2:7">
      <c r="B231" s="55"/>
      <c r="C231" s="33"/>
      <c r="D231" s="57"/>
      <c r="E231" s="58"/>
      <c r="F231" s="58"/>
      <c r="G231" s="33"/>
    </row>
    <row r="232" spans="2:7">
      <c r="B232" s="55"/>
      <c r="C232" s="33"/>
      <c r="D232" s="57"/>
      <c r="E232" s="58"/>
      <c r="F232" s="58"/>
      <c r="G232" s="33"/>
    </row>
    <row r="233" spans="2:7">
      <c r="B233" s="55"/>
      <c r="C233" s="33"/>
      <c r="D233" s="57"/>
      <c r="E233" s="58"/>
      <c r="F233" s="58"/>
      <c r="G233" s="33"/>
    </row>
    <row r="234" spans="2:7">
      <c r="B234" s="55"/>
      <c r="C234" s="33"/>
      <c r="D234" s="57"/>
      <c r="E234" s="58"/>
      <c r="F234" s="58"/>
      <c r="G234" s="33"/>
    </row>
    <row r="235" spans="2:7">
      <c r="B235" s="55"/>
      <c r="C235" s="33"/>
      <c r="D235" s="57"/>
      <c r="E235" s="58"/>
      <c r="F235" s="58"/>
      <c r="G235" s="33"/>
    </row>
    <row r="236" spans="2:7">
      <c r="B236" s="55"/>
      <c r="C236" s="33"/>
      <c r="D236" s="57"/>
      <c r="E236" s="58"/>
      <c r="F236" s="58"/>
      <c r="G236" s="33"/>
    </row>
    <row r="237" spans="2:7">
      <c r="B237" s="55"/>
      <c r="C237" s="33"/>
      <c r="D237" s="57"/>
      <c r="E237" s="58"/>
      <c r="F237" s="58"/>
      <c r="G237" s="33"/>
    </row>
    <row r="238" spans="2:7">
      <c r="B238" s="55"/>
      <c r="C238" s="33"/>
      <c r="D238" s="57"/>
      <c r="E238" s="58"/>
      <c r="F238" s="58"/>
      <c r="G238" s="33"/>
    </row>
    <row r="239" spans="2:7" ht="15.75" thickBot="1">
      <c r="B239" s="56"/>
      <c r="C239" s="34"/>
      <c r="D239" s="56"/>
      <c r="E239" s="59"/>
      <c r="F239" s="59"/>
      <c r="G239" s="34"/>
    </row>
    <row r="240" spans="2:7" ht="15.75" thickBot="1">
      <c r="B240" s="56">
        <f>SUM(B226:B239)</f>
        <v>20</v>
      </c>
      <c r="C240" s="34" t="s">
        <v>66</v>
      </c>
      <c r="D240" s="56">
        <f>SUM(D226:D239)</f>
        <v>40</v>
      </c>
      <c r="E240" s="56">
        <f>SUM(E226:E239)</f>
        <v>0</v>
      </c>
      <c r="F240" s="56">
        <f>SUM(F226:F239)</f>
        <v>0</v>
      </c>
      <c r="G240" s="34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89" t="str">
        <f>'2018'!A32</f>
        <v>Hogar</v>
      </c>
      <c r="C242" s="290"/>
      <c r="D242" s="290"/>
      <c r="E242" s="290"/>
      <c r="F242" s="290"/>
      <c r="G242" s="291"/>
    </row>
    <row r="243" spans="2:7" ht="15" customHeight="1" thickBot="1">
      <c r="B243" s="292"/>
      <c r="C243" s="293"/>
      <c r="D243" s="293"/>
      <c r="E243" s="293"/>
      <c r="F243" s="293"/>
      <c r="G243" s="294"/>
    </row>
    <row r="244" spans="2:7" ht="15" customHeight="1">
      <c r="B244" s="297" t="s">
        <v>10</v>
      </c>
      <c r="C244" s="296"/>
      <c r="D244" s="295" t="s">
        <v>11</v>
      </c>
      <c r="E244" s="295"/>
      <c r="F244" s="295"/>
      <c r="G244" s="296"/>
    </row>
    <row r="245" spans="2:7" ht="15" customHeight="1">
      <c r="B245" s="52" t="s">
        <v>32</v>
      </c>
      <c r="C245" s="60" t="s">
        <v>33</v>
      </c>
      <c r="D245" s="52" t="s">
        <v>68</v>
      </c>
      <c r="E245" s="53" t="s">
        <v>69</v>
      </c>
      <c r="F245" s="53" t="s">
        <v>32</v>
      </c>
      <c r="G245" s="60" t="s">
        <v>393</v>
      </c>
    </row>
    <row r="246" spans="2:7" ht="15" customHeight="1">
      <c r="B246" s="55">
        <v>50</v>
      </c>
      <c r="C246" s="66"/>
      <c r="D246" s="57">
        <v>10.4</v>
      </c>
      <c r="E246" s="58"/>
      <c r="F246" s="58"/>
      <c r="G246" s="33" t="s">
        <v>585</v>
      </c>
    </row>
    <row r="247" spans="2:7" ht="15" customHeight="1">
      <c r="B247" s="55"/>
      <c r="C247" s="33"/>
      <c r="D247" s="57">
        <v>23.07</v>
      </c>
      <c r="E247" s="58"/>
      <c r="F247" s="58"/>
      <c r="G247" s="33" t="s">
        <v>647</v>
      </c>
    </row>
    <row r="248" spans="2:7">
      <c r="B248" s="55"/>
      <c r="C248" s="33"/>
      <c r="D248" s="57"/>
      <c r="E248" s="58"/>
      <c r="F248" s="58"/>
      <c r="G248" s="33"/>
    </row>
    <row r="249" spans="2:7">
      <c r="B249" s="55"/>
      <c r="C249" s="33"/>
      <c r="D249" s="57"/>
      <c r="E249" s="58"/>
      <c r="F249" s="58"/>
      <c r="G249" s="33"/>
    </row>
    <row r="250" spans="2:7">
      <c r="B250" s="55"/>
      <c r="C250" s="33"/>
      <c r="D250" s="57"/>
      <c r="E250" s="58"/>
      <c r="F250" s="58"/>
      <c r="G250" s="33"/>
    </row>
    <row r="251" spans="2:7">
      <c r="B251" s="55"/>
      <c r="C251" s="33"/>
      <c r="D251" s="57"/>
      <c r="E251" s="58"/>
      <c r="F251" s="58"/>
      <c r="G251" s="33"/>
    </row>
    <row r="252" spans="2:7">
      <c r="B252" s="55"/>
      <c r="C252" s="33"/>
      <c r="D252" s="57"/>
      <c r="E252" s="58"/>
      <c r="F252" s="58"/>
      <c r="G252" s="33"/>
    </row>
    <row r="253" spans="2:7">
      <c r="B253" s="55"/>
      <c r="C253" s="33"/>
      <c r="D253" s="57"/>
      <c r="E253" s="58"/>
      <c r="F253" s="58"/>
      <c r="G253" s="33"/>
    </row>
    <row r="254" spans="2:7">
      <c r="B254" s="55"/>
      <c r="C254" s="33"/>
      <c r="D254" s="57"/>
      <c r="E254" s="58"/>
      <c r="F254" s="58"/>
      <c r="G254" s="33"/>
    </row>
    <row r="255" spans="2:7">
      <c r="B255" s="55"/>
      <c r="C255" s="33"/>
      <c r="D255" s="57"/>
      <c r="E255" s="58"/>
      <c r="F255" s="58"/>
      <c r="G255" s="33"/>
    </row>
    <row r="256" spans="2:7">
      <c r="B256" s="55"/>
      <c r="C256" s="33"/>
      <c r="D256" s="57"/>
      <c r="E256" s="58"/>
      <c r="F256" s="58"/>
      <c r="G256" s="33"/>
    </row>
    <row r="257" spans="2:7">
      <c r="B257" s="55"/>
      <c r="C257" s="33"/>
      <c r="D257" s="57"/>
      <c r="E257" s="58"/>
      <c r="F257" s="58"/>
      <c r="G257" s="33"/>
    </row>
    <row r="258" spans="2:7">
      <c r="B258" s="55"/>
      <c r="C258" s="33"/>
      <c r="D258" s="57"/>
      <c r="E258" s="58"/>
      <c r="F258" s="58"/>
      <c r="G258" s="33"/>
    </row>
    <row r="259" spans="2:7" ht="15.75" thickBot="1">
      <c r="B259" s="56"/>
      <c r="C259" s="34"/>
      <c r="D259" s="56"/>
      <c r="E259" s="59"/>
      <c r="F259" s="59"/>
      <c r="G259" s="34"/>
    </row>
    <row r="260" spans="2:7" ht="15.75" thickBot="1">
      <c r="B260" s="56">
        <f>SUM(B246:B259)</f>
        <v>50</v>
      </c>
      <c r="C260" s="34" t="s">
        <v>66</v>
      </c>
      <c r="D260" s="56">
        <f>SUM(D246:D259)</f>
        <v>33.47</v>
      </c>
      <c r="E260" s="56">
        <f>SUM(E246:E259)</f>
        <v>0</v>
      </c>
      <c r="F260" s="56">
        <f>SUM(F246:F259)</f>
        <v>0</v>
      </c>
      <c r="G260" s="34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89" t="str">
        <f>'2018'!A33</f>
        <v>Formación</v>
      </c>
      <c r="C262" s="290"/>
      <c r="D262" s="290"/>
      <c r="E262" s="290"/>
      <c r="F262" s="290"/>
      <c r="G262" s="291"/>
    </row>
    <row r="263" spans="2:7" ht="15" customHeight="1" thickBot="1">
      <c r="B263" s="292"/>
      <c r="C263" s="293"/>
      <c r="D263" s="293"/>
      <c r="E263" s="293"/>
      <c r="F263" s="293"/>
      <c r="G263" s="294"/>
    </row>
    <row r="264" spans="2:7">
      <c r="B264" s="297" t="s">
        <v>10</v>
      </c>
      <c r="C264" s="296"/>
      <c r="D264" s="295" t="s">
        <v>11</v>
      </c>
      <c r="E264" s="295"/>
      <c r="F264" s="295"/>
      <c r="G264" s="296"/>
    </row>
    <row r="265" spans="2:7">
      <c r="B265" s="52" t="s">
        <v>32</v>
      </c>
      <c r="C265" s="60" t="s">
        <v>33</v>
      </c>
      <c r="D265" s="52" t="s">
        <v>68</v>
      </c>
      <c r="E265" s="53" t="s">
        <v>69</v>
      </c>
      <c r="F265" s="53" t="s">
        <v>32</v>
      </c>
      <c r="G265" s="60" t="s">
        <v>33</v>
      </c>
    </row>
    <row r="266" spans="2:7">
      <c r="B266" s="54">
        <v>50</v>
      </c>
      <c r="C266" s="36"/>
      <c r="D266" s="57"/>
      <c r="E266" s="58"/>
      <c r="F266" s="58"/>
      <c r="G266" s="33"/>
    </row>
    <row r="267" spans="2:7">
      <c r="B267" s="55"/>
      <c r="C267" s="33"/>
      <c r="D267" s="57"/>
      <c r="E267" s="58"/>
      <c r="F267" s="58"/>
      <c r="G267" s="33"/>
    </row>
    <row r="268" spans="2:7">
      <c r="B268" s="55"/>
      <c r="C268" s="33"/>
      <c r="D268" s="57"/>
      <c r="E268" s="58"/>
      <c r="F268" s="58"/>
      <c r="G268" s="33"/>
    </row>
    <row r="269" spans="2:7">
      <c r="B269" s="55"/>
      <c r="C269" s="33"/>
      <c r="D269" s="57"/>
      <c r="E269" s="58"/>
      <c r="F269" s="58"/>
      <c r="G269" s="33"/>
    </row>
    <row r="270" spans="2:7">
      <c r="B270" s="55"/>
      <c r="C270" s="33"/>
      <c r="D270" s="57"/>
      <c r="E270" s="58"/>
      <c r="F270" s="58"/>
      <c r="G270" s="33"/>
    </row>
    <row r="271" spans="2:7">
      <c r="B271" s="55"/>
      <c r="C271" s="33"/>
      <c r="D271" s="57"/>
      <c r="E271" s="58"/>
      <c r="F271" s="58"/>
      <c r="G271" s="33"/>
    </row>
    <row r="272" spans="2:7">
      <c r="B272" s="55"/>
      <c r="C272" s="33"/>
      <c r="D272" s="57"/>
      <c r="E272" s="58"/>
      <c r="F272" s="58"/>
      <c r="G272" s="33"/>
    </row>
    <row r="273" spans="2:7">
      <c r="B273" s="55"/>
      <c r="C273" s="33"/>
      <c r="D273" s="57"/>
      <c r="E273" s="58"/>
      <c r="F273" s="58"/>
      <c r="G273" s="33"/>
    </row>
    <row r="274" spans="2:7">
      <c r="B274" s="55"/>
      <c r="C274" s="33"/>
      <c r="D274" s="57"/>
      <c r="E274" s="58"/>
      <c r="F274" s="58"/>
      <c r="G274" s="33"/>
    </row>
    <row r="275" spans="2:7">
      <c r="B275" s="55"/>
      <c r="C275" s="33"/>
      <c r="D275" s="57"/>
      <c r="E275" s="58"/>
      <c r="F275" s="58"/>
      <c r="G275" s="33"/>
    </row>
    <row r="276" spans="2:7">
      <c r="B276" s="55"/>
      <c r="C276" s="33"/>
      <c r="D276" s="57"/>
      <c r="E276" s="58"/>
      <c r="F276" s="58"/>
      <c r="G276" s="33"/>
    </row>
    <row r="277" spans="2:7">
      <c r="B277" s="55"/>
      <c r="C277" s="33"/>
      <c r="D277" s="57"/>
      <c r="E277" s="58"/>
      <c r="F277" s="58"/>
      <c r="G277" s="33"/>
    </row>
    <row r="278" spans="2:7">
      <c r="B278" s="55"/>
      <c r="C278" s="33"/>
      <c r="D278" s="57"/>
      <c r="E278" s="58"/>
      <c r="F278" s="58"/>
      <c r="G278" s="33"/>
    </row>
    <row r="279" spans="2:7" ht="15.75" thickBot="1">
      <c r="B279" s="56"/>
      <c r="C279" s="34"/>
      <c r="D279" s="56"/>
      <c r="E279" s="59"/>
      <c r="F279" s="59"/>
      <c r="G279" s="34"/>
    </row>
    <row r="280" spans="2:7" ht="15.75" thickBot="1">
      <c r="B280" s="56">
        <f>SUM(B266:B279)</f>
        <v>50</v>
      </c>
      <c r="C280" s="34" t="s">
        <v>66</v>
      </c>
      <c r="D280" s="56">
        <f>SUM(D266:D279)</f>
        <v>0</v>
      </c>
      <c r="E280" s="56">
        <f>SUM(E266:E279)</f>
        <v>0</v>
      </c>
      <c r="F280" s="56">
        <f>SUM(F266:F279)</f>
        <v>0</v>
      </c>
      <c r="G280" s="34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289" t="str">
        <f>'2018'!A34</f>
        <v>Regalos</v>
      </c>
      <c r="C282" s="290"/>
      <c r="D282" s="290"/>
      <c r="E282" s="290"/>
      <c r="F282" s="290"/>
      <c r="G282" s="291"/>
    </row>
    <row r="283" spans="2:7" ht="15" customHeight="1" thickBot="1">
      <c r="B283" s="292"/>
      <c r="C283" s="293"/>
      <c r="D283" s="293"/>
      <c r="E283" s="293"/>
      <c r="F283" s="293"/>
      <c r="G283" s="294"/>
    </row>
    <row r="284" spans="2:7">
      <c r="B284" s="297" t="s">
        <v>10</v>
      </c>
      <c r="C284" s="296"/>
      <c r="D284" s="295" t="s">
        <v>11</v>
      </c>
      <c r="E284" s="295"/>
      <c r="F284" s="295"/>
      <c r="G284" s="296"/>
    </row>
    <row r="285" spans="2:7">
      <c r="B285" s="52" t="s">
        <v>32</v>
      </c>
      <c r="C285" s="60" t="s">
        <v>33</v>
      </c>
      <c r="D285" s="52" t="s">
        <v>68</v>
      </c>
      <c r="E285" s="53" t="s">
        <v>69</v>
      </c>
      <c r="F285" s="53" t="s">
        <v>32</v>
      </c>
      <c r="G285" s="60" t="s">
        <v>393</v>
      </c>
    </row>
    <row r="286" spans="2:7">
      <c r="B286" s="54">
        <v>100</v>
      </c>
      <c r="C286" s="36" t="s">
        <v>36</v>
      </c>
      <c r="D286" s="57"/>
      <c r="E286" s="58">
        <v>38.549999999999997</v>
      </c>
      <c r="F286" s="58"/>
      <c r="G286" s="33" t="s">
        <v>599</v>
      </c>
    </row>
    <row r="287" spans="2:7">
      <c r="B287" s="55">
        <v>399</v>
      </c>
      <c r="C287" s="33" t="s">
        <v>646</v>
      </c>
      <c r="D287" s="57">
        <v>9.6999999999999993</v>
      </c>
      <c r="E287" s="58"/>
      <c r="F287" s="58"/>
      <c r="G287" s="33" t="s">
        <v>631</v>
      </c>
    </row>
    <row r="288" spans="2:7">
      <c r="B288" s="55"/>
      <c r="C288" s="33"/>
      <c r="D288" s="57"/>
      <c r="E288" s="58">
        <v>27.64</v>
      </c>
      <c r="F288" s="58"/>
      <c r="G288" s="33" t="s">
        <v>632</v>
      </c>
    </row>
    <row r="289" spans="2:7">
      <c r="B289" s="55"/>
      <c r="C289" s="33"/>
      <c r="D289" s="57">
        <v>6.49</v>
      </c>
      <c r="E289" s="58"/>
      <c r="F289" s="58"/>
      <c r="G289" s="33" t="s">
        <v>637</v>
      </c>
    </row>
    <row r="290" spans="2:7">
      <c r="B290" s="55"/>
      <c r="C290" s="33"/>
      <c r="D290" s="57"/>
      <c r="E290" s="58"/>
      <c r="F290" s="58"/>
      <c r="G290" s="33"/>
    </row>
    <row r="291" spans="2:7">
      <c r="B291" s="55"/>
      <c r="C291" s="33"/>
      <c r="D291" s="57"/>
      <c r="E291" s="58"/>
      <c r="F291" s="58"/>
      <c r="G291" s="33"/>
    </row>
    <row r="292" spans="2:7">
      <c r="B292" s="55"/>
      <c r="C292" s="33"/>
      <c r="D292" s="57"/>
      <c r="E292" s="58"/>
      <c r="F292" s="58"/>
      <c r="G292" s="33"/>
    </row>
    <row r="293" spans="2:7">
      <c r="B293" s="55"/>
      <c r="C293" s="33"/>
      <c r="D293" s="57"/>
      <c r="E293" s="58"/>
      <c r="F293" s="58"/>
      <c r="G293" s="33"/>
    </row>
    <row r="294" spans="2:7">
      <c r="B294" s="55"/>
      <c r="C294" s="33"/>
      <c r="D294" s="57"/>
      <c r="E294" s="58"/>
      <c r="F294" s="58"/>
      <c r="G294" s="33"/>
    </row>
    <row r="295" spans="2:7">
      <c r="B295" s="55"/>
      <c r="C295" s="33"/>
      <c r="D295" s="57"/>
      <c r="E295" s="58"/>
      <c r="F295" s="58"/>
      <c r="G295" s="33"/>
    </row>
    <row r="296" spans="2:7">
      <c r="B296" s="55"/>
      <c r="C296" s="33"/>
      <c r="D296" s="57"/>
      <c r="E296" s="58"/>
      <c r="F296" s="58"/>
      <c r="G296" s="33"/>
    </row>
    <row r="297" spans="2:7">
      <c r="B297" s="55"/>
      <c r="C297" s="33"/>
      <c r="D297" s="57"/>
      <c r="E297" s="58"/>
      <c r="F297" s="58"/>
      <c r="G297" s="33"/>
    </row>
    <row r="298" spans="2:7">
      <c r="B298" s="55"/>
      <c r="C298" s="33"/>
      <c r="D298" s="57"/>
      <c r="E298" s="58"/>
      <c r="F298" s="58"/>
      <c r="G298" s="33"/>
    </row>
    <row r="299" spans="2:7" ht="15.75" thickBot="1">
      <c r="B299" s="56"/>
      <c r="C299" s="34"/>
      <c r="D299" s="56"/>
      <c r="E299" s="59"/>
      <c r="F299" s="59"/>
      <c r="G299" s="34"/>
    </row>
    <row r="300" spans="2:7" ht="15.75" thickBot="1">
      <c r="B300" s="56">
        <f>SUM(B286:B299)</f>
        <v>499</v>
      </c>
      <c r="C300" s="34" t="s">
        <v>66</v>
      </c>
      <c r="D300" s="56">
        <f>SUM(D286:D299)</f>
        <v>16.189999999999998</v>
      </c>
      <c r="E300" s="56">
        <f>SUM(E286:E299)</f>
        <v>66.19</v>
      </c>
      <c r="F300" s="56">
        <f>SUM(F286:F299)</f>
        <v>0</v>
      </c>
      <c r="G300" s="34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89" t="str">
        <f>'2018'!A35</f>
        <v>Salud</v>
      </c>
      <c r="C302" s="290"/>
      <c r="D302" s="290"/>
      <c r="E302" s="290"/>
      <c r="F302" s="290"/>
      <c r="G302" s="291"/>
    </row>
    <row r="303" spans="2:7" ht="15" customHeight="1" thickBot="1">
      <c r="B303" s="292"/>
      <c r="C303" s="293"/>
      <c r="D303" s="293"/>
      <c r="E303" s="293"/>
      <c r="F303" s="293"/>
      <c r="G303" s="294"/>
    </row>
    <row r="304" spans="2:7">
      <c r="B304" s="297" t="s">
        <v>10</v>
      </c>
      <c r="C304" s="296"/>
      <c r="D304" s="295" t="s">
        <v>11</v>
      </c>
      <c r="E304" s="295"/>
      <c r="F304" s="295"/>
      <c r="G304" s="296"/>
    </row>
    <row r="305" spans="2:7">
      <c r="B305" s="52" t="s">
        <v>32</v>
      </c>
      <c r="C305" s="60" t="s">
        <v>33</v>
      </c>
      <c r="D305" s="52" t="s">
        <v>68</v>
      </c>
      <c r="E305" s="53" t="s">
        <v>69</v>
      </c>
      <c r="F305" s="53" t="s">
        <v>32</v>
      </c>
      <c r="G305" s="60" t="s">
        <v>393</v>
      </c>
    </row>
    <row r="306" spans="2:7">
      <c r="B306" s="54">
        <v>110</v>
      </c>
      <c r="C306" s="36" t="s">
        <v>472</v>
      </c>
      <c r="D306" s="57">
        <v>10.81</v>
      </c>
      <c r="E306" s="58"/>
      <c r="F306" s="58"/>
      <c r="G306" s="33" t="s">
        <v>571</v>
      </c>
    </row>
    <row r="307" spans="2:7">
      <c r="B307" s="84"/>
      <c r="C307" s="66"/>
      <c r="D307" s="57">
        <v>49.56</v>
      </c>
      <c r="E307" s="58"/>
      <c r="F307" s="58"/>
      <c r="G307" s="33" t="s">
        <v>584</v>
      </c>
    </row>
    <row r="308" spans="2:7">
      <c r="B308" s="84"/>
      <c r="C308" s="66"/>
      <c r="D308" s="57">
        <v>9.1</v>
      </c>
      <c r="E308" s="58"/>
      <c r="F308" s="58"/>
      <c r="G308" s="33" t="s">
        <v>607</v>
      </c>
    </row>
    <row r="309" spans="2:7">
      <c r="B309" s="55"/>
      <c r="C309" s="33"/>
      <c r="D309" s="57">
        <v>4.1399999999999997</v>
      </c>
      <c r="E309" s="58"/>
      <c r="F309" s="58"/>
      <c r="G309" s="33" t="s">
        <v>613</v>
      </c>
    </row>
    <row r="310" spans="2:7">
      <c r="B310" s="55"/>
      <c r="C310" s="33"/>
      <c r="D310" s="57"/>
      <c r="E310" s="58"/>
      <c r="F310" s="58"/>
      <c r="G310" s="33"/>
    </row>
    <row r="311" spans="2:7">
      <c r="B311" s="55"/>
      <c r="C311" s="33"/>
      <c r="D311" s="57"/>
      <c r="E311" s="58"/>
      <c r="F311" s="58"/>
      <c r="G311" s="33"/>
    </row>
    <row r="312" spans="2:7">
      <c r="B312" s="55"/>
      <c r="C312" s="33"/>
      <c r="D312" s="57"/>
      <c r="E312" s="58"/>
      <c r="F312" s="58"/>
      <c r="G312" s="33"/>
    </row>
    <row r="313" spans="2:7">
      <c r="B313" s="55"/>
      <c r="C313" s="33"/>
      <c r="D313" s="57"/>
      <c r="E313" s="58"/>
      <c r="F313" s="58"/>
      <c r="G313" s="33"/>
    </row>
    <row r="314" spans="2:7">
      <c r="B314" s="55"/>
      <c r="C314" s="33"/>
      <c r="D314" s="57"/>
      <c r="E314" s="58"/>
      <c r="F314" s="58"/>
      <c r="G314" s="33"/>
    </row>
    <row r="315" spans="2:7">
      <c r="B315" s="55"/>
      <c r="C315" s="33"/>
      <c r="D315" s="57"/>
      <c r="E315" s="58"/>
      <c r="F315" s="58"/>
      <c r="G315" s="33"/>
    </row>
    <row r="316" spans="2:7">
      <c r="B316" s="55"/>
      <c r="C316" s="33"/>
      <c r="D316" s="57"/>
      <c r="E316" s="58"/>
      <c r="F316" s="58"/>
      <c r="G316" s="33"/>
    </row>
    <row r="317" spans="2:7">
      <c r="B317" s="55"/>
      <c r="C317" s="33"/>
      <c r="D317" s="57"/>
      <c r="E317" s="58"/>
      <c r="F317" s="58"/>
      <c r="G317" s="33"/>
    </row>
    <row r="318" spans="2:7">
      <c r="B318" s="55"/>
      <c r="C318" s="33"/>
      <c r="D318" s="57"/>
      <c r="E318" s="58"/>
      <c r="F318" s="58"/>
      <c r="G318" s="33"/>
    </row>
    <row r="319" spans="2:7" ht="15.75" thickBot="1">
      <c r="B319" s="56"/>
      <c r="C319" s="34"/>
      <c r="D319" s="56"/>
      <c r="E319" s="59"/>
      <c r="F319" s="59"/>
      <c r="G319" s="34"/>
    </row>
    <row r="320" spans="2:7" ht="15.75" thickBot="1">
      <c r="B320" s="56">
        <f>SUM(B306:B319)</f>
        <v>110</v>
      </c>
      <c r="C320" s="34" t="s">
        <v>66</v>
      </c>
      <c r="D320" s="56">
        <f>SUM(D306:D319)</f>
        <v>73.61</v>
      </c>
      <c r="E320" s="56">
        <f>SUM(E306:E319)</f>
        <v>0</v>
      </c>
      <c r="F320" s="56">
        <f>SUM(F306:F319)</f>
        <v>0</v>
      </c>
      <c r="G320" s="34" t="s">
        <v>66</v>
      </c>
    </row>
    <row r="321" spans="2:7" ht="15.75" thickBot="1"/>
    <row r="322" spans="2:7" ht="14.45" customHeight="1">
      <c r="B322" s="289" t="str">
        <f>'2018'!A36</f>
        <v>Martina</v>
      </c>
      <c r="C322" s="290"/>
      <c r="D322" s="290"/>
      <c r="E322" s="290"/>
      <c r="F322" s="290"/>
      <c r="G322" s="291"/>
    </row>
    <row r="323" spans="2:7" ht="15" customHeight="1" thickBot="1">
      <c r="B323" s="292"/>
      <c r="C323" s="293"/>
      <c r="D323" s="293"/>
      <c r="E323" s="293"/>
      <c r="F323" s="293"/>
      <c r="G323" s="294"/>
    </row>
    <row r="324" spans="2:7">
      <c r="B324" s="297" t="s">
        <v>10</v>
      </c>
      <c r="C324" s="296"/>
      <c r="D324" s="295" t="s">
        <v>11</v>
      </c>
      <c r="E324" s="295"/>
      <c r="F324" s="295"/>
      <c r="G324" s="296"/>
    </row>
    <row r="325" spans="2:7">
      <c r="B325" s="52" t="s">
        <v>32</v>
      </c>
      <c r="C325" s="60" t="s">
        <v>33</v>
      </c>
      <c r="D325" s="52" t="s">
        <v>68</v>
      </c>
      <c r="E325" s="53" t="s">
        <v>69</v>
      </c>
      <c r="F325" s="53" t="s">
        <v>32</v>
      </c>
      <c r="G325" s="60" t="s">
        <v>393</v>
      </c>
    </row>
    <row r="326" spans="2:7">
      <c r="B326" s="54">
        <v>90</v>
      </c>
      <c r="C326" s="36"/>
      <c r="D326" s="57">
        <v>348</v>
      </c>
      <c r="E326" s="58"/>
      <c r="F326" s="58"/>
      <c r="G326" s="33" t="s">
        <v>606</v>
      </c>
    </row>
    <row r="327" spans="2:7">
      <c r="B327" s="55"/>
      <c r="C327" s="33"/>
      <c r="D327" s="57">
        <v>8.9499999999999993</v>
      </c>
      <c r="E327" s="58"/>
      <c r="F327" s="58"/>
      <c r="G327" s="33" t="s">
        <v>634</v>
      </c>
    </row>
    <row r="328" spans="2:7">
      <c r="B328" s="55"/>
      <c r="C328" s="33"/>
      <c r="D328" s="57"/>
      <c r="E328" s="58"/>
      <c r="F328" s="58"/>
      <c r="G328" s="33"/>
    </row>
    <row r="329" spans="2:7">
      <c r="B329" s="55"/>
      <c r="C329" s="33"/>
      <c r="D329" s="57"/>
      <c r="E329" s="58"/>
      <c r="F329" s="58"/>
      <c r="G329" s="33"/>
    </row>
    <row r="330" spans="2:7">
      <c r="B330" s="55"/>
      <c r="C330" s="33"/>
      <c r="D330" s="57"/>
      <c r="E330" s="58"/>
      <c r="F330" s="58"/>
      <c r="G330" s="33"/>
    </row>
    <row r="331" spans="2:7">
      <c r="B331" s="55"/>
      <c r="C331" s="33"/>
      <c r="D331" s="57"/>
      <c r="E331" s="58"/>
      <c r="F331" s="58"/>
      <c r="G331" s="33"/>
    </row>
    <row r="332" spans="2:7">
      <c r="B332" s="55"/>
      <c r="C332" s="33"/>
      <c r="D332" s="57"/>
      <c r="E332" s="58"/>
      <c r="F332" s="58"/>
      <c r="G332" s="33"/>
    </row>
    <row r="333" spans="2:7">
      <c r="B333" s="55"/>
      <c r="C333" s="33"/>
      <c r="D333" s="57"/>
      <c r="E333" s="58"/>
      <c r="F333" s="58"/>
      <c r="G333" s="33"/>
    </row>
    <row r="334" spans="2:7">
      <c r="B334" s="55"/>
      <c r="C334" s="33"/>
      <c r="D334" s="57"/>
      <c r="E334" s="58"/>
      <c r="F334" s="58"/>
      <c r="G334" s="33"/>
    </row>
    <row r="335" spans="2:7">
      <c r="B335" s="55"/>
      <c r="C335" s="33"/>
      <c r="D335" s="57"/>
      <c r="E335" s="58"/>
      <c r="F335" s="58"/>
      <c r="G335" s="33"/>
    </row>
    <row r="336" spans="2:7">
      <c r="B336" s="55"/>
      <c r="C336" s="33"/>
      <c r="D336" s="57"/>
      <c r="E336" s="58"/>
      <c r="F336" s="58"/>
      <c r="G336" s="33"/>
    </row>
    <row r="337" spans="2:7">
      <c r="B337" s="55"/>
      <c r="C337" s="33"/>
      <c r="D337" s="57"/>
      <c r="E337" s="58"/>
      <c r="F337" s="58"/>
      <c r="G337" s="33"/>
    </row>
    <row r="338" spans="2:7">
      <c r="B338" s="55"/>
      <c r="C338" s="33"/>
      <c r="D338" s="57"/>
      <c r="E338" s="58"/>
      <c r="F338" s="58"/>
      <c r="G338" s="33"/>
    </row>
    <row r="339" spans="2:7" ht="15.75" thickBot="1">
      <c r="B339" s="56"/>
      <c r="C339" s="34"/>
      <c r="D339" s="56"/>
      <c r="E339" s="59"/>
      <c r="F339" s="59"/>
      <c r="G339" s="34"/>
    </row>
    <row r="340" spans="2:7" ht="15.75" thickBot="1">
      <c r="B340" s="56">
        <f>SUM(B326:B339)</f>
        <v>90</v>
      </c>
      <c r="C340" s="34" t="s">
        <v>66</v>
      </c>
      <c r="D340" s="56">
        <f>SUM(D326:D339)</f>
        <v>356.95</v>
      </c>
      <c r="E340" s="56">
        <f>SUM(E326:E339)</f>
        <v>0</v>
      </c>
      <c r="F340" s="56">
        <f>SUM(F326:F339)</f>
        <v>0</v>
      </c>
      <c r="G340" s="34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89" t="str">
        <f>'2018'!A37</f>
        <v>Impuestos</v>
      </c>
      <c r="C342" s="290"/>
      <c r="D342" s="290"/>
      <c r="E342" s="290"/>
      <c r="F342" s="290"/>
      <c r="G342" s="291"/>
    </row>
    <row r="343" spans="2:7" ht="15" customHeight="1" thickBot="1">
      <c r="B343" s="292"/>
      <c r="C343" s="293"/>
      <c r="D343" s="293"/>
      <c r="E343" s="293"/>
      <c r="F343" s="293"/>
      <c r="G343" s="294"/>
    </row>
    <row r="344" spans="2:7">
      <c r="B344" s="297" t="s">
        <v>10</v>
      </c>
      <c r="C344" s="296"/>
      <c r="D344" s="295" t="s">
        <v>11</v>
      </c>
      <c r="E344" s="295"/>
      <c r="F344" s="295"/>
      <c r="G344" s="296"/>
    </row>
    <row r="345" spans="2:7">
      <c r="B345" s="52" t="s">
        <v>32</v>
      </c>
      <c r="C345" s="60" t="s">
        <v>33</v>
      </c>
      <c r="D345" s="52" t="s">
        <v>68</v>
      </c>
      <c r="E345" s="53" t="s">
        <v>69</v>
      </c>
      <c r="F345" s="53" t="s">
        <v>32</v>
      </c>
      <c r="G345" s="60" t="s">
        <v>393</v>
      </c>
    </row>
    <row r="346" spans="2:7">
      <c r="B346" s="54">
        <v>30</v>
      </c>
      <c r="C346" s="36" t="s">
        <v>119</v>
      </c>
      <c r="D346" s="57">
        <v>65</v>
      </c>
      <c r="E346" s="58"/>
      <c r="F346" s="58"/>
      <c r="G346" s="33" t="s">
        <v>592</v>
      </c>
    </row>
    <row r="347" spans="2:7">
      <c r="B347" s="55">
        <v>30</v>
      </c>
      <c r="C347" s="33" t="s">
        <v>558</v>
      </c>
      <c r="D347" s="57">
        <v>83</v>
      </c>
      <c r="E347" s="58"/>
      <c r="F347" s="58"/>
      <c r="G347" s="33" t="s">
        <v>640</v>
      </c>
    </row>
    <row r="348" spans="2:7">
      <c r="B348" s="55"/>
      <c r="C348" s="33"/>
      <c r="D348" s="57"/>
      <c r="E348" s="58"/>
      <c r="F348" s="58"/>
      <c r="G348" s="33"/>
    </row>
    <row r="349" spans="2:7">
      <c r="B349" s="55"/>
      <c r="C349" s="33"/>
      <c r="D349" s="57"/>
      <c r="E349" s="58"/>
      <c r="F349" s="58"/>
      <c r="G349" s="33"/>
    </row>
    <row r="350" spans="2:7">
      <c r="B350" s="55"/>
      <c r="C350" s="33"/>
      <c r="D350" s="57"/>
      <c r="E350" s="58"/>
      <c r="F350" s="58"/>
      <c r="G350" s="33"/>
    </row>
    <row r="351" spans="2:7">
      <c r="B351" s="55"/>
      <c r="C351" s="33"/>
      <c r="D351" s="57"/>
      <c r="E351" s="58"/>
      <c r="F351" s="58"/>
      <c r="G351" s="33"/>
    </row>
    <row r="352" spans="2:7">
      <c r="B352" s="55"/>
      <c r="C352" s="33"/>
      <c r="D352" s="57"/>
      <c r="E352" s="58"/>
      <c r="F352" s="58"/>
      <c r="G352" s="33"/>
    </row>
    <row r="353" spans="2:7">
      <c r="B353" s="55"/>
      <c r="C353" s="33"/>
      <c r="D353" s="57"/>
      <c r="E353" s="58"/>
      <c r="F353" s="58"/>
      <c r="G353" s="33"/>
    </row>
    <row r="354" spans="2:7">
      <c r="B354" s="55"/>
      <c r="C354" s="33"/>
      <c r="D354" s="57"/>
      <c r="E354" s="58"/>
      <c r="F354" s="58"/>
      <c r="G354" s="33"/>
    </row>
    <row r="355" spans="2:7">
      <c r="B355" s="55"/>
      <c r="C355" s="33"/>
      <c r="D355" s="57"/>
      <c r="E355" s="58"/>
      <c r="F355" s="58"/>
      <c r="G355" s="33"/>
    </row>
    <row r="356" spans="2:7">
      <c r="B356" s="55"/>
      <c r="C356" s="33"/>
      <c r="D356" s="57"/>
      <c r="E356" s="58"/>
      <c r="F356" s="58"/>
      <c r="G356" s="33"/>
    </row>
    <row r="357" spans="2:7">
      <c r="B357" s="55"/>
      <c r="C357" s="33"/>
      <c r="D357" s="57"/>
      <c r="E357" s="58"/>
      <c r="F357" s="58"/>
      <c r="G357" s="33"/>
    </row>
    <row r="358" spans="2:7">
      <c r="B358" s="55"/>
      <c r="C358" s="33"/>
      <c r="D358" s="57"/>
      <c r="E358" s="58"/>
      <c r="F358" s="58"/>
      <c r="G358" s="33"/>
    </row>
    <row r="359" spans="2:7" ht="15.75" thickBot="1">
      <c r="B359" s="56"/>
      <c r="C359" s="34"/>
      <c r="D359" s="56"/>
      <c r="E359" s="59"/>
      <c r="F359" s="59"/>
      <c r="G359" s="34"/>
    </row>
    <row r="360" spans="2:7" ht="15.75" thickBot="1">
      <c r="B360" s="56">
        <f>SUM(B346:B359)</f>
        <v>60</v>
      </c>
      <c r="C360" s="34" t="s">
        <v>66</v>
      </c>
      <c r="D360" s="56">
        <f>SUM(D346:D359)</f>
        <v>148</v>
      </c>
      <c r="E360" s="56">
        <f>SUM(E346:E359)</f>
        <v>0</v>
      </c>
      <c r="F360" s="56">
        <f>SUM(F346:F359)</f>
        <v>0</v>
      </c>
      <c r="G360" s="34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89" t="str">
        <f>'2018'!A38</f>
        <v>Gastos Curros</v>
      </c>
      <c r="C362" s="290"/>
      <c r="D362" s="290"/>
      <c r="E362" s="290"/>
      <c r="F362" s="290"/>
      <c r="G362" s="291"/>
    </row>
    <row r="363" spans="2:7" ht="15" customHeight="1" thickBot="1">
      <c r="B363" s="292"/>
      <c r="C363" s="293"/>
      <c r="D363" s="293"/>
      <c r="E363" s="293"/>
      <c r="F363" s="293"/>
      <c r="G363" s="294"/>
    </row>
    <row r="364" spans="2:7">
      <c r="B364" s="297" t="s">
        <v>10</v>
      </c>
      <c r="C364" s="296"/>
      <c r="D364" s="295" t="s">
        <v>11</v>
      </c>
      <c r="E364" s="295"/>
      <c r="F364" s="295"/>
      <c r="G364" s="296"/>
    </row>
    <row r="365" spans="2:7">
      <c r="B365" s="52" t="s">
        <v>32</v>
      </c>
      <c r="C365" s="60" t="s">
        <v>33</v>
      </c>
      <c r="D365" s="52" t="s">
        <v>68</v>
      </c>
      <c r="E365" s="53" t="s">
        <v>69</v>
      </c>
      <c r="F365" s="53" t="s">
        <v>32</v>
      </c>
      <c r="G365" s="60" t="s">
        <v>393</v>
      </c>
    </row>
    <row r="366" spans="2:7">
      <c r="B366" s="54">
        <v>70</v>
      </c>
      <c r="C366" s="36" t="s">
        <v>36</v>
      </c>
      <c r="D366" s="57"/>
      <c r="E366" s="58"/>
      <c r="F366" s="58">
        <f>4+4.5+2.8+4.05+3.5+3.4+3.5+4.5</f>
        <v>30.25</v>
      </c>
      <c r="G366" s="70" t="s">
        <v>91</v>
      </c>
    </row>
    <row r="367" spans="2:7">
      <c r="B367" s="55"/>
      <c r="C367" s="33"/>
      <c r="D367" s="57">
        <v>6</v>
      </c>
      <c r="E367" s="58"/>
      <c r="F367" s="58"/>
      <c r="G367" s="174" t="s">
        <v>591</v>
      </c>
    </row>
    <row r="368" spans="2:7">
      <c r="B368" s="55"/>
      <c r="C368" s="33"/>
      <c r="D368" s="57">
        <v>5.78</v>
      </c>
      <c r="E368" s="58"/>
      <c r="F368" s="58"/>
      <c r="G368" s="33" t="s">
        <v>596</v>
      </c>
    </row>
    <row r="369" spans="2:7">
      <c r="B369" s="55"/>
      <c r="C369" s="33"/>
      <c r="D369" s="57">
        <v>15.01</v>
      </c>
      <c r="E369" s="58"/>
      <c r="F369" s="58"/>
      <c r="G369" s="33" t="s">
        <v>602</v>
      </c>
    </row>
    <row r="370" spans="2:7">
      <c r="B370" s="55"/>
      <c r="C370" s="33"/>
      <c r="D370" s="57">
        <v>3.78</v>
      </c>
      <c r="E370" s="58"/>
      <c r="F370" s="58"/>
      <c r="G370" s="33" t="s">
        <v>647</v>
      </c>
    </row>
    <row r="371" spans="2:7">
      <c r="B371" s="55"/>
      <c r="C371" s="33"/>
      <c r="D371" s="57"/>
      <c r="E371" s="58"/>
      <c r="F371" s="58"/>
      <c r="G371" s="33"/>
    </row>
    <row r="372" spans="2:7">
      <c r="B372" s="55"/>
      <c r="C372" s="33"/>
      <c r="D372" s="57"/>
      <c r="E372" s="58"/>
      <c r="F372" s="58"/>
      <c r="G372" s="33"/>
    </row>
    <row r="373" spans="2:7">
      <c r="B373" s="55"/>
      <c r="C373" s="33"/>
      <c r="D373" s="57"/>
      <c r="E373" s="58"/>
      <c r="F373" s="58"/>
      <c r="G373" s="33"/>
    </row>
    <row r="374" spans="2:7">
      <c r="B374" s="55"/>
      <c r="C374" s="33"/>
      <c r="D374" s="57"/>
      <c r="E374" s="58"/>
      <c r="F374" s="58"/>
      <c r="G374" s="33"/>
    </row>
    <row r="375" spans="2:7">
      <c r="B375" s="55"/>
      <c r="C375" s="33"/>
      <c r="D375" s="57"/>
      <c r="E375" s="58"/>
      <c r="F375" s="58"/>
      <c r="G375" s="33"/>
    </row>
    <row r="376" spans="2:7">
      <c r="B376" s="55"/>
      <c r="C376" s="33"/>
      <c r="D376" s="57"/>
      <c r="E376" s="58"/>
      <c r="F376" s="58"/>
      <c r="G376" s="33"/>
    </row>
    <row r="377" spans="2:7">
      <c r="B377" s="55"/>
      <c r="C377" s="33"/>
      <c r="D377" s="57"/>
      <c r="E377" s="58"/>
      <c r="F377" s="58"/>
      <c r="G377" s="33"/>
    </row>
    <row r="378" spans="2:7">
      <c r="B378" s="55"/>
      <c r="C378" s="33"/>
      <c r="D378" s="57"/>
      <c r="E378" s="58"/>
      <c r="F378" s="58"/>
      <c r="G378" s="33"/>
    </row>
    <row r="379" spans="2:7" ht="15.75" thickBot="1">
      <c r="B379" s="56"/>
      <c r="C379" s="34"/>
      <c r="D379" s="56"/>
      <c r="E379" s="59"/>
      <c r="F379" s="59"/>
      <c r="G379" s="34"/>
    </row>
    <row r="380" spans="2:7" ht="15.75" thickBot="1">
      <c r="B380" s="56">
        <f>SUM(B366:B379)</f>
        <v>70</v>
      </c>
      <c r="C380" s="34" t="s">
        <v>66</v>
      </c>
      <c r="D380" s="56">
        <f>SUM(D366:D379)</f>
        <v>30.57</v>
      </c>
      <c r="E380" s="56">
        <f>SUM(E366:E379)</f>
        <v>0</v>
      </c>
      <c r="F380" s="56">
        <f>SUM(F366:F379)</f>
        <v>30.25</v>
      </c>
      <c r="G380" s="34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89" t="str">
        <f>'2018'!A39</f>
        <v>Dreamed Holidays</v>
      </c>
      <c r="C382" s="290"/>
      <c r="D382" s="290"/>
      <c r="E382" s="290"/>
      <c r="F382" s="290"/>
      <c r="G382" s="291"/>
    </row>
    <row r="383" spans="2:7" ht="15" customHeight="1" thickBot="1">
      <c r="B383" s="292"/>
      <c r="C383" s="293"/>
      <c r="D383" s="293"/>
      <c r="E383" s="293"/>
      <c r="F383" s="293"/>
      <c r="G383" s="294"/>
    </row>
    <row r="384" spans="2:7">
      <c r="B384" s="297" t="s">
        <v>10</v>
      </c>
      <c r="C384" s="296"/>
      <c r="D384" s="295" t="s">
        <v>11</v>
      </c>
      <c r="E384" s="295"/>
      <c r="F384" s="295"/>
      <c r="G384" s="296"/>
    </row>
    <row r="385" spans="2:7">
      <c r="B385" s="52" t="s">
        <v>32</v>
      </c>
      <c r="C385" s="60" t="s">
        <v>33</v>
      </c>
      <c r="D385" s="52" t="s">
        <v>68</v>
      </c>
      <c r="E385" s="53" t="s">
        <v>69</v>
      </c>
      <c r="F385" s="53" t="s">
        <v>32</v>
      </c>
      <c r="G385" s="60" t="s">
        <v>33</v>
      </c>
    </row>
    <row r="386" spans="2:7">
      <c r="B386" s="54">
        <v>20</v>
      </c>
      <c r="C386" s="36"/>
      <c r="D386" s="57"/>
      <c r="E386" s="58"/>
      <c r="F386" s="58"/>
      <c r="G386" s="33"/>
    </row>
    <row r="387" spans="2:7">
      <c r="B387" s="55"/>
      <c r="C387" s="33"/>
      <c r="D387" s="57"/>
      <c r="E387" s="58"/>
      <c r="F387" s="58"/>
      <c r="G387" s="33"/>
    </row>
    <row r="388" spans="2:7">
      <c r="B388" s="55"/>
      <c r="C388" s="33"/>
      <c r="D388" s="57"/>
      <c r="E388" s="58"/>
      <c r="F388" s="58"/>
      <c r="G388" s="33"/>
    </row>
    <row r="389" spans="2:7">
      <c r="B389" s="55"/>
      <c r="C389" s="33"/>
      <c r="D389" s="57"/>
      <c r="E389" s="58"/>
      <c r="F389" s="58"/>
      <c r="G389" s="33"/>
    </row>
    <row r="390" spans="2:7">
      <c r="B390" s="55"/>
      <c r="C390" s="33"/>
      <c r="D390" s="57"/>
      <c r="E390" s="58"/>
      <c r="F390" s="58"/>
      <c r="G390" s="33"/>
    </row>
    <row r="391" spans="2:7">
      <c r="B391" s="55"/>
      <c r="C391" s="33"/>
      <c r="D391" s="57"/>
      <c r="E391" s="58"/>
      <c r="F391" s="58"/>
      <c r="G391" s="33"/>
    </row>
    <row r="392" spans="2:7">
      <c r="B392" s="55"/>
      <c r="C392" s="33"/>
      <c r="D392" s="57"/>
      <c r="E392" s="58"/>
      <c r="F392" s="58"/>
      <c r="G392" s="33"/>
    </row>
    <row r="393" spans="2:7">
      <c r="B393" s="55"/>
      <c r="C393" s="33"/>
      <c r="D393" s="57"/>
      <c r="E393" s="58"/>
      <c r="F393" s="58"/>
      <c r="G393" s="33"/>
    </row>
    <row r="394" spans="2:7">
      <c r="B394" s="55"/>
      <c r="C394" s="33"/>
      <c r="D394" s="57"/>
      <c r="E394" s="58"/>
      <c r="F394" s="58"/>
      <c r="G394" s="33"/>
    </row>
    <row r="395" spans="2:7">
      <c r="B395" s="55"/>
      <c r="C395" s="33"/>
      <c r="D395" s="57"/>
      <c r="E395" s="58"/>
      <c r="F395" s="58"/>
      <c r="G395" s="33"/>
    </row>
    <row r="396" spans="2:7">
      <c r="B396" s="55"/>
      <c r="C396" s="33"/>
      <c r="D396" s="57"/>
      <c r="E396" s="58"/>
      <c r="F396" s="58"/>
      <c r="G396" s="33"/>
    </row>
    <row r="397" spans="2:7">
      <c r="B397" s="55"/>
      <c r="C397" s="33"/>
      <c r="D397" s="57"/>
      <c r="E397" s="58"/>
      <c r="F397" s="58"/>
      <c r="G397" s="33"/>
    </row>
    <row r="398" spans="2:7">
      <c r="B398" s="55"/>
      <c r="C398" s="33"/>
      <c r="D398" s="57"/>
      <c r="E398" s="58"/>
      <c r="F398" s="58"/>
      <c r="G398" s="33"/>
    </row>
    <row r="399" spans="2:7" ht="15.75" thickBot="1">
      <c r="B399" s="56"/>
      <c r="C399" s="34"/>
      <c r="D399" s="56"/>
      <c r="E399" s="59"/>
      <c r="F399" s="59"/>
      <c r="G399" s="34"/>
    </row>
    <row r="400" spans="2:7" ht="15.75" thickBot="1">
      <c r="B400" s="56">
        <f>SUM(B386:B399)</f>
        <v>20</v>
      </c>
      <c r="C400" s="34" t="s">
        <v>66</v>
      </c>
      <c r="D400" s="56">
        <f>SUM(D386:D399)</f>
        <v>0</v>
      </c>
      <c r="E400" s="56">
        <f>SUM(E386:E399)</f>
        <v>0</v>
      </c>
      <c r="F400" s="56">
        <f>SUM(F386:F399)</f>
        <v>0</v>
      </c>
      <c r="G400" s="34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89" t="str">
        <f>'2018'!A40</f>
        <v>Financieros</v>
      </c>
      <c r="C402" s="290"/>
      <c r="D402" s="290"/>
      <c r="E402" s="290"/>
      <c r="F402" s="290"/>
      <c r="G402" s="291"/>
    </row>
    <row r="403" spans="2:7" ht="15" customHeight="1" thickBot="1">
      <c r="B403" s="292"/>
      <c r="C403" s="293"/>
      <c r="D403" s="293"/>
      <c r="E403" s="293"/>
      <c r="F403" s="293"/>
      <c r="G403" s="294"/>
    </row>
    <row r="404" spans="2:7">
      <c r="B404" s="297" t="s">
        <v>10</v>
      </c>
      <c r="C404" s="296"/>
      <c r="D404" s="295" t="s">
        <v>11</v>
      </c>
      <c r="E404" s="295"/>
      <c r="F404" s="295"/>
      <c r="G404" s="296"/>
    </row>
    <row r="405" spans="2:7">
      <c r="B405" s="52" t="s">
        <v>32</v>
      </c>
      <c r="C405" s="60" t="s">
        <v>33</v>
      </c>
      <c r="D405" s="52" t="s">
        <v>68</v>
      </c>
      <c r="E405" s="53" t="s">
        <v>69</v>
      </c>
      <c r="F405" s="53" t="s">
        <v>32</v>
      </c>
      <c r="G405" s="60" t="s">
        <v>33</v>
      </c>
    </row>
    <row r="406" spans="2:7">
      <c r="B406" s="54"/>
      <c r="C406" s="36"/>
      <c r="D406" s="57"/>
      <c r="E406" s="58"/>
      <c r="F406" s="58"/>
      <c r="G406" s="33"/>
    </row>
    <row r="407" spans="2:7">
      <c r="B407" s="55"/>
      <c r="C407" s="33"/>
      <c r="D407" s="57"/>
      <c r="E407" s="58"/>
      <c r="F407" s="58"/>
      <c r="G407" s="33"/>
    </row>
    <row r="408" spans="2:7">
      <c r="B408" s="55"/>
      <c r="C408" s="33"/>
      <c r="D408" s="57"/>
      <c r="E408" s="58"/>
      <c r="F408" s="58"/>
      <c r="G408" s="33"/>
    </row>
    <row r="409" spans="2:7">
      <c r="B409" s="55"/>
      <c r="C409" s="33"/>
      <c r="D409" s="57"/>
      <c r="E409" s="58"/>
      <c r="F409" s="58"/>
      <c r="G409" s="33"/>
    </row>
    <row r="410" spans="2:7">
      <c r="B410" s="55"/>
      <c r="C410" s="33"/>
      <c r="D410" s="57"/>
      <c r="E410" s="58"/>
      <c r="F410" s="58"/>
      <c r="G410" s="33"/>
    </row>
    <row r="411" spans="2:7">
      <c r="B411" s="55"/>
      <c r="C411" s="33"/>
      <c r="D411" s="57"/>
      <c r="E411" s="58"/>
      <c r="F411" s="58"/>
      <c r="G411" s="33"/>
    </row>
    <row r="412" spans="2:7">
      <c r="B412" s="55"/>
      <c r="C412" s="33"/>
      <c r="D412" s="57"/>
      <c r="E412" s="58"/>
      <c r="F412" s="58"/>
      <c r="G412" s="33"/>
    </row>
    <row r="413" spans="2:7">
      <c r="B413" s="55"/>
      <c r="C413" s="33"/>
      <c r="D413" s="57"/>
      <c r="E413" s="58"/>
      <c r="F413" s="58"/>
      <c r="G413" s="33"/>
    </row>
    <row r="414" spans="2:7">
      <c r="B414" s="55"/>
      <c r="C414" s="33"/>
      <c r="D414" s="57"/>
      <c r="E414" s="58"/>
      <c r="F414" s="58"/>
      <c r="G414" s="33"/>
    </row>
    <row r="415" spans="2:7">
      <c r="B415" s="55"/>
      <c r="C415" s="33"/>
      <c r="D415" s="57"/>
      <c r="E415" s="58"/>
      <c r="F415" s="58"/>
      <c r="G415" s="33"/>
    </row>
    <row r="416" spans="2:7">
      <c r="B416" s="55"/>
      <c r="C416" s="33"/>
      <c r="D416" s="57"/>
      <c r="E416" s="58"/>
      <c r="F416" s="58"/>
      <c r="G416" s="33"/>
    </row>
    <row r="417" spans="2:9">
      <c r="B417" s="55"/>
      <c r="C417" s="33"/>
      <c r="D417" s="57"/>
      <c r="E417" s="58"/>
      <c r="F417" s="58"/>
      <c r="G417" s="33"/>
    </row>
    <row r="418" spans="2:9">
      <c r="B418" s="55"/>
      <c r="C418" s="33"/>
      <c r="D418" s="57"/>
      <c r="E418" s="58"/>
      <c r="F418" s="58"/>
      <c r="G418" s="33"/>
    </row>
    <row r="419" spans="2:9" ht="15.75" thickBot="1">
      <c r="B419" s="56"/>
      <c r="C419" s="34"/>
      <c r="D419" s="56"/>
      <c r="E419" s="59"/>
      <c r="F419" s="59"/>
      <c r="G419" s="34"/>
    </row>
    <row r="420" spans="2:9" ht="15.75" thickBot="1">
      <c r="B420" s="56">
        <f>SUM(B406:B419)</f>
        <v>0</v>
      </c>
      <c r="C420" s="34" t="s">
        <v>66</v>
      </c>
      <c r="D420" s="56">
        <f>SUM(D406:D419)</f>
        <v>0</v>
      </c>
      <c r="E420" s="56">
        <f>SUM(E406:E419)</f>
        <v>0</v>
      </c>
      <c r="F420" s="56">
        <f>SUM(F406:F419)</f>
        <v>0</v>
      </c>
      <c r="G420" s="34" t="s">
        <v>66</v>
      </c>
    </row>
    <row r="421" spans="2:9" ht="15.75" thickBot="1">
      <c r="B421" s="3"/>
      <c r="C421" s="3"/>
      <c r="D421" s="3"/>
      <c r="E421" s="3"/>
    </row>
    <row r="422" spans="2:9" ht="14.45" customHeight="1">
      <c r="B422" s="289" t="str">
        <f>'2018'!A41</f>
        <v>Ahorros Colchón</v>
      </c>
      <c r="C422" s="307"/>
      <c r="D422" s="307"/>
      <c r="E422" s="307"/>
      <c r="F422" s="307"/>
      <c r="G422" s="308"/>
    </row>
    <row r="423" spans="2:9" ht="15" customHeight="1" thickBot="1">
      <c r="B423" s="309"/>
      <c r="C423" s="310"/>
      <c r="D423" s="310"/>
      <c r="E423" s="310"/>
      <c r="F423" s="310"/>
      <c r="G423" s="311"/>
    </row>
    <row r="424" spans="2:9">
      <c r="B424" s="297" t="s">
        <v>10</v>
      </c>
      <c r="C424" s="296"/>
      <c r="D424" s="295" t="s">
        <v>11</v>
      </c>
      <c r="E424" s="295"/>
      <c r="F424" s="295"/>
      <c r="G424" s="296"/>
    </row>
    <row r="425" spans="2:9">
      <c r="B425" s="52" t="s">
        <v>32</v>
      </c>
      <c r="C425" s="60" t="s">
        <v>33</v>
      </c>
      <c r="D425" s="52" t="s">
        <v>68</v>
      </c>
      <c r="E425" s="53" t="s">
        <v>69</v>
      </c>
      <c r="F425" s="53" t="s">
        <v>32</v>
      </c>
      <c r="G425" s="60" t="s">
        <v>33</v>
      </c>
    </row>
    <row r="426" spans="2:9">
      <c r="B426" s="54">
        <f>'2018'!AI17-4507.71</f>
        <v>-318.40999999999985</v>
      </c>
      <c r="C426" s="36" t="s">
        <v>651</v>
      </c>
      <c r="D426" s="57"/>
      <c r="E426" s="58"/>
      <c r="F426" s="58"/>
      <c r="G426" s="33"/>
      <c r="I426" s="226"/>
    </row>
    <row r="427" spans="2:9">
      <c r="B427" s="55"/>
      <c r="C427" s="33"/>
      <c r="D427" s="57"/>
      <c r="E427" s="58"/>
      <c r="F427" s="58"/>
      <c r="G427" s="33"/>
    </row>
    <row r="428" spans="2:9">
      <c r="B428" s="55"/>
      <c r="C428" s="33"/>
      <c r="D428" s="57"/>
      <c r="E428" s="58"/>
      <c r="F428" s="58"/>
      <c r="G428" s="33"/>
    </row>
    <row r="429" spans="2:9">
      <c r="B429" s="55"/>
      <c r="C429" s="33"/>
      <c r="D429" s="57"/>
      <c r="E429" s="58"/>
      <c r="F429" s="58"/>
      <c r="G429" s="33"/>
    </row>
    <row r="430" spans="2:9">
      <c r="B430" s="55"/>
      <c r="C430" s="33"/>
      <c r="D430" s="57"/>
      <c r="E430" s="58"/>
      <c r="F430" s="58"/>
      <c r="G430" s="33"/>
    </row>
    <row r="431" spans="2:9">
      <c r="B431" s="55"/>
      <c r="C431" s="33"/>
      <c r="D431" s="57"/>
      <c r="E431" s="58"/>
      <c r="F431" s="58"/>
      <c r="G431" s="33"/>
    </row>
    <row r="432" spans="2:9">
      <c r="B432" s="55"/>
      <c r="C432" s="33"/>
      <c r="D432" s="57"/>
      <c r="E432" s="58"/>
      <c r="F432" s="58"/>
      <c r="G432" s="33"/>
    </row>
    <row r="433" spans="2:7">
      <c r="B433" s="55"/>
      <c r="C433" s="33"/>
      <c r="D433" s="57"/>
      <c r="E433" s="58"/>
      <c r="F433" s="58"/>
      <c r="G433" s="33"/>
    </row>
    <row r="434" spans="2:7">
      <c r="B434" s="55"/>
      <c r="C434" s="33"/>
      <c r="D434" s="57"/>
      <c r="E434" s="58"/>
      <c r="F434" s="58"/>
      <c r="G434" s="33"/>
    </row>
    <row r="435" spans="2:7">
      <c r="B435" s="55"/>
      <c r="C435" s="33"/>
      <c r="D435" s="57"/>
      <c r="E435" s="58"/>
      <c r="F435" s="58"/>
      <c r="G435" s="33"/>
    </row>
    <row r="436" spans="2:7">
      <c r="B436" s="55"/>
      <c r="C436" s="33"/>
      <c r="D436" s="57"/>
      <c r="E436" s="58"/>
      <c r="F436" s="58"/>
      <c r="G436" s="33"/>
    </row>
    <row r="437" spans="2:7">
      <c r="B437" s="55"/>
      <c r="C437" s="33"/>
      <c r="D437" s="57"/>
      <c r="E437" s="58"/>
      <c r="F437" s="58"/>
      <c r="G437" s="33"/>
    </row>
    <row r="438" spans="2:7">
      <c r="B438" s="55"/>
      <c r="C438" s="33"/>
      <c r="D438" s="57"/>
      <c r="E438" s="58"/>
      <c r="F438" s="58"/>
      <c r="G438" s="33"/>
    </row>
    <row r="439" spans="2:7" ht="15.75" thickBot="1">
      <c r="B439" s="56"/>
      <c r="C439" s="34"/>
      <c r="D439" s="56"/>
      <c r="E439" s="59"/>
      <c r="F439" s="59"/>
      <c r="G439" s="34"/>
    </row>
    <row r="440" spans="2:7" ht="15.75" thickBot="1">
      <c r="B440" s="56">
        <f>SUM(B426:B439)</f>
        <v>-318.40999999999985</v>
      </c>
      <c r="C440" s="34" t="s">
        <v>66</v>
      </c>
      <c r="D440" s="56">
        <f>SUM(D426:D439)</f>
        <v>0</v>
      </c>
      <c r="E440" s="56">
        <f>SUM(E426:E439)</f>
        <v>0</v>
      </c>
      <c r="F440" s="56">
        <f>SUM(F426:F439)</f>
        <v>0</v>
      </c>
      <c r="G440" s="34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89" t="str">
        <f>'2018'!A42</f>
        <v>Dinero Bloqueado</v>
      </c>
      <c r="C442" s="307"/>
      <c r="D442" s="307"/>
      <c r="E442" s="307"/>
      <c r="F442" s="307"/>
      <c r="G442" s="308"/>
    </row>
    <row r="443" spans="2:7" ht="15" customHeight="1" thickBot="1">
      <c r="B443" s="309"/>
      <c r="C443" s="310"/>
      <c r="D443" s="310"/>
      <c r="E443" s="310"/>
      <c r="F443" s="310"/>
      <c r="G443" s="311"/>
    </row>
    <row r="444" spans="2:7">
      <c r="B444" s="297" t="s">
        <v>10</v>
      </c>
      <c r="C444" s="296"/>
      <c r="D444" s="295" t="s">
        <v>11</v>
      </c>
      <c r="E444" s="295"/>
      <c r="F444" s="295"/>
      <c r="G444" s="296"/>
    </row>
    <row r="445" spans="2:7">
      <c r="B445" s="52" t="s">
        <v>32</v>
      </c>
      <c r="C445" s="60" t="s">
        <v>33</v>
      </c>
      <c r="D445" s="52" t="s">
        <v>68</v>
      </c>
      <c r="E445" s="53" t="s">
        <v>69</v>
      </c>
      <c r="F445" s="53" t="s">
        <v>32</v>
      </c>
      <c r="G445" s="60" t="s">
        <v>33</v>
      </c>
    </row>
    <row r="446" spans="2:7">
      <c r="B446" s="54"/>
      <c r="C446" s="36"/>
      <c r="D446" s="57"/>
      <c r="E446" s="58"/>
      <c r="F446" s="58"/>
      <c r="G446" s="33"/>
    </row>
    <row r="447" spans="2:7">
      <c r="B447" s="55"/>
      <c r="C447" s="33"/>
      <c r="D447" s="57"/>
      <c r="E447" s="58"/>
      <c r="F447" s="58"/>
      <c r="G447" s="33"/>
    </row>
    <row r="448" spans="2:7">
      <c r="B448" s="55"/>
      <c r="C448" s="33"/>
      <c r="D448" s="57"/>
      <c r="E448" s="58"/>
      <c r="F448" s="58"/>
      <c r="G448" s="33"/>
    </row>
    <row r="449" spans="2:7">
      <c r="B449" s="55"/>
      <c r="C449" s="33"/>
      <c r="D449" s="57"/>
      <c r="E449" s="58"/>
      <c r="F449" s="58"/>
      <c r="G449" s="33"/>
    </row>
    <row r="450" spans="2:7">
      <c r="B450" s="55"/>
      <c r="C450" s="33"/>
      <c r="D450" s="57"/>
      <c r="E450" s="58"/>
      <c r="F450" s="58"/>
      <c r="G450" s="33"/>
    </row>
    <row r="451" spans="2:7">
      <c r="B451" s="55"/>
      <c r="C451" s="33"/>
      <c r="D451" s="57"/>
      <c r="E451" s="58"/>
      <c r="F451" s="58"/>
      <c r="G451" s="33"/>
    </row>
    <row r="452" spans="2:7">
      <c r="B452" s="55"/>
      <c r="C452" s="33"/>
      <c r="D452" s="57"/>
      <c r="E452" s="58"/>
      <c r="F452" s="58"/>
      <c r="G452" s="33"/>
    </row>
    <row r="453" spans="2:7">
      <c r="B453" s="55"/>
      <c r="C453" s="33"/>
      <c r="D453" s="57"/>
      <c r="E453" s="58"/>
      <c r="F453" s="58"/>
      <c r="G453" s="33"/>
    </row>
    <row r="454" spans="2:7">
      <c r="B454" s="55"/>
      <c r="C454" s="33"/>
      <c r="D454" s="57"/>
      <c r="E454" s="58"/>
      <c r="F454" s="58"/>
      <c r="G454" s="33"/>
    </row>
    <row r="455" spans="2:7">
      <c r="B455" s="55"/>
      <c r="C455" s="33"/>
      <c r="D455" s="57"/>
      <c r="E455" s="58"/>
      <c r="F455" s="58"/>
      <c r="G455" s="33"/>
    </row>
    <row r="456" spans="2:7">
      <c r="B456" s="55"/>
      <c r="C456" s="33"/>
      <c r="D456" s="57"/>
      <c r="E456" s="58"/>
      <c r="F456" s="58"/>
      <c r="G456" s="33"/>
    </row>
    <row r="457" spans="2:7">
      <c r="B457" s="55"/>
      <c r="C457" s="33"/>
      <c r="D457" s="57"/>
      <c r="E457" s="58"/>
      <c r="F457" s="58"/>
      <c r="G457" s="33"/>
    </row>
    <row r="458" spans="2:7">
      <c r="B458" s="55"/>
      <c r="C458" s="33"/>
      <c r="D458" s="57"/>
      <c r="E458" s="58"/>
      <c r="F458" s="58"/>
      <c r="G458" s="33"/>
    </row>
    <row r="459" spans="2:7" ht="15.75" thickBot="1">
      <c r="B459" s="56"/>
      <c r="C459" s="34"/>
      <c r="D459" s="56"/>
      <c r="E459" s="59"/>
      <c r="F459" s="59"/>
      <c r="G459" s="34"/>
    </row>
    <row r="460" spans="2:7" ht="15.75" thickBot="1">
      <c r="B460" s="56">
        <f>SUM(B446:B459)</f>
        <v>0</v>
      </c>
      <c r="C460" s="34" t="s">
        <v>66</v>
      </c>
      <c r="D460" s="56">
        <f>SUM(D446:D459)</f>
        <v>0</v>
      </c>
      <c r="E460" s="56">
        <f>SUM(E446:E459)</f>
        <v>0</v>
      </c>
      <c r="F460" s="56">
        <f>SUM(F446:F459)</f>
        <v>0</v>
      </c>
      <c r="G460" s="34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89" t="str">
        <f>'2018'!A43</f>
        <v>Cartama Finanazas</v>
      </c>
      <c r="C462" s="307"/>
      <c r="D462" s="307"/>
      <c r="E462" s="307"/>
      <c r="F462" s="307"/>
      <c r="G462" s="308"/>
    </row>
    <row r="463" spans="2:7" ht="15" customHeight="1" thickBot="1">
      <c r="B463" s="309"/>
      <c r="C463" s="310"/>
      <c r="D463" s="310"/>
      <c r="E463" s="310"/>
      <c r="F463" s="310"/>
      <c r="G463" s="311"/>
    </row>
    <row r="464" spans="2:7">
      <c r="B464" s="297" t="s">
        <v>10</v>
      </c>
      <c r="C464" s="296"/>
      <c r="D464" s="295" t="s">
        <v>11</v>
      </c>
      <c r="E464" s="295"/>
      <c r="F464" s="295"/>
      <c r="G464" s="296"/>
    </row>
    <row r="465" spans="1:8">
      <c r="A465" s="137" t="s">
        <v>608</v>
      </c>
      <c r="B465" s="52" t="s">
        <v>32</v>
      </c>
      <c r="C465" s="60" t="s">
        <v>33</v>
      </c>
      <c r="D465" s="52" t="s">
        <v>68</v>
      </c>
      <c r="E465" s="53" t="s">
        <v>69</v>
      </c>
      <c r="F465" s="53" t="s">
        <v>32</v>
      </c>
      <c r="G465" s="60" t="s">
        <v>33</v>
      </c>
    </row>
    <row r="466" spans="1:8">
      <c r="A466" s="164">
        <v>271</v>
      </c>
      <c r="B466" s="55">
        <v>56</v>
      </c>
      <c r="C466" s="33" t="s">
        <v>484</v>
      </c>
      <c r="D466" s="57"/>
      <c r="E466" s="58"/>
      <c r="F466" s="58">
        <v>100</v>
      </c>
      <c r="G466" s="33" t="s">
        <v>581</v>
      </c>
      <c r="H466" s="137" t="s">
        <v>582</v>
      </c>
    </row>
    <row r="467" spans="1:8">
      <c r="A467" s="164">
        <v>0</v>
      </c>
      <c r="B467" s="55"/>
      <c r="C467" s="33"/>
      <c r="D467" s="57"/>
      <c r="E467" s="58"/>
      <c r="F467" s="58"/>
      <c r="G467" s="33"/>
    </row>
    <row r="468" spans="1:8">
      <c r="A468" s="164">
        <v>0</v>
      </c>
      <c r="B468" s="55"/>
      <c r="C468" s="33"/>
      <c r="D468" s="57"/>
      <c r="E468" s="58"/>
      <c r="F468" s="58"/>
      <c r="G468" s="33"/>
    </row>
    <row r="469" spans="1:8">
      <c r="B469" s="55"/>
      <c r="C469" s="33"/>
      <c r="D469" s="57"/>
      <c r="E469" s="58"/>
      <c r="F469" s="58"/>
      <c r="G469" s="33"/>
    </row>
    <row r="470" spans="1:8">
      <c r="B470" s="55"/>
      <c r="C470" s="33"/>
      <c r="D470" s="57"/>
      <c r="E470" s="58"/>
      <c r="F470" s="58"/>
      <c r="G470" s="33"/>
    </row>
    <row r="471" spans="1:8">
      <c r="B471" s="55"/>
      <c r="C471" s="33"/>
      <c r="D471" s="57"/>
      <c r="E471" s="58"/>
      <c r="F471" s="58"/>
      <c r="G471" s="33"/>
    </row>
    <row r="472" spans="1:8">
      <c r="B472" s="55"/>
      <c r="C472" s="33"/>
      <c r="D472" s="57"/>
      <c r="E472" s="58"/>
      <c r="F472" s="58"/>
      <c r="G472" s="33"/>
    </row>
    <row r="473" spans="1:8">
      <c r="B473" s="55"/>
      <c r="C473" s="33"/>
      <c r="D473" s="57"/>
      <c r="E473" s="58"/>
      <c r="F473" s="58"/>
      <c r="G473" s="33"/>
    </row>
    <row r="474" spans="1:8">
      <c r="B474" s="55"/>
      <c r="C474" s="33"/>
      <c r="D474" s="57"/>
      <c r="E474" s="58"/>
      <c r="F474" s="58"/>
      <c r="G474" s="33"/>
    </row>
    <row r="475" spans="1:8">
      <c r="B475" s="55"/>
      <c r="C475" s="33"/>
      <c r="D475" s="57"/>
      <c r="E475" s="58"/>
      <c r="F475" s="58"/>
      <c r="G475" s="33"/>
    </row>
    <row r="476" spans="1:8">
      <c r="B476" s="55"/>
      <c r="C476" s="33"/>
      <c r="D476" s="57"/>
      <c r="E476" s="58"/>
      <c r="F476" s="58"/>
      <c r="G476" s="33"/>
    </row>
    <row r="477" spans="1:8">
      <c r="B477" s="55"/>
      <c r="C477" s="33"/>
      <c r="D477" s="57"/>
      <c r="E477" s="58"/>
      <c r="F477" s="58"/>
      <c r="G477" s="33"/>
    </row>
    <row r="478" spans="1:8">
      <c r="B478" s="55"/>
      <c r="C478" s="33"/>
      <c r="D478" s="57"/>
      <c r="E478" s="58"/>
      <c r="F478" s="58"/>
      <c r="G478" s="33"/>
    </row>
    <row r="479" spans="1:8" ht="15.75" thickBot="1">
      <c r="B479" s="56"/>
      <c r="C479" s="34"/>
      <c r="D479" s="56"/>
      <c r="E479" s="59"/>
      <c r="F479" s="59"/>
      <c r="G479" s="34"/>
    </row>
    <row r="480" spans="1:8" ht="15.75" thickBot="1">
      <c r="A480" s="164">
        <f>SUM(A466:A468)</f>
        <v>271</v>
      </c>
      <c r="B480" s="56">
        <f>SUM(B466:B479)</f>
        <v>56</v>
      </c>
      <c r="C480" s="34" t="s">
        <v>66</v>
      </c>
      <c r="D480" s="56">
        <f>SUM(D466:D479)</f>
        <v>0</v>
      </c>
      <c r="E480" s="56">
        <f>SUM(E466:E479)</f>
        <v>0</v>
      </c>
      <c r="F480" s="56">
        <f>SUM(F466:F479)</f>
        <v>100</v>
      </c>
      <c r="G480" s="34" t="s">
        <v>66</v>
      </c>
    </row>
    <row r="481" spans="2:7" ht="15.75" thickBot="1"/>
    <row r="482" spans="2:7" ht="14.45" customHeight="1">
      <c r="B482" s="289" t="str">
        <f>'2018'!A44</f>
        <v>NULO</v>
      </c>
      <c r="C482" s="307"/>
      <c r="D482" s="307"/>
      <c r="E482" s="307"/>
      <c r="F482" s="307"/>
      <c r="G482" s="308"/>
    </row>
    <row r="483" spans="2:7" ht="15" customHeight="1" thickBot="1">
      <c r="B483" s="309"/>
      <c r="C483" s="310"/>
      <c r="D483" s="310"/>
      <c r="E483" s="310"/>
      <c r="F483" s="310"/>
      <c r="G483" s="311"/>
    </row>
    <row r="484" spans="2:7">
      <c r="B484" s="297" t="s">
        <v>10</v>
      </c>
      <c r="C484" s="296"/>
      <c r="D484" s="295" t="s">
        <v>11</v>
      </c>
      <c r="E484" s="295"/>
      <c r="F484" s="295"/>
      <c r="G484" s="296"/>
    </row>
    <row r="485" spans="2:7">
      <c r="B485" s="52" t="s">
        <v>32</v>
      </c>
      <c r="C485" s="60" t="s">
        <v>33</v>
      </c>
      <c r="D485" s="52" t="s">
        <v>68</v>
      </c>
      <c r="E485" s="53" t="s">
        <v>69</v>
      </c>
      <c r="F485" s="53" t="s">
        <v>32</v>
      </c>
      <c r="G485" s="60" t="s">
        <v>33</v>
      </c>
    </row>
    <row r="486" spans="2:7">
      <c r="B486" s="54"/>
      <c r="C486" s="36"/>
      <c r="D486" s="57"/>
      <c r="E486" s="58"/>
      <c r="F486" s="58"/>
      <c r="G486" s="33"/>
    </row>
    <row r="487" spans="2:7">
      <c r="B487" s="55"/>
      <c r="C487" s="33"/>
      <c r="D487" s="57"/>
      <c r="E487" s="58"/>
      <c r="F487" s="58"/>
      <c r="G487" s="33"/>
    </row>
    <row r="488" spans="2:7">
      <c r="B488" s="55"/>
      <c r="C488" s="33"/>
      <c r="D488" s="57"/>
      <c r="E488" s="58"/>
      <c r="F488" s="58"/>
      <c r="G488" s="33"/>
    </row>
    <row r="489" spans="2:7">
      <c r="B489" s="55"/>
      <c r="C489" s="33"/>
      <c r="D489" s="57"/>
      <c r="E489" s="58"/>
      <c r="F489" s="58"/>
      <c r="G489" s="33"/>
    </row>
    <row r="490" spans="2:7">
      <c r="B490" s="55"/>
      <c r="C490" s="33"/>
      <c r="D490" s="57"/>
      <c r="E490" s="58"/>
      <c r="F490" s="58"/>
      <c r="G490" s="33"/>
    </row>
    <row r="491" spans="2:7">
      <c r="B491" s="55"/>
      <c r="C491" s="33"/>
      <c r="D491" s="57"/>
      <c r="E491" s="58"/>
      <c r="F491" s="58"/>
      <c r="G491" s="33"/>
    </row>
    <row r="492" spans="2:7">
      <c r="B492" s="55"/>
      <c r="C492" s="33"/>
      <c r="D492" s="57"/>
      <c r="E492" s="58"/>
      <c r="F492" s="58"/>
      <c r="G492" s="33"/>
    </row>
    <row r="493" spans="2:7">
      <c r="B493" s="55"/>
      <c r="C493" s="33"/>
      <c r="D493" s="57"/>
      <c r="E493" s="58"/>
      <c r="F493" s="58"/>
      <c r="G493" s="33"/>
    </row>
    <row r="494" spans="2:7">
      <c r="B494" s="55"/>
      <c r="C494" s="33"/>
      <c r="D494" s="57"/>
      <c r="E494" s="58"/>
      <c r="F494" s="58"/>
      <c r="G494" s="33"/>
    </row>
    <row r="495" spans="2:7">
      <c r="B495" s="55"/>
      <c r="C495" s="33"/>
      <c r="D495" s="57"/>
      <c r="E495" s="58"/>
      <c r="F495" s="58"/>
      <c r="G495" s="33"/>
    </row>
    <row r="496" spans="2:7">
      <c r="B496" s="55"/>
      <c r="C496" s="33"/>
      <c r="D496" s="57"/>
      <c r="E496" s="58"/>
      <c r="F496" s="58"/>
      <c r="G496" s="33"/>
    </row>
    <row r="497" spans="2:7">
      <c r="B497" s="55"/>
      <c r="C497" s="33"/>
      <c r="D497" s="57"/>
      <c r="E497" s="58"/>
      <c r="F497" s="58"/>
      <c r="G497" s="33"/>
    </row>
    <row r="498" spans="2:7">
      <c r="B498" s="55"/>
      <c r="C498" s="33"/>
      <c r="D498" s="57"/>
      <c r="E498" s="58"/>
      <c r="F498" s="58"/>
      <c r="G498" s="33"/>
    </row>
    <row r="499" spans="2:7" ht="15.75" thickBot="1">
      <c r="B499" s="56"/>
      <c r="C499" s="34"/>
      <c r="D499" s="56"/>
      <c r="E499" s="59"/>
      <c r="F499" s="59"/>
      <c r="G499" s="34"/>
    </row>
    <row r="500" spans="2:7" ht="15.75" thickBot="1">
      <c r="B500" s="56">
        <f>SUM(B486:B499)</f>
        <v>0</v>
      </c>
      <c r="C500" s="34" t="s">
        <v>66</v>
      </c>
      <c r="D500" s="56">
        <f>SUM(D486:D499)</f>
        <v>0</v>
      </c>
      <c r="E500" s="56">
        <f>SUM(E486:E499)</f>
        <v>0</v>
      </c>
      <c r="F500" s="56">
        <f>SUM(F486:F499)</f>
        <v>0</v>
      </c>
      <c r="G500" s="34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89" t="str">
        <f>'2018'!A45</f>
        <v>OTROS</v>
      </c>
      <c r="C502" s="307"/>
      <c r="D502" s="307"/>
      <c r="E502" s="307"/>
      <c r="F502" s="307"/>
      <c r="G502" s="308"/>
    </row>
    <row r="503" spans="2:7" ht="15" customHeight="1" thickBot="1">
      <c r="B503" s="309"/>
      <c r="C503" s="310"/>
      <c r="D503" s="310"/>
      <c r="E503" s="310"/>
      <c r="F503" s="310"/>
      <c r="G503" s="311"/>
    </row>
    <row r="504" spans="2:7">
      <c r="B504" s="297" t="s">
        <v>10</v>
      </c>
      <c r="C504" s="296"/>
      <c r="D504" s="295" t="s">
        <v>11</v>
      </c>
      <c r="E504" s="295"/>
      <c r="F504" s="295"/>
      <c r="G504" s="296"/>
    </row>
    <row r="505" spans="2:7">
      <c r="B505" s="52" t="s">
        <v>32</v>
      </c>
      <c r="C505" s="60" t="s">
        <v>33</v>
      </c>
      <c r="D505" s="52" t="s">
        <v>68</v>
      </c>
      <c r="E505" s="53" t="s">
        <v>69</v>
      </c>
      <c r="F505" s="53" t="s">
        <v>32</v>
      </c>
      <c r="G505" s="60" t="s">
        <v>33</v>
      </c>
    </row>
    <row r="506" spans="2:7">
      <c r="B506" s="54">
        <v>49</v>
      </c>
      <c r="C506" s="36" t="s">
        <v>526</v>
      </c>
      <c r="D506" s="57"/>
      <c r="E506" s="58"/>
      <c r="F506" s="58"/>
      <c r="G506" s="33"/>
    </row>
    <row r="507" spans="2:7">
      <c r="B507" s="55"/>
      <c r="C507" s="33"/>
      <c r="D507" s="57"/>
      <c r="E507" s="58"/>
      <c r="F507" s="58"/>
      <c r="G507" s="33"/>
    </row>
    <row r="508" spans="2:7">
      <c r="B508" s="55"/>
      <c r="C508" s="33"/>
      <c r="D508" s="57"/>
      <c r="E508" s="58"/>
      <c r="F508" s="58"/>
      <c r="G508" s="33"/>
    </row>
    <row r="509" spans="2:7">
      <c r="B509" s="55"/>
      <c r="C509" s="33"/>
      <c r="D509" s="57"/>
      <c r="E509" s="58"/>
      <c r="F509" s="58"/>
      <c r="G509" s="33"/>
    </row>
    <row r="510" spans="2:7">
      <c r="B510" s="55"/>
      <c r="C510" s="33"/>
      <c r="D510" s="57"/>
      <c r="E510" s="58"/>
      <c r="F510" s="58"/>
      <c r="G510" s="33"/>
    </row>
    <row r="511" spans="2:7">
      <c r="B511" s="55"/>
      <c r="C511" s="33"/>
      <c r="D511" s="57"/>
      <c r="E511" s="58"/>
      <c r="F511" s="58"/>
      <c r="G511" s="33"/>
    </row>
    <row r="512" spans="2:7">
      <c r="B512" s="55"/>
      <c r="C512" s="33"/>
      <c r="D512" s="57"/>
      <c r="E512" s="58"/>
      <c r="F512" s="58"/>
      <c r="G512" s="33"/>
    </row>
    <row r="513" spans="2:7">
      <c r="B513" s="55"/>
      <c r="C513" s="33"/>
      <c r="D513" s="57"/>
      <c r="E513" s="58"/>
      <c r="F513" s="58"/>
      <c r="G513" s="33"/>
    </row>
    <row r="514" spans="2:7">
      <c r="B514" s="55"/>
      <c r="C514" s="33"/>
      <c r="D514" s="57"/>
      <c r="E514" s="58"/>
      <c r="F514" s="58"/>
      <c r="G514" s="33"/>
    </row>
    <row r="515" spans="2:7">
      <c r="B515" s="55"/>
      <c r="C515" s="33"/>
      <c r="D515" s="57"/>
      <c r="E515" s="58"/>
      <c r="F515" s="58"/>
      <c r="G515" s="33"/>
    </row>
    <row r="516" spans="2:7">
      <c r="B516" s="55"/>
      <c r="C516" s="33"/>
      <c r="D516" s="57"/>
      <c r="E516" s="58"/>
      <c r="F516" s="58"/>
      <c r="G516" s="33"/>
    </row>
    <row r="517" spans="2:7">
      <c r="B517" s="55"/>
      <c r="C517" s="33"/>
      <c r="D517" s="57"/>
      <c r="E517" s="58"/>
      <c r="F517" s="58"/>
      <c r="G517" s="33"/>
    </row>
    <row r="518" spans="2:7">
      <c r="B518" s="55"/>
      <c r="C518" s="33"/>
      <c r="D518" s="57"/>
      <c r="E518" s="58"/>
      <c r="F518" s="58"/>
      <c r="G518" s="33"/>
    </row>
    <row r="519" spans="2:7" ht="15.75" thickBot="1">
      <c r="B519" s="56"/>
      <c r="C519" s="34"/>
      <c r="D519" s="56"/>
      <c r="E519" s="59"/>
      <c r="F519" s="59"/>
      <c r="G519" s="34"/>
    </row>
    <row r="520" spans="2:7" ht="15.75" thickBot="1">
      <c r="B520" s="56">
        <f>SUM(B506:B519)</f>
        <v>49</v>
      </c>
      <c r="C520" s="34" t="s">
        <v>66</v>
      </c>
      <c r="D520" s="56">
        <f>SUM(D506:D519)</f>
        <v>0</v>
      </c>
      <c r="E520" s="56">
        <f>SUM(E506:E519)</f>
        <v>0</v>
      </c>
      <c r="F520" s="56">
        <f>SUM(F506:F519)</f>
        <v>0</v>
      </c>
      <c r="G520" s="34" t="s">
        <v>66</v>
      </c>
    </row>
  </sheetData>
  <mergeCells count="111"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900-000000000000}"/>
    <hyperlink ref="I22" location="Trimestre!C39:F40" display="TELÉFONO" xr:uid="{00000000-0004-0000-0900-000001000000}"/>
    <hyperlink ref="I22:L23" location="'2018'!AI7:AL7" display="INGRESOS" xr:uid="{00000000-0004-0000-0900-000002000000}"/>
    <hyperlink ref="B2" location="Trimestre!C25:F26" display="HIPOTECA" xr:uid="{00000000-0004-0000-0900-000003000000}"/>
    <hyperlink ref="B2:G3" location="'2018'!AI20:AL20" display="'2018'!AI20:AL20" xr:uid="{00000000-0004-0000-0900-000004000000}"/>
    <hyperlink ref="B22" location="Trimestre!C25:F26" display="HIPOTECA" xr:uid="{00000000-0004-0000-0900-000005000000}"/>
    <hyperlink ref="B22:G23" location="'2018'!AI21:AL21" display="'2018'!AI21:AL21" xr:uid="{00000000-0004-0000-0900-000006000000}"/>
    <hyperlink ref="B42" location="Trimestre!C25:F26" display="HIPOTECA" xr:uid="{00000000-0004-0000-0900-000007000000}"/>
    <hyperlink ref="B42:G43" location="'2018'!AI22:AL22" display="'2018'!AI22:AL22" xr:uid="{00000000-0004-0000-0900-000008000000}"/>
    <hyperlink ref="B62" location="Trimestre!C25:F26" display="HIPOTECA" xr:uid="{00000000-0004-0000-0900-000009000000}"/>
    <hyperlink ref="B62:G63" location="'2018'!AI23:AL23" display="'2018'!AI23:AL23" xr:uid="{00000000-0004-0000-0900-00000A000000}"/>
    <hyperlink ref="B82" location="Trimestre!C25:F26" display="HIPOTECA" xr:uid="{00000000-0004-0000-0900-00000B000000}"/>
    <hyperlink ref="B82:G83" location="'2018'!AI24:AL24" display="'2018'!AI24:AL24" xr:uid="{00000000-0004-0000-0900-00000C000000}"/>
    <hyperlink ref="B102" location="Trimestre!C25:F26" display="HIPOTECA" xr:uid="{00000000-0004-0000-0900-00000D000000}"/>
    <hyperlink ref="B102:G103" location="'2018'!AI25:AL25" display="'2018'!AI25:AL25" xr:uid="{00000000-0004-0000-0900-00000E000000}"/>
    <hyperlink ref="B122" location="Trimestre!C25:F26" display="HIPOTECA" xr:uid="{00000000-0004-0000-0900-00000F000000}"/>
    <hyperlink ref="B122:G123" location="'2018'!AI26:AL26" display="'2018'!AI26:AL26" xr:uid="{00000000-0004-0000-0900-000010000000}"/>
    <hyperlink ref="B142" location="Trimestre!C25:F26" display="HIPOTECA" xr:uid="{00000000-0004-0000-0900-000011000000}"/>
    <hyperlink ref="B142:G143" location="'2018'!AI27:AL27" display="'2018'!AI27:AL27" xr:uid="{00000000-0004-0000-0900-000012000000}"/>
    <hyperlink ref="B162" location="Trimestre!C25:F26" display="HIPOTECA" xr:uid="{00000000-0004-0000-0900-000013000000}"/>
    <hyperlink ref="B162:G163" location="'2018'!AI28:AL28" display="'2018'!AI28:AL28" xr:uid="{00000000-0004-0000-0900-000014000000}"/>
    <hyperlink ref="B182" location="Trimestre!C25:F26" display="HIPOTECA" xr:uid="{00000000-0004-0000-0900-000015000000}"/>
    <hyperlink ref="B182:G183" location="'2018'!AI29:AL29" display="'2018'!AI29:AL29" xr:uid="{00000000-0004-0000-0900-000016000000}"/>
    <hyperlink ref="B202" location="Trimestre!C25:F26" display="HIPOTECA" xr:uid="{00000000-0004-0000-0900-000017000000}"/>
    <hyperlink ref="B202:G203" location="'2018'!AI30:AL30" display="'2018'!AI30:AL30" xr:uid="{00000000-0004-0000-0900-000018000000}"/>
    <hyperlink ref="B222" location="Trimestre!C25:F26" display="HIPOTECA" xr:uid="{00000000-0004-0000-0900-000019000000}"/>
    <hyperlink ref="B222:G223" location="'2018'!AI31:AL31" display="'2018'!AI31:AL31" xr:uid="{00000000-0004-0000-0900-00001A000000}"/>
    <hyperlink ref="B242" location="Trimestre!C25:F26" display="HIPOTECA" xr:uid="{00000000-0004-0000-0900-00001B000000}"/>
    <hyperlink ref="B242:G243" location="'2018'!AI32:AL32" display="'2018'!AI32:AL32" xr:uid="{00000000-0004-0000-0900-00001C000000}"/>
    <hyperlink ref="B262" location="Trimestre!C25:F26" display="HIPOTECA" xr:uid="{00000000-0004-0000-0900-00001D000000}"/>
    <hyperlink ref="B262:G263" location="'2018'!AI33:AL33" display="'2018'!AI33:AL33" xr:uid="{00000000-0004-0000-0900-00001E000000}"/>
    <hyperlink ref="B282" location="Trimestre!C25:F26" display="HIPOTECA" xr:uid="{00000000-0004-0000-0900-00001F000000}"/>
    <hyperlink ref="B282:G283" location="'2018'!AI34:AL34" display="'2018'!AI34:AL34" xr:uid="{00000000-0004-0000-0900-000020000000}"/>
    <hyperlink ref="B302" location="Trimestre!C25:F26" display="HIPOTECA" xr:uid="{00000000-0004-0000-0900-000021000000}"/>
    <hyperlink ref="B302:G303" location="'2018'!AI35:AL35" display="'2018'!AI35:AL35" xr:uid="{00000000-0004-0000-0900-000022000000}"/>
    <hyperlink ref="B322" location="Trimestre!C25:F26" display="HIPOTECA" xr:uid="{00000000-0004-0000-0900-000023000000}"/>
    <hyperlink ref="B322:G323" location="'2018'!AI36:AL36" display="'2018'!AI36:AL36" xr:uid="{00000000-0004-0000-0900-000024000000}"/>
    <hyperlink ref="B342" location="Trimestre!C25:F26" display="HIPOTECA" xr:uid="{00000000-0004-0000-0900-000025000000}"/>
    <hyperlink ref="B342:G343" location="'2018'!AI37:AL37" display="'2018'!AI37:AL37" xr:uid="{00000000-0004-0000-0900-000026000000}"/>
    <hyperlink ref="B362" location="Trimestre!C25:F26" display="HIPOTECA" xr:uid="{00000000-0004-0000-0900-000027000000}"/>
    <hyperlink ref="B362:G363" location="'2018'!AI38:AL38" display="'2018'!AI38:AL38" xr:uid="{00000000-0004-0000-0900-000028000000}"/>
    <hyperlink ref="B382" location="Trimestre!C25:F26" display="HIPOTECA" xr:uid="{00000000-0004-0000-0900-000029000000}"/>
    <hyperlink ref="B382:G383" location="'2018'!AI39:AL39" display="'2018'!AI39:AL39" xr:uid="{00000000-0004-0000-0900-00002A000000}"/>
    <hyperlink ref="B402" location="Trimestre!C25:F26" display="HIPOTECA" xr:uid="{00000000-0004-0000-0900-00002B000000}"/>
    <hyperlink ref="B402:G403" location="'2018'!AI40:AL40" display="'2018'!AI40:AL40" xr:uid="{00000000-0004-0000-0900-00002C000000}"/>
    <hyperlink ref="B422" location="Trimestre!C25:F26" display="HIPOTECA" xr:uid="{00000000-0004-0000-0900-00002D000000}"/>
    <hyperlink ref="B422:G423" location="'2018'!AI41:AL41" display="'2018'!AI41:AL41" xr:uid="{00000000-0004-0000-0900-00002E000000}"/>
    <hyperlink ref="B442" location="Trimestre!C25:F26" display="HIPOTECA" xr:uid="{00000000-0004-0000-0900-00002F000000}"/>
    <hyperlink ref="B442:G443" location="'2018'!AI42:AL42" display="'2018'!AI42:AL42" xr:uid="{00000000-0004-0000-0900-000030000000}"/>
    <hyperlink ref="B462" location="Trimestre!C25:F26" display="HIPOTECA" xr:uid="{00000000-0004-0000-0900-000031000000}"/>
    <hyperlink ref="B462:G463" location="'2018'!AI43:AL43" display="'2018'!AI43:AL43" xr:uid="{00000000-0004-0000-0900-000032000000}"/>
    <hyperlink ref="B482" location="Trimestre!C25:F26" display="HIPOTECA" xr:uid="{00000000-0004-0000-0900-000033000000}"/>
    <hyperlink ref="B482:G483" location="'2018'!AI44:AL44" display="'2018'!AI44:AL44" xr:uid="{00000000-0004-0000-0900-000034000000}"/>
    <hyperlink ref="B502" location="Trimestre!C25:F26" display="HIPOTECA" xr:uid="{00000000-0004-0000-0900-000035000000}"/>
    <hyperlink ref="B502:G503" location="'2018'!AI45:AL45" display="'2018'!AI45:AL45" xr:uid="{00000000-0004-0000-0900-000036000000}"/>
    <hyperlink ref="I2:L3" location="'2018'!AI4:AL4" display="SALDO REAL" xr:uid="{00000000-0004-0000-0900-000037000000}"/>
  </hyperlink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V520"/>
  <sheetViews>
    <sheetView topLeftCell="A276" workbookViewId="0">
      <selection activeCell="B282" sqref="B282:G283"/>
    </sheetView>
  </sheetViews>
  <sheetFormatPr defaultColWidth="11.42578125" defaultRowHeight="15"/>
  <cols>
    <col min="1" max="1" width="11.42578125" style="137"/>
    <col min="2" max="2" width="10" style="164" customWidth="1"/>
    <col min="3" max="3" width="33.28515625" style="137" customWidth="1"/>
    <col min="4" max="6" width="10" style="164" customWidth="1"/>
    <col min="7" max="7" width="33.28515625" style="137" customWidth="1"/>
    <col min="8" max="9" width="11.42578125" style="137"/>
    <col min="10" max="10" width="31.28515625" style="137" customWidth="1"/>
    <col min="11" max="12" width="11.42578125" style="164"/>
    <col min="13" max="16384" width="11.42578125" style="137"/>
  </cols>
  <sheetData>
    <row r="1" spans="1:22" ht="16.5" thickBot="1">
      <c r="A1" s="1"/>
      <c r="B1" s="163"/>
      <c r="C1" s="1"/>
      <c r="D1" s="163"/>
      <c r="E1" s="163"/>
      <c r="F1" s="163"/>
      <c r="G1" s="1"/>
      <c r="H1" s="30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89" t="str">
        <f>'2018'!A20</f>
        <v>Cártama Gastos</v>
      </c>
      <c r="C2" s="290"/>
      <c r="D2" s="290"/>
      <c r="E2" s="290"/>
      <c r="F2" s="290"/>
      <c r="G2" s="291"/>
      <c r="H2" s="1"/>
      <c r="I2" s="302" t="s">
        <v>4</v>
      </c>
      <c r="J2" s="290"/>
      <c r="K2" s="290"/>
      <c r="L2" s="291"/>
      <c r="M2" s="1"/>
      <c r="N2" s="1"/>
      <c r="R2" s="3"/>
    </row>
    <row r="3" spans="1:22" ht="16.5" thickBot="1">
      <c r="A3" s="1"/>
      <c r="B3" s="292"/>
      <c r="C3" s="293"/>
      <c r="D3" s="293"/>
      <c r="E3" s="293"/>
      <c r="F3" s="293"/>
      <c r="G3" s="294"/>
      <c r="H3" s="1"/>
      <c r="I3" s="292"/>
      <c r="J3" s="293"/>
      <c r="K3" s="293"/>
      <c r="L3" s="294"/>
      <c r="M3" s="1"/>
      <c r="N3" s="1"/>
      <c r="R3" s="3"/>
    </row>
    <row r="4" spans="1:22" ht="15.75">
      <c r="A4" s="1"/>
      <c r="B4" s="297" t="s">
        <v>10</v>
      </c>
      <c r="C4" s="296"/>
      <c r="D4" s="295" t="s">
        <v>11</v>
      </c>
      <c r="E4" s="295"/>
      <c r="F4" s="295"/>
      <c r="G4" s="296"/>
      <c r="H4" s="1"/>
      <c r="I4" s="88" t="s">
        <v>70</v>
      </c>
      <c r="J4" s="156" t="s">
        <v>71</v>
      </c>
      <c r="K4" s="316" t="s">
        <v>72</v>
      </c>
      <c r="L4" s="317"/>
      <c r="M4" s="1"/>
      <c r="N4" s="1"/>
      <c r="R4" s="3"/>
    </row>
    <row r="5" spans="1:22" ht="15.75">
      <c r="A5" s="1" t="s">
        <v>608</v>
      </c>
      <c r="B5" s="218" t="s">
        <v>32</v>
      </c>
      <c r="C5" s="60" t="s">
        <v>33</v>
      </c>
      <c r="D5" s="218" t="s">
        <v>68</v>
      </c>
      <c r="E5" s="222" t="s">
        <v>69</v>
      </c>
      <c r="F5" s="222" t="s">
        <v>32</v>
      </c>
      <c r="G5" s="60" t="s">
        <v>33</v>
      </c>
      <c r="H5" s="1"/>
      <c r="I5" s="157" t="s">
        <v>73</v>
      </c>
      <c r="J5" s="158" t="s">
        <v>74</v>
      </c>
      <c r="K5" s="314">
        <v>2339.39</v>
      </c>
      <c r="L5" s="315"/>
      <c r="M5" s="1">
        <v>622.46</v>
      </c>
      <c r="N5" s="1" t="s">
        <v>308</v>
      </c>
      <c r="O5" s="137">
        <f>M5-500</f>
        <v>122.46000000000004</v>
      </c>
      <c r="R5" s="3"/>
    </row>
    <row r="6" spans="1:22" ht="15.75">
      <c r="A6" s="163">
        <f>'09'!A6+B6-SUM(D6:F6)</f>
        <v>6</v>
      </c>
      <c r="B6" s="219">
        <v>399.59</v>
      </c>
      <c r="C6" s="36" t="s">
        <v>583</v>
      </c>
      <c r="D6" s="223"/>
      <c r="E6" s="224">
        <v>399.59</v>
      </c>
      <c r="F6" s="224"/>
      <c r="G6" s="33" t="s">
        <v>35</v>
      </c>
      <c r="H6" s="1"/>
      <c r="I6" s="159" t="s">
        <v>73</v>
      </c>
      <c r="J6" s="158" t="s">
        <v>75</v>
      </c>
      <c r="K6" s="312">
        <v>550</v>
      </c>
      <c r="L6" s="313"/>
      <c r="M6" s="1" t="s">
        <v>394</v>
      </c>
      <c r="N6" s="1"/>
      <c r="R6" s="3"/>
    </row>
    <row r="7" spans="1:22" ht="15.75">
      <c r="A7" s="163">
        <f>'09'!A7+B7-SUM(D7:F7)</f>
        <v>97.8</v>
      </c>
      <c r="B7" s="220">
        <v>70</v>
      </c>
      <c r="C7" s="33" t="s">
        <v>652</v>
      </c>
      <c r="D7" s="223"/>
      <c r="E7" s="224"/>
      <c r="F7" s="224"/>
      <c r="G7" s="33" t="s">
        <v>106</v>
      </c>
      <c r="H7" s="82"/>
      <c r="I7" s="159" t="s">
        <v>76</v>
      </c>
      <c r="J7" s="158" t="s">
        <v>77</v>
      </c>
      <c r="K7" s="312">
        <f>5618.33+399+8.39+28.86</f>
        <v>6054.58</v>
      </c>
      <c r="L7" s="313"/>
      <c r="M7" s="1"/>
      <c r="N7" s="1"/>
      <c r="R7" s="3"/>
    </row>
    <row r="8" spans="1:22" ht="15.75">
      <c r="A8" s="163">
        <f>'09'!A8+B8-SUM(D8:F8)</f>
        <v>-94.96</v>
      </c>
      <c r="B8" s="220">
        <v>0</v>
      </c>
      <c r="C8" s="33" t="s">
        <v>38</v>
      </c>
      <c r="D8" s="223"/>
      <c r="E8" s="164">
        <v>94.96</v>
      </c>
      <c r="F8" s="224"/>
      <c r="G8" s="33" t="s">
        <v>38</v>
      </c>
      <c r="H8" s="1"/>
      <c r="I8" s="159" t="s">
        <v>76</v>
      </c>
      <c r="J8" s="158" t="s">
        <v>78</v>
      </c>
      <c r="K8" s="312">
        <v>7000</v>
      </c>
      <c r="L8" s="313"/>
      <c r="M8" s="1"/>
      <c r="N8" s="1"/>
      <c r="R8" s="3"/>
    </row>
    <row r="9" spans="1:22" ht="15.75">
      <c r="A9" s="163">
        <f>'09'!A9+B9-SUM(D9:F9)</f>
        <v>0</v>
      </c>
      <c r="B9" s="220">
        <v>28.14</v>
      </c>
      <c r="C9" s="33" t="s">
        <v>40</v>
      </c>
      <c r="D9" s="223"/>
      <c r="E9" s="224"/>
      <c r="F9" s="224"/>
      <c r="G9" s="33" t="s">
        <v>40</v>
      </c>
      <c r="H9" s="1"/>
      <c r="I9" s="159" t="s">
        <v>76</v>
      </c>
      <c r="J9" s="158" t="s">
        <v>267</v>
      </c>
      <c r="K9" s="312">
        <v>659.77</v>
      </c>
      <c r="L9" s="313"/>
      <c r="M9" s="1"/>
      <c r="N9" s="1"/>
      <c r="R9" s="3"/>
    </row>
    <row r="10" spans="1:22" ht="15.75">
      <c r="A10" s="163">
        <f>'09'!A10+B10-SUM(D10:F10)</f>
        <v>0</v>
      </c>
      <c r="B10" s="220">
        <v>12</v>
      </c>
      <c r="C10" s="33" t="s">
        <v>39</v>
      </c>
      <c r="D10" s="223"/>
      <c r="E10" s="224">
        <v>12</v>
      </c>
      <c r="F10" s="224"/>
      <c r="G10" s="33" t="s">
        <v>39</v>
      </c>
      <c r="H10" s="1"/>
      <c r="I10" s="159" t="s">
        <v>76</v>
      </c>
      <c r="J10" s="158" t="s">
        <v>115</v>
      </c>
      <c r="K10" s="312">
        <v>1800.04</v>
      </c>
      <c r="L10" s="313"/>
      <c r="M10" s="1" t="s">
        <v>265</v>
      </c>
      <c r="N10" s="1"/>
      <c r="R10" s="3"/>
    </row>
    <row r="11" spans="1:22" ht="15.75">
      <c r="A11" s="163">
        <f>'09'!A11+B11-SUM(D11:F11)</f>
        <v>0.17000000000000171</v>
      </c>
      <c r="B11" s="220">
        <v>30.41</v>
      </c>
      <c r="C11" s="33" t="s">
        <v>37</v>
      </c>
      <c r="D11" s="223"/>
      <c r="E11" s="224">
        <v>30.24</v>
      </c>
      <c r="F11" s="224"/>
      <c r="G11" s="33" t="s">
        <v>37</v>
      </c>
      <c r="H11" s="1"/>
      <c r="I11" s="159" t="s">
        <v>93</v>
      </c>
      <c r="J11" s="158" t="s">
        <v>94</v>
      </c>
      <c r="K11" s="312">
        <v>260</v>
      </c>
      <c r="L11" s="313"/>
      <c r="M11" s="1"/>
      <c r="N11" s="1"/>
      <c r="R11" s="3"/>
    </row>
    <row r="12" spans="1:22" ht="15.75">
      <c r="A12" s="163">
        <f>'09'!A12+B12-SUM(D12:F12)</f>
        <v>-11.95999999999998</v>
      </c>
      <c r="B12" s="220">
        <v>25</v>
      </c>
      <c r="C12" s="33" t="s">
        <v>206</v>
      </c>
      <c r="D12" s="223"/>
      <c r="E12" s="224">
        <v>261.95999999999998</v>
      </c>
      <c r="F12" s="224"/>
      <c r="G12" s="33" t="s">
        <v>686</v>
      </c>
      <c r="H12" s="163"/>
      <c r="I12" s="159" t="s">
        <v>303</v>
      </c>
      <c r="J12" s="158" t="s">
        <v>304</v>
      </c>
      <c r="K12" s="312">
        <v>5092.08</v>
      </c>
      <c r="L12" s="313"/>
      <c r="M12" s="140"/>
      <c r="N12" s="1"/>
      <c r="R12" s="3"/>
    </row>
    <row r="13" spans="1:22" ht="15.75">
      <c r="A13" s="163">
        <f>'09'!A13+B13-SUM(D13:F13)</f>
        <v>49</v>
      </c>
      <c r="B13" s="220">
        <v>7</v>
      </c>
      <c r="C13" s="33" t="s">
        <v>653</v>
      </c>
      <c r="D13" s="223"/>
      <c r="E13" s="224"/>
      <c r="F13" s="224"/>
      <c r="G13" s="33"/>
      <c r="H13" s="1"/>
      <c r="I13" s="159"/>
      <c r="J13" s="158"/>
      <c r="K13" s="312"/>
      <c r="L13" s="313"/>
      <c r="M13" s="1"/>
      <c r="N13" s="1"/>
      <c r="R13" s="3"/>
    </row>
    <row r="14" spans="1:22" ht="15.75">
      <c r="A14" s="163"/>
      <c r="B14" s="220"/>
      <c r="C14" s="33"/>
      <c r="D14" s="223"/>
      <c r="E14" s="224"/>
      <c r="F14" s="224"/>
      <c r="G14" s="33"/>
      <c r="H14" s="1"/>
      <c r="I14" s="159"/>
      <c r="J14" s="158"/>
      <c r="K14" s="312"/>
      <c r="L14" s="313"/>
      <c r="M14" s="1"/>
      <c r="N14" s="1"/>
      <c r="R14" s="3"/>
    </row>
    <row r="15" spans="1:22" ht="15.75">
      <c r="A15" s="163"/>
      <c r="B15" s="220"/>
      <c r="C15" s="33"/>
      <c r="D15" s="223"/>
      <c r="E15" s="224"/>
      <c r="F15" s="224"/>
      <c r="G15" s="33"/>
      <c r="H15" s="1"/>
      <c r="I15" s="159"/>
      <c r="J15" s="158"/>
      <c r="K15" s="312"/>
      <c r="L15" s="313"/>
      <c r="M15" s="1"/>
      <c r="N15" s="1"/>
      <c r="R15" s="3"/>
    </row>
    <row r="16" spans="1:22" ht="15.75">
      <c r="A16" s="1"/>
      <c r="B16" s="220"/>
      <c r="C16" s="33"/>
      <c r="D16" s="223"/>
      <c r="E16" s="224"/>
      <c r="F16" s="224"/>
      <c r="G16" s="33"/>
      <c r="H16" s="1"/>
      <c r="I16" s="159"/>
      <c r="J16" s="158"/>
      <c r="K16" s="312"/>
      <c r="L16" s="313"/>
      <c r="M16" s="1"/>
      <c r="N16" s="1"/>
      <c r="R16" s="3"/>
    </row>
    <row r="17" spans="1:18" ht="15.75">
      <c r="A17" s="1"/>
      <c r="B17" s="220"/>
      <c r="C17" s="33"/>
      <c r="D17" s="223"/>
      <c r="E17" s="224"/>
      <c r="F17" s="224"/>
      <c r="G17" s="33"/>
      <c r="H17" s="1"/>
      <c r="I17" s="159"/>
      <c r="J17" s="158"/>
      <c r="K17" s="312"/>
      <c r="L17" s="313"/>
      <c r="M17" s="1"/>
      <c r="N17" s="1"/>
      <c r="R17" s="3"/>
    </row>
    <row r="18" spans="1:18" ht="16.5" thickBot="1">
      <c r="A18" s="1"/>
      <c r="B18" s="220"/>
      <c r="C18" s="33"/>
      <c r="D18" s="223"/>
      <c r="E18" s="224"/>
      <c r="F18" s="224"/>
      <c r="G18" s="33"/>
      <c r="H18" s="1"/>
      <c r="I18" s="160"/>
      <c r="J18" s="161"/>
      <c r="K18" s="318"/>
      <c r="L18" s="319"/>
      <c r="M18" s="1"/>
      <c r="N18" s="1"/>
      <c r="R18" s="3"/>
    </row>
    <row r="19" spans="1:18" ht="16.5" thickBot="1">
      <c r="A19" s="1"/>
      <c r="B19" s="221"/>
      <c r="C19" s="34"/>
      <c r="D19" s="221"/>
      <c r="E19" s="225"/>
      <c r="F19" s="225"/>
      <c r="G19" s="34"/>
      <c r="H19" s="1"/>
      <c r="I19" s="63" t="s">
        <v>83</v>
      </c>
      <c r="J19" s="37"/>
      <c r="K19" s="318">
        <f>SUM(K5:K18)</f>
        <v>23755.86</v>
      </c>
      <c r="L19" s="319"/>
      <c r="M19" s="1"/>
      <c r="N19" s="1"/>
      <c r="R19" s="3"/>
    </row>
    <row r="20" spans="1:18" ht="16.5" thickBot="1">
      <c r="A20" s="163">
        <f>SUM(A6:A15)</f>
        <v>46.050000000000026</v>
      </c>
      <c r="B20" s="221">
        <f>SUM(B6:B19)</f>
        <v>572.14</v>
      </c>
      <c r="C20" s="34" t="s">
        <v>66</v>
      </c>
      <c r="D20" s="221">
        <f>SUM(D6:D19)</f>
        <v>0</v>
      </c>
      <c r="E20" s="221">
        <f>SUM(E6:E19)</f>
        <v>798.75</v>
      </c>
      <c r="F20" s="221">
        <f>SUM(F6:F19)</f>
        <v>0</v>
      </c>
      <c r="G20" s="34" t="s">
        <v>66</v>
      </c>
      <c r="H20" s="1"/>
      <c r="I20" s="137" t="s">
        <v>116</v>
      </c>
      <c r="L20" s="164">
        <f>K19-K10-K12</f>
        <v>16863.739999999998</v>
      </c>
      <c r="M20" s="1"/>
      <c r="R20" s="3"/>
    </row>
    <row r="21" spans="1:18" ht="16.5" thickBot="1">
      <c r="A21" s="1"/>
      <c r="B21" s="163"/>
      <c r="C21" s="1"/>
      <c r="D21" s="163"/>
      <c r="E21" s="163"/>
      <c r="F21" s="163"/>
      <c r="G21" s="1"/>
      <c r="H21" s="1"/>
      <c r="M21" s="1"/>
      <c r="R21" s="3"/>
    </row>
    <row r="22" spans="1:18" ht="15.6" customHeight="1">
      <c r="A22" s="1"/>
      <c r="B22" s="289" t="str">
        <f>'2018'!A21</f>
        <v>Waterloo</v>
      </c>
      <c r="C22" s="290"/>
      <c r="D22" s="290"/>
      <c r="E22" s="290"/>
      <c r="F22" s="290"/>
      <c r="G22" s="291"/>
      <c r="H22" s="1"/>
      <c r="I22" s="302" t="s">
        <v>6</v>
      </c>
      <c r="J22" s="290"/>
      <c r="K22" s="290"/>
      <c r="L22" s="291"/>
      <c r="M22" s="1"/>
      <c r="R22" s="3"/>
    </row>
    <row r="23" spans="1:18" ht="16.149999999999999" customHeight="1" thickBot="1">
      <c r="A23" s="1"/>
      <c r="B23" s="292"/>
      <c r="C23" s="293"/>
      <c r="D23" s="293"/>
      <c r="E23" s="293"/>
      <c r="F23" s="293"/>
      <c r="G23" s="294"/>
      <c r="H23" s="1"/>
      <c r="I23" s="292"/>
      <c r="J23" s="293"/>
      <c r="K23" s="293"/>
      <c r="L23" s="294"/>
      <c r="M23" s="1"/>
      <c r="R23" s="3"/>
    </row>
    <row r="24" spans="1:18" ht="15.75">
      <c r="A24" s="1"/>
      <c r="B24" s="297" t="s">
        <v>10</v>
      </c>
      <c r="C24" s="296"/>
      <c r="D24" s="295" t="s">
        <v>11</v>
      </c>
      <c r="E24" s="295"/>
      <c r="F24" s="295"/>
      <c r="G24" s="296"/>
      <c r="H24" s="1"/>
      <c r="I24" s="88" t="s">
        <v>33</v>
      </c>
      <c r="J24" s="32" t="s">
        <v>133</v>
      </c>
      <c r="K24" s="316" t="s">
        <v>134</v>
      </c>
      <c r="L24" s="317"/>
      <c r="M24" s="1"/>
      <c r="R24" s="3"/>
    </row>
    <row r="25" spans="1:18" ht="15.75">
      <c r="A25" s="1" t="s">
        <v>608</v>
      </c>
      <c r="B25" s="218" t="s">
        <v>32</v>
      </c>
      <c r="C25" s="60" t="s">
        <v>33</v>
      </c>
      <c r="D25" s="218" t="s">
        <v>68</v>
      </c>
      <c r="E25" s="222" t="s">
        <v>69</v>
      </c>
      <c r="F25" s="222" t="s">
        <v>32</v>
      </c>
      <c r="G25" s="60" t="s">
        <v>33</v>
      </c>
      <c r="H25" s="1"/>
      <c r="I25" s="150">
        <v>2</v>
      </c>
      <c r="J25" s="3" t="s">
        <v>655</v>
      </c>
      <c r="K25" s="314">
        <v>209.32</v>
      </c>
      <c r="L25" s="315"/>
      <c r="M25" s="1"/>
      <c r="R25" s="3"/>
    </row>
    <row r="26" spans="1:18" ht="15.75">
      <c r="A26" s="163">
        <f>'09'!A26+B26-D26</f>
        <v>0</v>
      </c>
      <c r="B26" s="219">
        <v>900</v>
      </c>
      <c r="C26" s="66" t="s">
        <v>42</v>
      </c>
      <c r="D26" s="223">
        <v>900</v>
      </c>
      <c r="E26" s="224"/>
      <c r="F26" s="224"/>
      <c r="G26" s="33" t="s">
        <v>42</v>
      </c>
      <c r="H26" s="1"/>
      <c r="I26" s="151">
        <v>8</v>
      </c>
      <c r="J26" s="35" t="s">
        <v>42</v>
      </c>
      <c r="K26" s="312">
        <v>550</v>
      </c>
      <c r="L26" s="313"/>
      <c r="M26" s="1"/>
      <c r="R26" s="3"/>
    </row>
    <row r="27" spans="1:18" ht="15.75">
      <c r="A27" s="163">
        <f>'09'!A27+B27-D27</f>
        <v>6</v>
      </c>
      <c r="B27" s="220">
        <v>170</v>
      </c>
      <c r="C27" s="66" t="s">
        <v>44</v>
      </c>
      <c r="D27" s="223">
        <v>167</v>
      </c>
      <c r="E27" s="224"/>
      <c r="F27" s="224"/>
      <c r="G27" s="33" t="s">
        <v>44</v>
      </c>
      <c r="H27" s="1"/>
      <c r="I27" s="151">
        <v>4</v>
      </c>
      <c r="J27" s="35" t="s">
        <v>688</v>
      </c>
      <c r="K27" s="312">
        <v>0.06</v>
      </c>
      <c r="L27" s="313"/>
      <c r="M27" s="1"/>
      <c r="R27" s="3"/>
    </row>
    <row r="28" spans="1:18" ht="15.75">
      <c r="A28" s="163">
        <f>'09'!A28+B28-D28</f>
        <v>63.06</v>
      </c>
      <c r="B28" s="220">
        <v>40</v>
      </c>
      <c r="C28" s="66" t="s">
        <v>45</v>
      </c>
      <c r="D28" s="223">
        <v>96.94</v>
      </c>
      <c r="E28" s="224"/>
      <c r="F28" s="224"/>
      <c r="G28" s="33" t="s">
        <v>45</v>
      </c>
      <c r="H28" s="1"/>
      <c r="I28" s="151">
        <v>2</v>
      </c>
      <c r="J28" s="35" t="s">
        <v>693</v>
      </c>
      <c r="K28" s="312">
        <v>201.21</v>
      </c>
      <c r="L28" s="313"/>
      <c r="M28" s="1"/>
      <c r="R28" s="3"/>
    </row>
    <row r="29" spans="1:18" ht="15.75">
      <c r="A29" s="163">
        <f>'09'!A29+B29-D29</f>
        <v>1.0799999999999983</v>
      </c>
      <c r="B29" s="220">
        <v>18</v>
      </c>
      <c r="C29" s="66" t="s">
        <v>41</v>
      </c>
      <c r="D29" s="223">
        <v>17.46</v>
      </c>
      <c r="E29" s="224"/>
      <c r="F29" s="224"/>
      <c r="G29" s="33" t="s">
        <v>41</v>
      </c>
      <c r="H29" s="1"/>
      <c r="I29" s="151">
        <v>2</v>
      </c>
      <c r="J29" s="35" t="s">
        <v>704</v>
      </c>
      <c r="K29" s="312">
        <v>124</v>
      </c>
      <c r="L29" s="313"/>
      <c r="M29" s="1"/>
      <c r="R29" s="3"/>
    </row>
    <row r="30" spans="1:18" ht="15.75">
      <c r="A30" s="163">
        <f>'09'!A30+B30-D30</f>
        <v>593.55999999999995</v>
      </c>
      <c r="B30" s="220">
        <v>0</v>
      </c>
      <c r="C30" s="66" t="s">
        <v>46</v>
      </c>
      <c r="D30" s="223"/>
      <c r="E30" s="224"/>
      <c r="F30" s="224"/>
      <c r="G30" s="33"/>
      <c r="H30" s="1"/>
      <c r="I30" s="151"/>
      <c r="J30" s="35"/>
      <c r="K30" s="312"/>
      <c r="L30" s="313"/>
      <c r="M30" s="1"/>
      <c r="R30" s="3"/>
    </row>
    <row r="31" spans="1:18" ht="15.75">
      <c r="A31" s="163"/>
      <c r="B31" s="220"/>
      <c r="C31" s="33"/>
      <c r="D31" s="223"/>
      <c r="E31" s="224"/>
      <c r="F31" s="224"/>
      <c r="G31" s="33"/>
      <c r="H31" s="1"/>
      <c r="I31" s="151"/>
      <c r="J31" s="35"/>
      <c r="K31" s="312"/>
      <c r="L31" s="313"/>
      <c r="M31" s="1"/>
      <c r="R31" s="3"/>
    </row>
    <row r="32" spans="1:18" ht="15.75">
      <c r="A32" s="163"/>
      <c r="B32" s="220"/>
      <c r="C32" s="33"/>
      <c r="D32" s="223"/>
      <c r="E32" s="224"/>
      <c r="F32" s="224"/>
      <c r="G32" s="33"/>
      <c r="H32" s="1"/>
      <c r="I32" s="151"/>
      <c r="J32" s="35"/>
      <c r="K32" s="312"/>
      <c r="L32" s="313"/>
      <c r="M32" s="1"/>
      <c r="R32" s="3"/>
    </row>
    <row r="33" spans="1:18" ht="15.75">
      <c r="A33" s="163"/>
      <c r="B33" s="220"/>
      <c r="C33" s="33"/>
      <c r="D33" s="223"/>
      <c r="E33" s="224"/>
      <c r="F33" s="224"/>
      <c r="G33" s="33"/>
      <c r="H33" s="1"/>
      <c r="I33" s="151"/>
      <c r="J33" s="35"/>
      <c r="K33" s="312"/>
      <c r="L33" s="313"/>
      <c r="M33" s="1"/>
      <c r="R33" s="3"/>
    </row>
    <row r="34" spans="1:18" ht="15.75">
      <c r="A34" s="163"/>
      <c r="B34" s="220"/>
      <c r="C34" s="33"/>
      <c r="D34" s="223"/>
      <c r="E34" s="224"/>
      <c r="F34" s="224"/>
      <c r="G34" s="33"/>
      <c r="H34" s="1"/>
      <c r="I34" s="151"/>
      <c r="J34" s="35"/>
      <c r="K34" s="312"/>
      <c r="L34" s="313"/>
      <c r="M34" s="1"/>
      <c r="R34" s="3"/>
    </row>
    <row r="35" spans="1:18" ht="15.75">
      <c r="A35" s="163"/>
      <c r="B35" s="220"/>
      <c r="C35" s="33"/>
      <c r="D35" s="223"/>
      <c r="E35" s="224"/>
      <c r="F35" s="224"/>
      <c r="G35" s="33"/>
      <c r="H35" s="1"/>
      <c r="I35" s="151"/>
      <c r="J35" s="35"/>
      <c r="K35" s="312"/>
      <c r="L35" s="313"/>
      <c r="M35" s="1"/>
      <c r="R35" s="3"/>
    </row>
    <row r="36" spans="1:18" ht="15.75">
      <c r="A36" s="1"/>
      <c r="B36" s="220"/>
      <c r="C36" s="33"/>
      <c r="D36" s="223"/>
      <c r="E36" s="224"/>
      <c r="F36" s="224"/>
      <c r="G36" s="33"/>
      <c r="H36" s="1"/>
      <c r="I36" s="151"/>
      <c r="J36" s="35"/>
      <c r="K36" s="312"/>
      <c r="L36" s="313"/>
      <c r="M36" s="1"/>
      <c r="R36" s="3"/>
    </row>
    <row r="37" spans="1:18" ht="15.75">
      <c r="A37" s="1"/>
      <c r="B37" s="220"/>
      <c r="C37" s="33"/>
      <c r="D37" s="223"/>
      <c r="E37" s="224"/>
      <c r="F37" s="224"/>
      <c r="G37" s="33"/>
      <c r="H37" s="1"/>
      <c r="I37" s="151"/>
      <c r="J37" s="35"/>
      <c r="K37" s="312"/>
      <c r="L37" s="313"/>
      <c r="M37" s="1"/>
      <c r="R37" s="3"/>
    </row>
    <row r="38" spans="1:18" ht="16.5" thickBot="1">
      <c r="A38" s="1"/>
      <c r="B38" s="220"/>
      <c r="C38" s="33"/>
      <c r="D38" s="223"/>
      <c r="E38" s="224"/>
      <c r="F38" s="224"/>
      <c r="G38" s="33"/>
      <c r="H38" s="1"/>
      <c r="I38" s="152"/>
      <c r="J38" s="37"/>
      <c r="K38" s="318"/>
      <c r="L38" s="319"/>
      <c r="M38" s="1"/>
      <c r="R38" s="3"/>
    </row>
    <row r="39" spans="1:18" ht="16.5" thickBot="1">
      <c r="A39" s="1"/>
      <c r="B39" s="221"/>
      <c r="C39" s="34"/>
      <c r="D39" s="221"/>
      <c r="E39" s="225"/>
      <c r="F39" s="225"/>
      <c r="G39" s="34"/>
      <c r="H39" s="1"/>
      <c r="M39" s="1"/>
      <c r="R39" s="3"/>
    </row>
    <row r="40" spans="1:18" ht="16.5" thickBot="1">
      <c r="A40" s="163">
        <f>SUM(A26:A35)</f>
        <v>663.69999999999993</v>
      </c>
      <c r="B40" s="221">
        <f>SUM(B26:B39)</f>
        <v>1128</v>
      </c>
      <c r="C40" s="34" t="s">
        <v>66</v>
      </c>
      <c r="D40" s="221">
        <f>SUM(D26:D39)</f>
        <v>1181.4000000000001</v>
      </c>
      <c r="E40" s="221">
        <f>SUM(E26:E39)</f>
        <v>0</v>
      </c>
      <c r="F40" s="221">
        <f>SUM(F26:F39)</f>
        <v>0</v>
      </c>
      <c r="G40" s="34" t="s">
        <v>66</v>
      </c>
      <c r="H40" s="1"/>
      <c r="M40" s="1"/>
      <c r="R40" s="3"/>
    </row>
    <row r="41" spans="1:18" ht="16.5" thickBot="1">
      <c r="A41" s="1"/>
      <c r="B41" s="163"/>
      <c r="C41" s="1"/>
      <c r="D41" s="163"/>
      <c r="E41" s="163"/>
      <c r="F41" s="163"/>
      <c r="G41" s="1"/>
      <c r="H41" s="1"/>
      <c r="M41" s="1"/>
      <c r="R41" s="3"/>
    </row>
    <row r="42" spans="1:18" ht="15.6" customHeight="1">
      <c r="A42" s="1"/>
      <c r="B42" s="289" t="str">
        <f>'2018'!A22</f>
        <v>Comida+Limpieza</v>
      </c>
      <c r="C42" s="290"/>
      <c r="D42" s="290"/>
      <c r="E42" s="290"/>
      <c r="F42" s="290"/>
      <c r="G42" s="291"/>
      <c r="H42" s="1"/>
      <c r="M42" s="1"/>
      <c r="R42" s="3"/>
    </row>
    <row r="43" spans="1:18" ht="16.149999999999999" customHeight="1" thickBot="1">
      <c r="A43" s="1"/>
      <c r="B43" s="292"/>
      <c r="C43" s="293"/>
      <c r="D43" s="293"/>
      <c r="E43" s="293"/>
      <c r="F43" s="293"/>
      <c r="G43" s="294"/>
      <c r="H43" s="1"/>
      <c r="M43" s="1"/>
      <c r="R43" s="3"/>
    </row>
    <row r="44" spans="1:18" ht="15.75">
      <c r="A44" s="1"/>
      <c r="B44" s="297" t="s">
        <v>10</v>
      </c>
      <c r="C44" s="296"/>
      <c r="D44" s="295" t="s">
        <v>11</v>
      </c>
      <c r="E44" s="295"/>
      <c r="F44" s="295"/>
      <c r="G44" s="296"/>
      <c r="H44" s="1"/>
      <c r="M44" s="1"/>
      <c r="R44" s="3"/>
    </row>
    <row r="45" spans="1:18" ht="15.75">
      <c r="A45" s="1"/>
      <c r="B45" s="218" t="s">
        <v>32</v>
      </c>
      <c r="C45" s="60" t="s">
        <v>33</v>
      </c>
      <c r="D45" s="218" t="s">
        <v>68</v>
      </c>
      <c r="E45" s="222" t="s">
        <v>69</v>
      </c>
      <c r="F45" s="222" t="s">
        <v>32</v>
      </c>
      <c r="G45" s="60" t="s">
        <v>393</v>
      </c>
      <c r="H45" s="1"/>
      <c r="M45" s="1"/>
      <c r="R45" s="3"/>
    </row>
    <row r="46" spans="1:18" ht="15.75">
      <c r="A46" s="1"/>
      <c r="B46" s="219">
        <v>462</v>
      </c>
      <c r="C46" s="36"/>
      <c r="D46" s="223">
        <f>28.92</f>
        <v>28.92</v>
      </c>
      <c r="E46" s="224"/>
      <c r="F46" s="224"/>
      <c r="G46" s="69" t="s">
        <v>656</v>
      </c>
      <c r="H46" s="1"/>
      <c r="M46" s="1"/>
      <c r="R46" s="3"/>
    </row>
    <row r="47" spans="1:18" ht="15.75">
      <c r="A47" s="1"/>
      <c r="B47" s="220">
        <v>28</v>
      </c>
      <c r="C47" s="33" t="s">
        <v>110</v>
      </c>
      <c r="D47" s="223">
        <v>45.49</v>
      </c>
      <c r="E47" s="224"/>
      <c r="F47" s="224"/>
      <c r="G47" s="33" t="s">
        <v>665</v>
      </c>
      <c r="H47" s="1"/>
      <c r="M47" s="1"/>
      <c r="R47" s="3"/>
    </row>
    <row r="48" spans="1:18" ht="15.75">
      <c r="A48" s="1"/>
      <c r="B48" s="220"/>
      <c r="C48" s="33"/>
      <c r="D48" s="223">
        <v>23.12</v>
      </c>
      <c r="E48" s="224"/>
      <c r="F48" s="224"/>
      <c r="G48" s="33" t="s">
        <v>670</v>
      </c>
      <c r="H48" s="1"/>
      <c r="M48" s="1"/>
      <c r="R48" s="3"/>
    </row>
    <row r="49" spans="1:18" ht="15.75">
      <c r="A49" s="1"/>
      <c r="B49" s="220"/>
      <c r="C49" s="33"/>
      <c r="D49" s="223"/>
      <c r="E49" s="224">
        <v>29.64</v>
      </c>
      <c r="F49" s="224"/>
      <c r="G49" s="33" t="s">
        <v>676</v>
      </c>
      <c r="H49" s="1"/>
      <c r="M49" s="1"/>
      <c r="R49" s="3"/>
    </row>
    <row r="50" spans="1:18" ht="15.75">
      <c r="A50" s="1"/>
      <c r="B50" s="220"/>
      <c r="C50" s="33"/>
      <c r="D50" s="223">
        <v>61.2</v>
      </c>
      <c r="E50" s="224"/>
      <c r="F50" s="224"/>
      <c r="G50" s="33" t="s">
        <v>678</v>
      </c>
      <c r="H50" s="1"/>
      <c r="M50" s="1"/>
      <c r="R50" s="3"/>
    </row>
    <row r="51" spans="1:18" ht="15.75">
      <c r="A51" s="1"/>
      <c r="B51" s="220"/>
      <c r="C51" s="33"/>
      <c r="D51" s="223">
        <v>13.93</v>
      </c>
      <c r="E51" s="224"/>
      <c r="F51" s="224"/>
      <c r="G51" s="33" t="s">
        <v>679</v>
      </c>
      <c r="H51" s="1"/>
      <c r="M51" s="1"/>
      <c r="R51" s="3"/>
    </row>
    <row r="52" spans="1:18" ht="15.75">
      <c r="A52" s="1"/>
      <c r="B52" s="220"/>
      <c r="C52" s="33"/>
      <c r="D52" s="223">
        <v>83.6</v>
      </c>
      <c r="E52" s="224"/>
      <c r="F52" s="224"/>
      <c r="G52" s="33" t="s">
        <v>680</v>
      </c>
      <c r="H52" s="1"/>
      <c r="M52" s="1"/>
      <c r="R52" s="3"/>
    </row>
    <row r="53" spans="1:18" ht="15.75">
      <c r="A53" s="1"/>
      <c r="B53" s="220"/>
      <c r="C53" s="33"/>
      <c r="D53" s="223">
        <v>22.68</v>
      </c>
      <c r="E53" s="224"/>
      <c r="F53" s="224"/>
      <c r="G53" s="33" t="s">
        <v>682</v>
      </c>
      <c r="H53" s="1"/>
      <c r="M53" s="1"/>
      <c r="R53" s="3"/>
    </row>
    <row r="54" spans="1:18" ht="15.75">
      <c r="A54" s="1"/>
      <c r="B54" s="220"/>
      <c r="C54" s="33"/>
      <c r="D54" s="223">
        <f>17.02</f>
        <v>17.02</v>
      </c>
      <c r="E54" s="224"/>
      <c r="F54" s="224"/>
      <c r="G54" s="33" t="s">
        <v>683</v>
      </c>
      <c r="H54" s="1"/>
      <c r="M54" s="1"/>
      <c r="R54" s="3"/>
    </row>
    <row r="55" spans="1:18" ht="15.75">
      <c r="A55" s="1"/>
      <c r="B55" s="220"/>
      <c r="C55" s="33"/>
      <c r="D55" s="223">
        <f>21.82</f>
        <v>21.82</v>
      </c>
      <c r="E55" s="224"/>
      <c r="F55" s="224"/>
      <c r="G55" s="33" t="s">
        <v>694</v>
      </c>
      <c r="H55" s="1"/>
      <c r="M55" s="1"/>
      <c r="R55" s="3"/>
    </row>
    <row r="56" spans="1:18" ht="15.75">
      <c r="A56" s="1"/>
      <c r="B56" s="220"/>
      <c r="C56" s="33"/>
      <c r="D56" s="223">
        <f>50.16</f>
        <v>50.16</v>
      </c>
      <c r="E56" s="224"/>
      <c r="F56" s="224"/>
      <c r="G56" s="33" t="s">
        <v>698</v>
      </c>
      <c r="H56" s="1"/>
      <c r="M56" s="1"/>
      <c r="R56" s="3"/>
    </row>
    <row r="57" spans="1:18" ht="15.75">
      <c r="A57" s="1"/>
      <c r="B57" s="220"/>
      <c r="C57" s="33"/>
      <c r="D57" s="223">
        <f>19.52</f>
        <v>19.52</v>
      </c>
      <c r="E57" s="224"/>
      <c r="F57" s="224"/>
      <c r="G57" s="33" t="s">
        <v>700</v>
      </c>
      <c r="H57" s="1"/>
      <c r="M57" s="1"/>
      <c r="R57" s="3"/>
    </row>
    <row r="58" spans="1:18" ht="15.75">
      <c r="A58" s="1"/>
      <c r="B58" s="220"/>
      <c r="C58" s="33"/>
      <c r="D58" s="223">
        <f>33.87</f>
        <v>33.869999999999997</v>
      </c>
      <c r="E58" s="224"/>
      <c r="F58" s="224"/>
      <c r="G58" s="33" t="s">
        <v>705</v>
      </c>
      <c r="H58" s="1"/>
      <c r="M58" s="1"/>
      <c r="R58" s="3"/>
    </row>
    <row r="59" spans="1:18" ht="16.5" thickBot="1">
      <c r="A59" s="1"/>
      <c r="B59" s="221"/>
      <c r="C59" s="34"/>
      <c r="D59" s="221">
        <f>74.42</f>
        <v>74.42</v>
      </c>
      <c r="E59" s="225"/>
      <c r="F59" s="225"/>
      <c r="G59" s="34" t="s">
        <v>707</v>
      </c>
      <c r="H59" s="1"/>
      <c r="M59" s="1"/>
      <c r="R59" s="3"/>
    </row>
    <row r="60" spans="1:18" ht="16.5" thickBot="1">
      <c r="A60" s="1"/>
      <c r="B60" s="221">
        <f>SUM(B46:B59)</f>
        <v>490</v>
      </c>
      <c r="C60" s="34" t="s">
        <v>66</v>
      </c>
      <c r="D60" s="221">
        <f>SUM(D46:D59)</f>
        <v>495.74999999999994</v>
      </c>
      <c r="E60" s="221">
        <f>SUM(E46:E59)</f>
        <v>29.64</v>
      </c>
      <c r="F60" s="221">
        <f>SUM(F46:F59)</f>
        <v>0</v>
      </c>
      <c r="G60" s="34" t="s">
        <v>66</v>
      </c>
      <c r="H60" s="1"/>
      <c r="M60" s="1"/>
      <c r="R60" s="3"/>
    </row>
    <row r="61" spans="1:18" ht="16.5" thickBot="1">
      <c r="A61" s="1"/>
      <c r="B61" s="163"/>
      <c r="C61" s="1"/>
      <c r="D61" s="163"/>
      <c r="E61" s="163"/>
      <c r="F61" s="163"/>
      <c r="G61" s="1"/>
      <c r="H61" s="1"/>
      <c r="M61" s="1"/>
      <c r="R61" s="3"/>
    </row>
    <row r="62" spans="1:18" ht="15.6" customHeight="1">
      <c r="A62" s="1"/>
      <c r="B62" s="289" t="str">
        <f>'2018'!A23</f>
        <v>Ocio</v>
      </c>
      <c r="C62" s="290"/>
      <c r="D62" s="290"/>
      <c r="E62" s="290"/>
      <c r="F62" s="290"/>
      <c r="G62" s="291"/>
      <c r="H62" s="1"/>
      <c r="M62" s="1"/>
      <c r="R62" s="3"/>
    </row>
    <row r="63" spans="1:18" ht="16.149999999999999" customHeight="1" thickBot="1">
      <c r="A63" s="1"/>
      <c r="B63" s="292"/>
      <c r="C63" s="293"/>
      <c r="D63" s="293"/>
      <c r="E63" s="293"/>
      <c r="F63" s="293"/>
      <c r="G63" s="294"/>
      <c r="H63" s="1"/>
      <c r="M63" s="1"/>
      <c r="R63" s="3"/>
    </row>
    <row r="64" spans="1:18" ht="15.75">
      <c r="A64" s="1"/>
      <c r="B64" s="297" t="s">
        <v>10</v>
      </c>
      <c r="C64" s="296"/>
      <c r="D64" s="295" t="s">
        <v>11</v>
      </c>
      <c r="E64" s="295"/>
      <c r="F64" s="295"/>
      <c r="G64" s="296"/>
      <c r="H64" s="1"/>
      <c r="M64" s="1"/>
      <c r="R64" s="3"/>
    </row>
    <row r="65" spans="1:18" ht="15.75">
      <c r="A65" s="1"/>
      <c r="B65" s="218" t="s">
        <v>32</v>
      </c>
      <c r="C65" s="60" t="s">
        <v>33</v>
      </c>
      <c r="D65" s="218" t="s">
        <v>68</v>
      </c>
      <c r="E65" s="222" t="s">
        <v>69</v>
      </c>
      <c r="F65" s="222" t="s">
        <v>32</v>
      </c>
      <c r="G65" s="60" t="s">
        <v>393</v>
      </c>
      <c r="H65" s="1"/>
      <c r="M65" s="1"/>
      <c r="R65" s="3"/>
    </row>
    <row r="66" spans="1:18" ht="15.75">
      <c r="A66" s="1"/>
      <c r="B66" s="219">
        <v>150</v>
      </c>
      <c r="C66" s="36" t="s">
        <v>36</v>
      </c>
      <c r="D66" s="223">
        <v>8.39</v>
      </c>
      <c r="E66" s="224"/>
      <c r="F66" s="224"/>
      <c r="G66" s="36" t="s">
        <v>648</v>
      </c>
      <c r="H66" s="1"/>
      <c r="M66" s="1"/>
      <c r="R66" s="3"/>
    </row>
    <row r="67" spans="1:18" ht="15.75">
      <c r="A67" s="1"/>
      <c r="B67" s="220"/>
      <c r="C67" s="33"/>
      <c r="D67" s="223">
        <v>67.099999999999994</v>
      </c>
      <c r="E67" s="224"/>
      <c r="F67" s="224"/>
      <c r="G67" s="70" t="s">
        <v>654</v>
      </c>
      <c r="H67" s="1"/>
      <c r="M67" s="1"/>
      <c r="R67" s="3"/>
    </row>
    <row r="68" spans="1:18" ht="15.75">
      <c r="A68" s="1"/>
      <c r="B68" s="220"/>
      <c r="C68" s="33"/>
      <c r="D68" s="223">
        <v>38.25</v>
      </c>
      <c r="E68" s="224"/>
      <c r="F68" s="224">
        <v>1</v>
      </c>
      <c r="G68" s="33" t="s">
        <v>657</v>
      </c>
      <c r="H68" s="1"/>
      <c r="M68" s="1"/>
      <c r="R68" s="3"/>
    </row>
    <row r="69" spans="1:18" ht="15.75">
      <c r="A69" s="1"/>
      <c r="B69" s="220"/>
      <c r="C69" s="33"/>
      <c r="D69" s="223"/>
      <c r="E69" s="224"/>
      <c r="F69" s="224">
        <v>6.25</v>
      </c>
      <c r="G69" s="33" t="s">
        <v>668</v>
      </c>
      <c r="H69" s="1"/>
      <c r="M69" s="1"/>
      <c r="R69" s="3"/>
    </row>
    <row r="70" spans="1:18" ht="15.75">
      <c r="A70" s="1"/>
      <c r="B70" s="220"/>
      <c r="C70" s="33"/>
      <c r="D70" s="223"/>
      <c r="E70" s="224"/>
      <c r="F70" s="224">
        <f>26.5</f>
        <v>26.5</v>
      </c>
      <c r="G70" s="33" t="s">
        <v>685</v>
      </c>
      <c r="H70" s="1"/>
      <c r="M70" s="1"/>
      <c r="R70" s="3"/>
    </row>
    <row r="71" spans="1:18" ht="15.75">
      <c r="A71" s="1"/>
      <c r="B71" s="220"/>
      <c r="C71" s="33"/>
      <c r="D71" s="223">
        <v>30.65</v>
      </c>
      <c r="E71" s="224"/>
      <c r="F71" s="224"/>
      <c r="G71" s="33" t="s">
        <v>696</v>
      </c>
      <c r="H71" s="1"/>
      <c r="M71" s="1"/>
      <c r="R71" s="3"/>
    </row>
    <row r="72" spans="1:18" ht="15.75">
      <c r="A72" s="1"/>
      <c r="B72" s="220"/>
      <c r="C72" s="33"/>
      <c r="D72" s="223">
        <v>33.65</v>
      </c>
      <c r="E72" s="224"/>
      <c r="F72" s="224"/>
      <c r="G72" s="33" t="s">
        <v>712</v>
      </c>
      <c r="H72" s="1"/>
      <c r="M72" s="1"/>
      <c r="R72" s="3"/>
    </row>
    <row r="73" spans="1:18" ht="15.75">
      <c r="A73" s="1"/>
      <c r="B73" s="220"/>
      <c r="C73" s="33"/>
      <c r="D73" s="223"/>
      <c r="E73" s="224"/>
      <c r="F73" s="224"/>
      <c r="G73" s="33"/>
      <c r="H73" s="1"/>
      <c r="M73" s="1"/>
      <c r="R73" s="3"/>
    </row>
    <row r="74" spans="1:18" ht="15.75">
      <c r="A74" s="1"/>
      <c r="B74" s="220"/>
      <c r="C74" s="33"/>
      <c r="D74" s="223"/>
      <c r="E74" s="224"/>
      <c r="F74" s="224"/>
      <c r="G74" s="33"/>
      <c r="H74" s="1"/>
      <c r="M74" s="1"/>
      <c r="R74" s="3"/>
    </row>
    <row r="75" spans="1:18" ht="15.75">
      <c r="A75" s="1"/>
      <c r="B75" s="220"/>
      <c r="C75" s="33"/>
      <c r="D75" s="223"/>
      <c r="E75" s="224"/>
      <c r="F75" s="224"/>
      <c r="G75" s="33"/>
      <c r="H75" s="1"/>
      <c r="M75" s="1"/>
      <c r="R75" s="3"/>
    </row>
    <row r="76" spans="1:18" ht="15.75">
      <c r="A76" s="1"/>
      <c r="B76" s="220"/>
      <c r="C76" s="33"/>
      <c r="D76" s="223"/>
      <c r="E76" s="224"/>
      <c r="F76" s="224"/>
      <c r="G76" s="33"/>
      <c r="H76" s="1"/>
      <c r="M76" s="1"/>
      <c r="R76" s="3"/>
    </row>
    <row r="77" spans="1:18" ht="15.75">
      <c r="A77" s="1"/>
      <c r="B77" s="220"/>
      <c r="C77" s="33"/>
      <c r="D77" s="223"/>
      <c r="E77" s="224"/>
      <c r="F77" s="224"/>
      <c r="G77" s="33"/>
      <c r="H77" s="1"/>
      <c r="M77" s="1"/>
      <c r="R77" s="3"/>
    </row>
    <row r="78" spans="1:18" ht="15.75">
      <c r="A78" s="1"/>
      <c r="B78" s="220"/>
      <c r="C78" s="33"/>
      <c r="D78" s="223"/>
      <c r="E78" s="224"/>
      <c r="F78" s="224"/>
      <c r="G78" s="33"/>
      <c r="H78" s="1"/>
      <c r="M78" s="1"/>
      <c r="R78" s="3"/>
    </row>
    <row r="79" spans="1:18" ht="16.5" thickBot="1">
      <c r="A79" s="1"/>
      <c r="B79" s="221"/>
      <c r="C79" s="34"/>
      <c r="D79" s="221"/>
      <c r="E79" s="225"/>
      <c r="F79" s="225"/>
      <c r="G79" s="34"/>
      <c r="H79" s="1"/>
      <c r="M79" s="1"/>
      <c r="R79" s="3"/>
    </row>
    <row r="80" spans="1:18" ht="16.5" thickBot="1">
      <c r="A80" s="1"/>
      <c r="B80" s="221">
        <f>SUM(B66:B79)</f>
        <v>150</v>
      </c>
      <c r="C80" s="34" t="s">
        <v>66</v>
      </c>
      <c r="D80" s="221">
        <f>SUM(D66:D79)</f>
        <v>178.04</v>
      </c>
      <c r="E80" s="221">
        <f>SUM(E66:E79)</f>
        <v>0</v>
      </c>
      <c r="F80" s="221">
        <f>SUM(F66:F79)</f>
        <v>33.75</v>
      </c>
      <c r="G80" s="34" t="s">
        <v>66</v>
      </c>
      <c r="H80" s="1"/>
      <c r="M80" s="1"/>
      <c r="R80" s="3"/>
    </row>
    <row r="81" spans="1:18" ht="16.5" thickBot="1">
      <c r="A81" s="1"/>
      <c r="B81" s="163"/>
      <c r="C81" s="1"/>
      <c r="D81" s="163"/>
      <c r="E81" s="163"/>
      <c r="F81" s="163"/>
      <c r="G81" s="1"/>
      <c r="H81" s="1"/>
      <c r="M81" s="1"/>
      <c r="R81" s="3"/>
    </row>
    <row r="82" spans="1:18" ht="15.6" customHeight="1">
      <c r="A82" s="1"/>
      <c r="B82" s="289" t="str">
        <f>'2018'!A24</f>
        <v>Transportes</v>
      </c>
      <c r="C82" s="290"/>
      <c r="D82" s="290"/>
      <c r="E82" s="290"/>
      <c r="F82" s="290"/>
      <c r="G82" s="291"/>
      <c r="H82" s="1"/>
      <c r="M82" s="1"/>
      <c r="R82" s="3"/>
    </row>
    <row r="83" spans="1:18" ht="16.149999999999999" customHeight="1" thickBot="1">
      <c r="A83" s="1"/>
      <c r="B83" s="292"/>
      <c r="C83" s="293"/>
      <c r="D83" s="293"/>
      <c r="E83" s="293"/>
      <c r="F83" s="293"/>
      <c r="G83" s="294"/>
      <c r="H83" s="1"/>
      <c r="M83" s="1"/>
      <c r="R83" s="3"/>
    </row>
    <row r="84" spans="1:18" ht="15.75">
      <c r="A84" s="1"/>
      <c r="B84" s="297" t="s">
        <v>10</v>
      </c>
      <c r="C84" s="296"/>
      <c r="D84" s="295" t="s">
        <v>11</v>
      </c>
      <c r="E84" s="295"/>
      <c r="F84" s="295"/>
      <c r="G84" s="296"/>
      <c r="H84" s="1"/>
      <c r="M84" s="1"/>
      <c r="R84" s="3"/>
    </row>
    <row r="85" spans="1:18" ht="15.75">
      <c r="A85" s="1"/>
      <c r="B85" s="218" t="s">
        <v>32</v>
      </c>
      <c r="C85" s="60" t="s">
        <v>33</v>
      </c>
      <c r="D85" s="218" t="s">
        <v>68</v>
      </c>
      <c r="E85" s="222" t="s">
        <v>69</v>
      </c>
      <c r="F85" s="222" t="s">
        <v>32</v>
      </c>
      <c r="G85" s="60" t="s">
        <v>393</v>
      </c>
      <c r="H85" s="1"/>
      <c r="M85" s="1"/>
      <c r="R85" s="3"/>
    </row>
    <row r="86" spans="1:18" ht="15.75">
      <c r="A86" s="1"/>
      <c r="B86" s="219">
        <v>160</v>
      </c>
      <c r="C86" s="36" t="s">
        <v>658</v>
      </c>
      <c r="D86" s="164">
        <v>2.4</v>
      </c>
      <c r="E86" s="224"/>
      <c r="F86" s="224"/>
      <c r="G86" s="33" t="s">
        <v>663</v>
      </c>
      <c r="H86" s="1"/>
      <c r="M86" s="1"/>
      <c r="R86" s="3"/>
    </row>
    <row r="87" spans="1:18" ht="15.75">
      <c r="A87" s="1"/>
      <c r="B87" s="220"/>
      <c r="C87" s="33"/>
      <c r="D87" s="223">
        <v>50.3</v>
      </c>
      <c r="E87" s="224"/>
      <c r="F87" s="224"/>
      <c r="G87" s="33" t="s">
        <v>673</v>
      </c>
      <c r="H87" s="1"/>
      <c r="M87" s="1"/>
      <c r="R87" s="3"/>
    </row>
    <row r="88" spans="1:18" ht="15.75">
      <c r="A88" s="1"/>
      <c r="B88" s="220"/>
      <c r="C88" s="33"/>
      <c r="D88" s="223"/>
      <c r="E88" s="224">
        <v>5.6</v>
      </c>
      <c r="F88" s="224"/>
      <c r="G88" s="33" t="s">
        <v>675</v>
      </c>
      <c r="H88" s="1"/>
      <c r="M88" s="1"/>
      <c r="R88" s="3"/>
    </row>
    <row r="89" spans="1:18" ht="15.75">
      <c r="A89" s="1"/>
      <c r="B89" s="220"/>
      <c r="C89" s="33"/>
      <c r="D89" s="223">
        <v>57.31</v>
      </c>
      <c r="E89" s="224"/>
      <c r="F89" s="224"/>
      <c r="G89" s="33" t="s">
        <v>695</v>
      </c>
      <c r="H89" s="1"/>
      <c r="M89" s="1"/>
      <c r="R89" s="3"/>
    </row>
    <row r="90" spans="1:18" ht="15.75">
      <c r="A90" s="1"/>
      <c r="B90" s="220"/>
      <c r="C90" s="33"/>
      <c r="D90" s="223">
        <v>13.5</v>
      </c>
      <c r="E90" s="224"/>
      <c r="F90" s="224"/>
      <c r="G90" s="33" t="s">
        <v>708</v>
      </c>
      <c r="H90" s="1"/>
      <c r="M90" s="1"/>
      <c r="R90" s="3"/>
    </row>
    <row r="91" spans="1:18" ht="15.75">
      <c r="A91" s="1"/>
      <c r="B91" s="220"/>
      <c r="C91" s="33"/>
      <c r="D91" s="223">
        <v>43.01</v>
      </c>
      <c r="E91" s="224"/>
      <c r="F91" s="224"/>
      <c r="G91" s="33" t="s">
        <v>709</v>
      </c>
      <c r="H91" s="1"/>
      <c r="M91" s="1"/>
      <c r="R91" s="3"/>
    </row>
    <row r="92" spans="1:18" ht="15.75">
      <c r="A92" s="1"/>
      <c r="B92" s="220"/>
      <c r="C92" s="33"/>
      <c r="D92" s="223"/>
      <c r="E92" s="224"/>
      <c r="F92" s="224"/>
      <c r="G92" s="33"/>
      <c r="H92" s="1"/>
      <c r="M92" s="1"/>
      <c r="R92" s="3"/>
    </row>
    <row r="93" spans="1:18" ht="15.75">
      <c r="A93" s="1"/>
      <c r="B93" s="220"/>
      <c r="C93" s="33"/>
      <c r="D93" s="223"/>
      <c r="E93" s="224"/>
      <c r="F93" s="224"/>
      <c r="G93" s="33"/>
      <c r="H93" s="1"/>
      <c r="M93" s="1"/>
      <c r="R93" s="3"/>
    </row>
    <row r="94" spans="1:18" ht="15.75">
      <c r="A94" s="1"/>
      <c r="B94" s="220"/>
      <c r="C94" s="33"/>
      <c r="D94" s="223"/>
      <c r="E94" s="224"/>
      <c r="F94" s="224"/>
      <c r="G94" s="33"/>
      <c r="H94" s="1"/>
      <c r="M94" s="1"/>
      <c r="R94" s="3"/>
    </row>
    <row r="95" spans="1:18" ht="15.75">
      <c r="A95" s="1"/>
      <c r="B95" s="220"/>
      <c r="C95" s="33"/>
      <c r="D95" s="223"/>
      <c r="E95" s="224"/>
      <c r="F95" s="224"/>
      <c r="G95" s="33"/>
      <c r="H95" s="1"/>
      <c r="M95" s="1"/>
      <c r="R95" s="3"/>
    </row>
    <row r="96" spans="1:18" ht="15.75">
      <c r="A96" s="1"/>
      <c r="B96" s="220"/>
      <c r="C96" s="33"/>
      <c r="D96" s="223"/>
      <c r="E96" s="224"/>
      <c r="F96" s="224"/>
      <c r="G96" s="33"/>
      <c r="H96" s="1"/>
      <c r="M96" s="1"/>
      <c r="R96" s="3"/>
    </row>
    <row r="97" spans="1:18" ht="15.75">
      <c r="A97" s="1"/>
      <c r="B97" s="220"/>
      <c r="C97" s="33"/>
      <c r="D97" s="223"/>
      <c r="E97" s="224"/>
      <c r="F97" s="224"/>
      <c r="G97" s="33"/>
      <c r="H97" s="1"/>
      <c r="M97" s="1"/>
      <c r="R97" s="3"/>
    </row>
    <row r="98" spans="1:18" ht="15.75">
      <c r="A98" s="1"/>
      <c r="B98" s="220"/>
      <c r="C98" s="33"/>
      <c r="D98" s="223"/>
      <c r="E98" s="224"/>
      <c r="F98" s="224"/>
      <c r="G98" s="33"/>
      <c r="H98" s="1"/>
      <c r="M98" s="1"/>
      <c r="R98" s="3"/>
    </row>
    <row r="99" spans="1:18" ht="16.5" thickBot="1">
      <c r="A99" s="1"/>
      <c r="B99" s="221"/>
      <c r="C99" s="34"/>
      <c r="D99" s="221"/>
      <c r="E99" s="225"/>
      <c r="F99" s="225"/>
      <c r="G99" s="34"/>
      <c r="H99" s="1"/>
      <c r="M99" s="1"/>
      <c r="R99" s="3"/>
    </row>
    <row r="100" spans="1:18" ht="16.5" thickBot="1">
      <c r="A100" s="1"/>
      <c r="B100" s="221">
        <f>SUM(B86:B99)</f>
        <v>160</v>
      </c>
      <c r="C100" s="34" t="s">
        <v>66</v>
      </c>
      <c r="D100" s="221">
        <f>SUM(D86:D99)</f>
        <v>166.51999999999998</v>
      </c>
      <c r="E100" s="221">
        <f>SUM(E86:E99)</f>
        <v>5.6</v>
      </c>
      <c r="F100" s="221">
        <f>SUM(F86:F99)</f>
        <v>0</v>
      </c>
      <c r="G100" s="34" t="s">
        <v>66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289" t="str">
        <f>'2018'!A25</f>
        <v>Coche</v>
      </c>
      <c r="C102" s="290"/>
      <c r="D102" s="290"/>
      <c r="E102" s="290"/>
      <c r="F102" s="290"/>
      <c r="G102" s="291"/>
      <c r="H102" s="1"/>
      <c r="M102" s="1"/>
      <c r="R102" s="3"/>
    </row>
    <row r="103" spans="1:18" ht="16.149999999999999" customHeight="1" thickBot="1">
      <c r="A103" s="1"/>
      <c r="B103" s="292"/>
      <c r="C103" s="293"/>
      <c r="D103" s="293"/>
      <c r="E103" s="293"/>
      <c r="F103" s="293"/>
      <c r="G103" s="294"/>
      <c r="H103" s="1"/>
      <c r="M103" s="1"/>
      <c r="R103" s="3"/>
    </row>
    <row r="104" spans="1:18" ht="15.75">
      <c r="A104" s="1"/>
      <c r="B104" s="297" t="s">
        <v>10</v>
      </c>
      <c r="C104" s="296"/>
      <c r="D104" s="295" t="s">
        <v>11</v>
      </c>
      <c r="E104" s="295"/>
      <c r="F104" s="295"/>
      <c r="G104" s="296"/>
      <c r="H104" s="1"/>
      <c r="M104" s="1"/>
      <c r="R104" s="3"/>
    </row>
    <row r="105" spans="1:18" ht="15.75">
      <c r="A105" s="137" t="s">
        <v>608</v>
      </c>
      <c r="B105" s="218" t="s">
        <v>32</v>
      </c>
      <c r="C105" s="60" t="s">
        <v>33</v>
      </c>
      <c r="D105" s="218" t="s">
        <v>68</v>
      </c>
      <c r="E105" s="222" t="s">
        <v>69</v>
      </c>
      <c r="F105" s="222" t="s">
        <v>32</v>
      </c>
      <c r="G105" s="60" t="s">
        <v>33</v>
      </c>
      <c r="H105" s="1"/>
      <c r="M105" s="1"/>
      <c r="R105" s="3"/>
    </row>
    <row r="106" spans="1:18" ht="15.75">
      <c r="A106" s="163">
        <f>'09'!A106+B106-D106</f>
        <v>0</v>
      </c>
      <c r="B106" s="219">
        <v>258.47000000000003</v>
      </c>
      <c r="C106" s="35" t="s">
        <v>55</v>
      </c>
      <c r="D106" s="223">
        <v>258.47000000000003</v>
      </c>
      <c r="E106" s="224"/>
      <c r="F106" s="224"/>
      <c r="G106" s="70" t="s">
        <v>55</v>
      </c>
      <c r="H106" s="1"/>
      <c r="M106" s="1"/>
      <c r="R106" s="3"/>
    </row>
    <row r="107" spans="1:18" ht="15.75">
      <c r="A107" s="163">
        <f>'09'!A107+B107-D107</f>
        <v>0.65000000000000568</v>
      </c>
      <c r="B107" s="220">
        <v>71</v>
      </c>
      <c r="C107" s="35" t="s">
        <v>56</v>
      </c>
      <c r="D107" s="223">
        <v>70.349999999999994</v>
      </c>
      <c r="E107" s="224"/>
      <c r="F107" s="224"/>
      <c r="G107" s="70" t="s">
        <v>56</v>
      </c>
      <c r="H107" s="1"/>
      <c r="M107" s="1"/>
      <c r="R107" s="3"/>
    </row>
    <row r="108" spans="1:18" ht="15.75">
      <c r="A108" s="163">
        <f>'09'!A108+B108-D108</f>
        <v>1000</v>
      </c>
      <c r="B108" s="220">
        <v>50</v>
      </c>
      <c r="C108" s="35" t="s">
        <v>616</v>
      </c>
      <c r="D108" s="223">
        <v>50</v>
      </c>
      <c r="E108" s="224"/>
      <c r="F108" s="224"/>
      <c r="G108" s="73" t="s">
        <v>697</v>
      </c>
      <c r="H108" s="1"/>
      <c r="M108" s="1"/>
      <c r="R108" s="3"/>
    </row>
    <row r="109" spans="1:18" ht="15.75">
      <c r="A109" s="163">
        <f>'09'!A109+B109</f>
        <v>2733.9700000000003</v>
      </c>
      <c r="B109" s="220">
        <v>20.53</v>
      </c>
      <c r="C109" s="35" t="s">
        <v>615</v>
      </c>
      <c r="D109" s="223"/>
      <c r="E109" s="224"/>
      <c r="F109" s="224"/>
      <c r="G109" s="70"/>
      <c r="H109" s="1"/>
      <c r="M109" s="1"/>
      <c r="R109" s="3"/>
    </row>
    <row r="110" spans="1:18" ht="15.75">
      <c r="B110" s="220"/>
      <c r="C110" s="35"/>
      <c r="D110" s="223"/>
      <c r="E110" s="224"/>
      <c r="F110" s="224"/>
      <c r="G110" s="70"/>
      <c r="H110" s="1"/>
      <c r="M110" s="1"/>
      <c r="R110" s="3"/>
    </row>
    <row r="111" spans="1:18" ht="15.75">
      <c r="B111" s="220"/>
      <c r="C111" s="66"/>
      <c r="D111" s="223"/>
      <c r="E111" s="224"/>
      <c r="F111" s="224"/>
      <c r="G111" s="73"/>
      <c r="H111" s="1"/>
      <c r="M111" s="1"/>
      <c r="R111" s="3"/>
    </row>
    <row r="112" spans="1:18" ht="15.75">
      <c r="B112" s="220"/>
      <c r="C112" s="71"/>
      <c r="D112" s="223"/>
      <c r="E112" s="224"/>
      <c r="F112" s="224"/>
      <c r="G112" s="70"/>
      <c r="H112" s="1"/>
      <c r="M112" s="1"/>
      <c r="R112" s="3"/>
    </row>
    <row r="113" spans="1:18" ht="15.75">
      <c r="B113" s="220"/>
      <c r="C113" s="72"/>
      <c r="D113" s="223"/>
      <c r="E113" s="224"/>
      <c r="F113" s="224"/>
      <c r="G113" s="70"/>
      <c r="H113" s="1"/>
      <c r="M113" s="1"/>
      <c r="R113" s="3"/>
    </row>
    <row r="114" spans="1:18" ht="15.75">
      <c r="B114" s="220"/>
      <c r="C114" s="71"/>
      <c r="D114" s="223"/>
      <c r="E114" s="224"/>
      <c r="F114" s="224"/>
      <c r="G114" s="70"/>
      <c r="H114" s="1"/>
      <c r="M114" s="1"/>
      <c r="R114" s="3"/>
    </row>
    <row r="115" spans="1:18" ht="15.75">
      <c r="B115" s="220"/>
      <c r="C115" s="66"/>
      <c r="D115" s="223"/>
      <c r="E115" s="224"/>
      <c r="F115" s="224"/>
      <c r="G115" s="33"/>
      <c r="H115" s="1"/>
      <c r="M115" s="1"/>
      <c r="R115" s="3"/>
    </row>
    <row r="116" spans="1:18" ht="15.75">
      <c r="B116" s="220"/>
      <c r="C116" s="35"/>
      <c r="D116" s="223"/>
      <c r="E116" s="224"/>
      <c r="F116" s="224"/>
      <c r="G116" s="33"/>
      <c r="H116" s="1"/>
      <c r="M116" s="1"/>
      <c r="R116" s="3"/>
    </row>
    <row r="117" spans="1:18" ht="15.75">
      <c r="B117" s="220"/>
      <c r="C117" s="35"/>
      <c r="D117" s="223"/>
      <c r="E117" s="224"/>
      <c r="F117" s="224"/>
      <c r="G117" s="33"/>
      <c r="H117" s="1"/>
      <c r="M117" s="1"/>
      <c r="R117" s="3"/>
    </row>
    <row r="118" spans="1:18" ht="15.75">
      <c r="B118" s="220"/>
      <c r="C118" s="35"/>
      <c r="D118" s="223"/>
      <c r="E118" s="224"/>
      <c r="F118" s="224"/>
      <c r="G118" s="33"/>
      <c r="H118" s="1"/>
      <c r="M118" s="1"/>
      <c r="R118" s="3"/>
    </row>
    <row r="119" spans="1:18" ht="16.5" thickBot="1">
      <c r="B119" s="221"/>
      <c r="C119" s="37"/>
      <c r="D119" s="221"/>
      <c r="E119" s="225"/>
      <c r="F119" s="225"/>
      <c r="G119" s="34"/>
      <c r="H119" s="1"/>
      <c r="M119" s="1"/>
      <c r="R119" s="3"/>
    </row>
    <row r="120" spans="1:18" ht="16.5" thickBot="1">
      <c r="A120" s="164">
        <f>SUM(A106:A119)</f>
        <v>3734.6200000000003</v>
      </c>
      <c r="B120" s="221">
        <f>SUM(B106:B119)</f>
        <v>400</v>
      </c>
      <c r="C120" s="34" t="s">
        <v>66</v>
      </c>
      <c r="D120" s="221">
        <f>SUM(D106:D119)</f>
        <v>378.82000000000005</v>
      </c>
      <c r="E120" s="221">
        <f>SUM(E106:E119)</f>
        <v>0</v>
      </c>
      <c r="F120" s="221">
        <f>SUM(F106:F119)</f>
        <v>0</v>
      </c>
      <c r="G120" s="34" t="s">
        <v>66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289" t="str">
        <f>'2018'!A26</f>
        <v>Teléfono</v>
      </c>
      <c r="C122" s="290"/>
      <c r="D122" s="290"/>
      <c r="E122" s="290"/>
      <c r="F122" s="290"/>
      <c r="G122" s="291"/>
      <c r="H122" s="1"/>
      <c r="M122" s="1"/>
      <c r="R122" s="3"/>
    </row>
    <row r="123" spans="1:18" ht="16.149999999999999" customHeight="1" thickBot="1">
      <c r="A123" s="1"/>
      <c r="B123" s="292"/>
      <c r="C123" s="293"/>
      <c r="D123" s="293"/>
      <c r="E123" s="293"/>
      <c r="F123" s="293"/>
      <c r="G123" s="294"/>
      <c r="H123" s="1"/>
      <c r="M123" s="1"/>
      <c r="R123" s="3"/>
    </row>
    <row r="124" spans="1:18" ht="15.75">
      <c r="A124" s="1"/>
      <c r="B124" s="297" t="s">
        <v>10</v>
      </c>
      <c r="C124" s="296"/>
      <c r="D124" s="295" t="s">
        <v>11</v>
      </c>
      <c r="E124" s="295"/>
      <c r="F124" s="295"/>
      <c r="G124" s="296"/>
      <c r="H124" s="1"/>
      <c r="M124" s="1"/>
      <c r="R124" s="3"/>
    </row>
    <row r="125" spans="1:18" ht="15.75">
      <c r="A125" s="1"/>
      <c r="B125" s="218" t="s">
        <v>32</v>
      </c>
      <c r="C125" s="60" t="s">
        <v>33</v>
      </c>
      <c r="D125" s="218" t="s">
        <v>68</v>
      </c>
      <c r="E125" s="222" t="s">
        <v>69</v>
      </c>
      <c r="F125" s="222" t="s">
        <v>32</v>
      </c>
      <c r="G125" s="60" t="s">
        <v>33</v>
      </c>
      <c r="H125" s="1"/>
      <c r="M125" s="1"/>
      <c r="R125" s="3"/>
    </row>
    <row r="126" spans="1:18" ht="15.75">
      <c r="A126" s="1"/>
      <c r="B126" s="219">
        <v>27.5</v>
      </c>
      <c r="C126" s="36" t="s">
        <v>57</v>
      </c>
      <c r="D126" s="223">
        <v>27.5</v>
      </c>
      <c r="E126" s="224"/>
      <c r="F126" s="224"/>
      <c r="G126" s="33" t="s">
        <v>57</v>
      </c>
      <c r="H126" s="1"/>
      <c r="M126" s="1"/>
      <c r="R126" s="3"/>
    </row>
    <row r="127" spans="1:18" ht="15.75">
      <c r="A127" s="1"/>
      <c r="B127" s="220">
        <v>12.5</v>
      </c>
      <c r="C127" s="33" t="s">
        <v>58</v>
      </c>
      <c r="D127" s="223">
        <v>15</v>
      </c>
      <c r="E127" s="224"/>
      <c r="F127" s="224"/>
      <c r="G127" s="33" t="s">
        <v>199</v>
      </c>
      <c r="H127" s="1"/>
      <c r="M127" s="1"/>
      <c r="R127" s="3"/>
    </row>
    <row r="128" spans="1:18" ht="15.75">
      <c r="A128" s="1"/>
      <c r="B128" s="220">
        <v>8</v>
      </c>
      <c r="C128" s="33" t="s">
        <v>337</v>
      </c>
      <c r="D128" s="223"/>
      <c r="E128" s="224"/>
      <c r="F128" s="224"/>
      <c r="G128" s="33" t="s">
        <v>219</v>
      </c>
      <c r="H128" s="1"/>
      <c r="M128" s="1"/>
      <c r="R128" s="3"/>
    </row>
    <row r="129" spans="1:18" ht="15.75">
      <c r="A129" s="1"/>
      <c r="B129" s="220"/>
      <c r="C129" s="33"/>
      <c r="D129" s="223"/>
      <c r="E129" s="224">
        <v>7.99</v>
      </c>
      <c r="F129" s="224"/>
      <c r="G129" s="33" t="s">
        <v>337</v>
      </c>
      <c r="H129" s="1"/>
      <c r="M129" s="1"/>
      <c r="R129" s="3"/>
    </row>
    <row r="130" spans="1:18" ht="15.75">
      <c r="A130" s="1"/>
      <c r="B130" s="220"/>
      <c r="C130" s="33"/>
      <c r="D130" s="223"/>
      <c r="E130" s="224"/>
      <c r="F130" s="224"/>
      <c r="G130" s="33"/>
      <c r="H130" s="1"/>
      <c r="M130" s="1"/>
      <c r="R130" s="3"/>
    </row>
    <row r="131" spans="1:18" ht="15.75">
      <c r="A131" s="1"/>
      <c r="B131" s="220"/>
      <c r="C131" s="33"/>
      <c r="D131" s="223"/>
      <c r="E131" s="224"/>
      <c r="F131" s="224"/>
      <c r="G131" s="33"/>
      <c r="H131" s="1"/>
      <c r="M131" s="1"/>
      <c r="R131" s="3"/>
    </row>
    <row r="132" spans="1:18" ht="15.75">
      <c r="A132" s="1"/>
      <c r="B132" s="220"/>
      <c r="C132" s="33"/>
      <c r="D132" s="223"/>
      <c r="E132" s="224"/>
      <c r="F132" s="224"/>
      <c r="G132" s="33"/>
      <c r="H132" s="1"/>
      <c r="M132" s="1"/>
      <c r="R132" s="3"/>
    </row>
    <row r="133" spans="1:18" ht="15.75">
      <c r="A133" s="1"/>
      <c r="B133" s="220"/>
      <c r="C133" s="33"/>
      <c r="D133" s="223"/>
      <c r="E133" s="224"/>
      <c r="F133" s="224"/>
      <c r="G133" s="33"/>
      <c r="H133" s="1"/>
      <c r="M133" s="1"/>
      <c r="R133" s="3"/>
    </row>
    <row r="134" spans="1:18" ht="15.75">
      <c r="A134" s="1"/>
      <c r="B134" s="220"/>
      <c r="C134" s="33"/>
      <c r="D134" s="223"/>
      <c r="E134" s="224"/>
      <c r="F134" s="224"/>
      <c r="G134" s="33"/>
      <c r="H134" s="1"/>
      <c r="M134" s="1"/>
      <c r="R134" s="3"/>
    </row>
    <row r="135" spans="1:18" ht="15.75">
      <c r="A135" s="1"/>
      <c r="B135" s="220"/>
      <c r="C135" s="33"/>
      <c r="D135" s="223"/>
      <c r="E135" s="224"/>
      <c r="F135" s="224"/>
      <c r="G135" s="33"/>
      <c r="H135" s="1"/>
      <c r="M135" s="1"/>
      <c r="R135" s="3"/>
    </row>
    <row r="136" spans="1:18" ht="15.75">
      <c r="A136" s="1"/>
      <c r="B136" s="220"/>
      <c r="C136" s="33"/>
      <c r="D136" s="223"/>
      <c r="E136" s="224"/>
      <c r="F136" s="224"/>
      <c r="G136" s="33"/>
      <c r="H136" s="1"/>
      <c r="M136" s="1"/>
      <c r="R136" s="3"/>
    </row>
    <row r="137" spans="1:18" ht="15.75">
      <c r="A137" s="1"/>
      <c r="B137" s="220"/>
      <c r="C137" s="33"/>
      <c r="D137" s="223"/>
      <c r="E137" s="224"/>
      <c r="F137" s="224"/>
      <c r="G137" s="33"/>
      <c r="H137" s="1"/>
      <c r="M137" s="1"/>
      <c r="R137" s="3"/>
    </row>
    <row r="138" spans="1:18" ht="15.75">
      <c r="A138" s="1"/>
      <c r="B138" s="220"/>
      <c r="C138" s="33"/>
      <c r="D138" s="223"/>
      <c r="E138" s="224"/>
      <c r="F138" s="224"/>
      <c r="G138" s="33"/>
      <c r="H138" s="1"/>
      <c r="M138" s="1"/>
      <c r="R138" s="3"/>
    </row>
    <row r="139" spans="1:18" ht="16.5" thickBot="1">
      <c r="A139" s="1"/>
      <c r="B139" s="221"/>
      <c r="C139" s="34"/>
      <c r="D139" s="221"/>
      <c r="E139" s="225"/>
      <c r="F139" s="225"/>
      <c r="G139" s="34"/>
      <c r="H139" s="1"/>
      <c r="M139" s="1"/>
      <c r="R139" s="3"/>
    </row>
    <row r="140" spans="1:18" ht="16.5" thickBot="1">
      <c r="A140" s="1"/>
      <c r="B140" s="221">
        <f>SUM(B126:B139)</f>
        <v>48</v>
      </c>
      <c r="C140" s="34" t="s">
        <v>66</v>
      </c>
      <c r="D140" s="221">
        <f>SUM(D126:D139)</f>
        <v>42.5</v>
      </c>
      <c r="E140" s="221">
        <f>SUM(E126:E139)</f>
        <v>7.99</v>
      </c>
      <c r="F140" s="221">
        <f>SUM(F126:F139)</f>
        <v>0</v>
      </c>
      <c r="G140" s="34" t="s">
        <v>66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289" t="str">
        <f>'2018'!A27</f>
        <v>Gatos</v>
      </c>
      <c r="C142" s="290"/>
      <c r="D142" s="290"/>
      <c r="E142" s="290"/>
      <c r="F142" s="290"/>
      <c r="G142" s="291"/>
      <c r="H142" s="1"/>
      <c r="M142" s="1"/>
      <c r="R142" s="3"/>
    </row>
    <row r="143" spans="1:18" ht="16.149999999999999" customHeight="1" thickBot="1">
      <c r="A143" s="1"/>
      <c r="B143" s="292"/>
      <c r="C143" s="293"/>
      <c r="D143" s="293"/>
      <c r="E143" s="293"/>
      <c r="F143" s="293"/>
      <c r="G143" s="294"/>
      <c r="H143" s="1"/>
      <c r="M143" s="1"/>
      <c r="R143" s="3"/>
    </row>
    <row r="144" spans="1:18" ht="15.75">
      <c r="A144" s="1"/>
      <c r="B144" s="297" t="s">
        <v>10</v>
      </c>
      <c r="C144" s="296"/>
      <c r="D144" s="295" t="s">
        <v>11</v>
      </c>
      <c r="E144" s="295"/>
      <c r="F144" s="295"/>
      <c r="G144" s="296"/>
      <c r="H144" s="1"/>
      <c r="M144" s="1"/>
      <c r="R144" s="3"/>
    </row>
    <row r="145" spans="1:22" ht="15.75">
      <c r="A145" s="1"/>
      <c r="B145" s="218" t="s">
        <v>32</v>
      </c>
      <c r="C145" s="60" t="s">
        <v>33</v>
      </c>
      <c r="D145" s="218" t="s">
        <v>68</v>
      </c>
      <c r="E145" s="222" t="s">
        <v>69</v>
      </c>
      <c r="F145" s="222" t="s">
        <v>32</v>
      </c>
      <c r="G145" s="60" t="s">
        <v>393</v>
      </c>
      <c r="H145" s="1"/>
      <c r="M145" s="1"/>
      <c r="R145" s="3"/>
    </row>
    <row r="146" spans="1:22" ht="15.75">
      <c r="A146" s="1"/>
      <c r="B146" s="219">
        <v>50</v>
      </c>
      <c r="C146" s="36" t="s">
        <v>487</v>
      </c>
      <c r="D146" s="223">
        <v>28.86</v>
      </c>
      <c r="E146" s="224"/>
      <c r="F146" s="224"/>
      <c r="G146" s="33" t="s">
        <v>649</v>
      </c>
      <c r="H146" s="1"/>
      <c r="M146" s="1"/>
      <c r="R146" s="3"/>
    </row>
    <row r="147" spans="1:22" ht="15.75">
      <c r="A147" s="1"/>
      <c r="B147" s="220"/>
      <c r="C147" s="33"/>
      <c r="D147" s="223">
        <v>31.56</v>
      </c>
      <c r="E147" s="224"/>
      <c r="F147" s="224"/>
      <c r="G147" s="33" t="s">
        <v>684</v>
      </c>
      <c r="H147" s="1"/>
      <c r="M147" s="1"/>
      <c r="R147" s="3"/>
    </row>
    <row r="148" spans="1:22" ht="15.75">
      <c r="A148" s="1"/>
      <c r="B148" s="220"/>
      <c r="C148" s="33"/>
      <c r="D148" s="223"/>
      <c r="E148" s="224"/>
      <c r="F148" s="224"/>
      <c r="G148" s="33"/>
      <c r="H148" s="1"/>
      <c r="M148" s="1"/>
      <c r="R148" s="3"/>
    </row>
    <row r="149" spans="1:22" ht="15.75">
      <c r="A149" s="1"/>
      <c r="B149" s="220"/>
      <c r="C149" s="33"/>
      <c r="D149" s="223"/>
      <c r="E149" s="224"/>
      <c r="F149" s="224"/>
      <c r="G149" s="33"/>
      <c r="H149" s="1"/>
      <c r="M149" s="1"/>
      <c r="R149" s="3"/>
    </row>
    <row r="150" spans="1:22" ht="15.75">
      <c r="A150" s="1"/>
      <c r="B150" s="220"/>
      <c r="C150" s="33"/>
      <c r="D150" s="223"/>
      <c r="E150" s="224"/>
      <c r="F150" s="224"/>
      <c r="G150" s="33"/>
      <c r="H150" s="1"/>
      <c r="M150" s="1"/>
      <c r="R150" s="3"/>
    </row>
    <row r="151" spans="1:22" ht="15.75">
      <c r="A151" s="1"/>
      <c r="B151" s="220"/>
      <c r="C151" s="33"/>
      <c r="D151" s="223"/>
      <c r="E151" s="224"/>
      <c r="F151" s="224"/>
      <c r="G151" s="33"/>
      <c r="H151" s="1"/>
      <c r="M151" s="1"/>
      <c r="R151" s="3"/>
    </row>
    <row r="152" spans="1:22" ht="15.75">
      <c r="A152" s="1"/>
      <c r="B152" s="220"/>
      <c r="C152" s="33"/>
      <c r="D152" s="223"/>
      <c r="E152" s="224"/>
      <c r="F152" s="224"/>
      <c r="G152" s="33"/>
      <c r="H152" s="1"/>
      <c r="M152" s="1"/>
      <c r="R152" s="3"/>
    </row>
    <row r="153" spans="1:22" ht="15.75">
      <c r="A153" s="1"/>
      <c r="B153" s="220"/>
      <c r="C153" s="33"/>
      <c r="D153" s="223"/>
      <c r="E153" s="224"/>
      <c r="F153" s="224"/>
      <c r="G153" s="33"/>
      <c r="H153" s="1"/>
      <c r="M153" s="1"/>
      <c r="R153" s="3"/>
    </row>
    <row r="154" spans="1:22" ht="15.75">
      <c r="A154" s="1"/>
      <c r="B154" s="220"/>
      <c r="C154" s="33"/>
      <c r="D154" s="223"/>
      <c r="E154" s="224"/>
      <c r="F154" s="224"/>
      <c r="G154" s="33"/>
      <c r="H154" s="1"/>
      <c r="M154" s="1"/>
      <c r="R154" s="3"/>
    </row>
    <row r="155" spans="1:22" ht="15.75">
      <c r="A155" s="1"/>
      <c r="B155" s="220"/>
      <c r="C155" s="33"/>
      <c r="D155" s="223"/>
      <c r="E155" s="224"/>
      <c r="F155" s="224"/>
      <c r="G155" s="33"/>
      <c r="H155" s="1"/>
      <c r="M155" s="1"/>
      <c r="R155" s="3"/>
    </row>
    <row r="156" spans="1:22" ht="15.75">
      <c r="A156" s="1"/>
      <c r="B156" s="220"/>
      <c r="C156" s="33"/>
      <c r="D156" s="223"/>
      <c r="E156" s="224"/>
      <c r="F156" s="224"/>
      <c r="G156" s="33"/>
      <c r="H156" s="1"/>
      <c r="M156" s="1"/>
      <c r="R156" s="3"/>
    </row>
    <row r="157" spans="1:22" ht="15.75">
      <c r="A157" s="1"/>
      <c r="B157" s="220"/>
      <c r="C157" s="33"/>
      <c r="D157" s="223"/>
      <c r="E157" s="224"/>
      <c r="F157" s="224"/>
      <c r="G157" s="33"/>
      <c r="H157" s="1"/>
      <c r="M157" s="1"/>
      <c r="R157" s="3"/>
    </row>
    <row r="158" spans="1:22" ht="15.75">
      <c r="A158" s="1"/>
      <c r="B158" s="220"/>
      <c r="C158" s="33"/>
      <c r="D158" s="223"/>
      <c r="E158" s="224"/>
      <c r="F158" s="224"/>
      <c r="G158" s="33"/>
      <c r="H158" s="1"/>
      <c r="M158" s="1"/>
      <c r="R158" s="3"/>
    </row>
    <row r="159" spans="1:22" ht="16.5" thickBot="1">
      <c r="A159" s="1"/>
      <c r="B159" s="221"/>
      <c r="C159" s="34"/>
      <c r="D159" s="221"/>
      <c r="E159" s="225"/>
      <c r="F159" s="225"/>
      <c r="G159" s="34"/>
      <c r="H159" s="1"/>
      <c r="M159" s="1"/>
      <c r="R159" s="3"/>
    </row>
    <row r="160" spans="1:22" ht="16.5" thickBot="1">
      <c r="A160" s="1"/>
      <c r="B160" s="221">
        <f>SUM(B146:B159)</f>
        <v>50</v>
      </c>
      <c r="C160" s="34" t="s">
        <v>66</v>
      </c>
      <c r="D160" s="221">
        <f>SUM(D146:D159)</f>
        <v>60.42</v>
      </c>
      <c r="E160" s="221">
        <f>SUM(E146:E159)</f>
        <v>0</v>
      </c>
      <c r="F160" s="221">
        <f>SUM(F146:F159)</f>
        <v>0</v>
      </c>
      <c r="G160" s="34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63"/>
      <c r="C161" s="1"/>
      <c r="D161" s="163"/>
      <c r="E161" s="163"/>
      <c r="F161" s="163"/>
      <c r="G161" s="1"/>
      <c r="H161" s="1"/>
      <c r="I161" s="1"/>
      <c r="J161" s="1"/>
      <c r="K161" s="163"/>
      <c r="L161" s="163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89" t="str">
        <f>'2018'!A28</f>
        <v>Vacaciones</v>
      </c>
      <c r="C162" s="290"/>
      <c r="D162" s="290"/>
      <c r="E162" s="290"/>
      <c r="F162" s="290"/>
      <c r="G162" s="291"/>
      <c r="H162" s="1"/>
      <c r="I162" s="1"/>
      <c r="J162" s="1"/>
      <c r="K162" s="163"/>
      <c r="L162" s="163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92"/>
      <c r="C163" s="293"/>
      <c r="D163" s="293"/>
      <c r="E163" s="293"/>
      <c r="F163" s="293"/>
      <c r="G163" s="294"/>
      <c r="H163" s="1"/>
      <c r="I163" s="1"/>
      <c r="J163" s="1"/>
      <c r="K163" s="163"/>
      <c r="L163" s="163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97" t="s">
        <v>10</v>
      </c>
      <c r="C164" s="296"/>
      <c r="D164" s="295" t="s">
        <v>11</v>
      </c>
      <c r="E164" s="295"/>
      <c r="F164" s="295"/>
      <c r="G164" s="296"/>
      <c r="H164" s="1"/>
      <c r="I164" s="1"/>
      <c r="J164" s="1"/>
      <c r="K164" s="163"/>
      <c r="L164" s="163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218" t="s">
        <v>32</v>
      </c>
      <c r="C165" s="60" t="s">
        <v>33</v>
      </c>
      <c r="D165" s="218" t="s">
        <v>68</v>
      </c>
      <c r="E165" s="222" t="s">
        <v>69</v>
      </c>
      <c r="F165" s="222" t="s">
        <v>32</v>
      </c>
      <c r="G165" s="60" t="s">
        <v>33</v>
      </c>
      <c r="H165" s="1"/>
      <c r="I165" s="1"/>
      <c r="J165" s="1"/>
      <c r="K165" s="163"/>
      <c r="L165" s="163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219">
        <v>200</v>
      </c>
      <c r="C166" s="36" t="s">
        <v>36</v>
      </c>
      <c r="D166" s="223"/>
      <c r="E166" s="224"/>
      <c r="F166" s="224"/>
      <c r="G166" s="33"/>
      <c r="H166" s="1"/>
      <c r="I166" s="1"/>
      <c r="J166" s="1"/>
      <c r="K166" s="163"/>
      <c r="L166" s="163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220">
        <v>40</v>
      </c>
      <c r="C167" s="33" t="s">
        <v>595</v>
      </c>
      <c r="D167" s="223"/>
      <c r="E167" s="224"/>
      <c r="F167" s="224"/>
      <c r="G167" s="33"/>
      <c r="H167" s="1"/>
      <c r="I167" s="1"/>
      <c r="J167" s="1"/>
      <c r="K167" s="163"/>
      <c r="L167" s="163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220"/>
      <c r="C168" s="33"/>
      <c r="D168" s="223"/>
      <c r="E168" s="224"/>
      <c r="F168" s="224"/>
      <c r="G168" s="33"/>
      <c r="H168" s="1"/>
      <c r="I168" s="1"/>
      <c r="J168" s="1"/>
      <c r="K168" s="163"/>
      <c r="L168" s="163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220"/>
      <c r="C169" s="33"/>
      <c r="D169" s="223"/>
      <c r="E169" s="224"/>
      <c r="F169" s="224"/>
      <c r="G169" s="33"/>
      <c r="H169" s="1"/>
      <c r="I169" s="1"/>
      <c r="J169" s="1"/>
      <c r="K169" s="163"/>
      <c r="L169" s="163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220"/>
      <c r="C170" s="33"/>
      <c r="D170" s="223"/>
      <c r="E170" s="224"/>
      <c r="F170" s="224"/>
      <c r="G170" s="33"/>
      <c r="H170" s="1"/>
      <c r="I170" s="1"/>
      <c r="J170" s="1"/>
      <c r="K170" s="163"/>
      <c r="L170" s="163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220"/>
      <c r="C171" s="33"/>
      <c r="D171" s="223"/>
      <c r="E171" s="224"/>
      <c r="F171" s="224"/>
      <c r="G171" s="33"/>
      <c r="H171" s="1"/>
      <c r="I171" s="1"/>
      <c r="J171" s="1"/>
      <c r="K171" s="163"/>
      <c r="L171" s="163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220"/>
      <c r="C172" s="33"/>
      <c r="D172" s="223"/>
      <c r="E172" s="224"/>
      <c r="F172" s="224"/>
      <c r="G172" s="33"/>
      <c r="H172" s="1"/>
      <c r="I172" s="1"/>
      <c r="J172" s="1"/>
      <c r="K172" s="163"/>
      <c r="L172" s="163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220"/>
      <c r="C173" s="33"/>
      <c r="D173" s="223"/>
      <c r="E173" s="224"/>
      <c r="F173" s="224"/>
      <c r="G173" s="33"/>
      <c r="H173" s="1"/>
      <c r="I173" s="1"/>
      <c r="J173" s="1"/>
      <c r="K173" s="163"/>
      <c r="L173" s="163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220"/>
      <c r="C174" s="33"/>
      <c r="D174" s="223"/>
      <c r="E174" s="224"/>
      <c r="F174" s="224"/>
      <c r="G174" s="33"/>
      <c r="H174" s="1"/>
      <c r="I174" s="1"/>
      <c r="J174" s="1"/>
      <c r="K174" s="163"/>
      <c r="L174" s="163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220"/>
      <c r="C175" s="33"/>
      <c r="D175" s="223"/>
      <c r="E175" s="224"/>
      <c r="F175" s="224"/>
      <c r="G175" s="33"/>
      <c r="H175" s="1"/>
      <c r="I175" s="1"/>
      <c r="J175" s="1"/>
      <c r="K175" s="163"/>
      <c r="L175" s="163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220"/>
      <c r="C176" s="33"/>
      <c r="D176" s="223"/>
      <c r="E176" s="224"/>
      <c r="F176" s="224"/>
      <c r="G176" s="33"/>
      <c r="H176" s="1"/>
      <c r="I176" s="1"/>
      <c r="J176" s="1"/>
      <c r="K176" s="163"/>
      <c r="L176" s="163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220"/>
      <c r="C177" s="33"/>
      <c r="D177" s="223"/>
      <c r="E177" s="224"/>
      <c r="F177" s="224"/>
      <c r="G177" s="33"/>
      <c r="H177" s="1"/>
      <c r="I177" s="1"/>
      <c r="J177" s="1"/>
      <c r="K177" s="163"/>
      <c r="L177" s="163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220"/>
      <c r="C178" s="33"/>
      <c r="D178" s="223"/>
      <c r="E178" s="224"/>
      <c r="F178" s="224"/>
      <c r="G178" s="33"/>
      <c r="H178" s="1"/>
      <c r="I178" s="1"/>
      <c r="J178" s="1"/>
      <c r="K178" s="163"/>
      <c r="L178" s="163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221"/>
      <c r="C179" s="34"/>
      <c r="D179" s="221"/>
      <c r="E179" s="225"/>
      <c r="F179" s="225"/>
      <c r="G179" s="34"/>
      <c r="H179" s="1"/>
      <c r="I179" s="1"/>
      <c r="J179" s="1"/>
      <c r="K179" s="163"/>
      <c r="L179" s="163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221">
        <f>SUM(B166:B179)</f>
        <v>240</v>
      </c>
      <c r="C180" s="34" t="s">
        <v>66</v>
      </c>
      <c r="D180" s="221">
        <f>SUM(D166:D179)</f>
        <v>0</v>
      </c>
      <c r="E180" s="221">
        <f>SUM(E166:E179)</f>
        <v>0</v>
      </c>
      <c r="F180" s="221">
        <f>SUM(F166:F179)</f>
        <v>0</v>
      </c>
      <c r="G180" s="34" t="s">
        <v>66</v>
      </c>
      <c r="H180" s="1"/>
      <c r="I180" s="1"/>
      <c r="J180" s="1"/>
      <c r="K180" s="163"/>
      <c r="L180" s="163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63"/>
      <c r="G181" s="1"/>
      <c r="H181" s="1"/>
      <c r="I181" s="1"/>
      <c r="J181" s="1"/>
      <c r="K181" s="163"/>
      <c r="L181" s="163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89" t="str">
        <f>'2018'!A29</f>
        <v>Ropa</v>
      </c>
      <c r="C182" s="290"/>
      <c r="D182" s="290"/>
      <c r="E182" s="290"/>
      <c r="F182" s="290"/>
      <c r="G182" s="291"/>
      <c r="H182" s="1"/>
      <c r="I182" s="1"/>
      <c r="J182" s="1"/>
      <c r="K182" s="163"/>
      <c r="L182" s="163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92"/>
      <c r="C183" s="293"/>
      <c r="D183" s="293"/>
      <c r="E183" s="293"/>
      <c r="F183" s="293"/>
      <c r="G183" s="294"/>
      <c r="H183" s="1"/>
      <c r="I183" s="1"/>
      <c r="J183" s="1"/>
      <c r="K183" s="163"/>
      <c r="L183" s="163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97" t="s">
        <v>10</v>
      </c>
      <c r="C184" s="296"/>
      <c r="D184" s="295" t="s">
        <v>11</v>
      </c>
      <c r="E184" s="295"/>
      <c r="F184" s="295"/>
      <c r="G184" s="296"/>
      <c r="H184" s="1"/>
      <c r="I184" s="1"/>
      <c r="J184" s="1"/>
      <c r="K184" s="163"/>
      <c r="L184" s="163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218" t="s">
        <v>32</v>
      </c>
      <c r="C185" s="60" t="s">
        <v>33</v>
      </c>
      <c r="D185" s="218" t="s">
        <v>68</v>
      </c>
      <c r="E185" s="222" t="s">
        <v>69</v>
      </c>
      <c r="F185" s="222" t="s">
        <v>32</v>
      </c>
      <c r="G185" s="60" t="s">
        <v>393</v>
      </c>
      <c r="H185" s="1"/>
      <c r="I185" s="1"/>
      <c r="J185" s="1"/>
      <c r="K185" s="163"/>
      <c r="L185" s="163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219">
        <v>70</v>
      </c>
      <c r="C186" s="36" t="s">
        <v>506</v>
      </c>
      <c r="D186" s="223"/>
      <c r="E186" s="224"/>
      <c r="F186" s="224">
        <v>45</v>
      </c>
      <c r="G186" s="33" t="s">
        <v>667</v>
      </c>
      <c r="H186" s="1"/>
      <c r="I186" s="1"/>
      <c r="J186" s="1"/>
      <c r="K186" s="163"/>
      <c r="L186" s="163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220"/>
      <c r="C187" s="33"/>
      <c r="D187" s="223">
        <v>25.49</v>
      </c>
      <c r="E187" s="224"/>
      <c r="F187" s="224"/>
      <c r="G187" s="33" t="s">
        <v>671</v>
      </c>
      <c r="H187" s="1"/>
      <c r="I187" s="1"/>
      <c r="J187" s="1"/>
      <c r="K187" s="163"/>
      <c r="L187" s="163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220"/>
      <c r="C188" s="33"/>
      <c r="D188" s="223">
        <f>25.55-D367</f>
        <v>21</v>
      </c>
      <c r="E188" s="224"/>
      <c r="F188" s="224"/>
      <c r="G188" s="33" t="s">
        <v>698</v>
      </c>
    </row>
    <row r="189" spans="1:22">
      <c r="B189" s="220"/>
      <c r="C189" s="33"/>
      <c r="D189" s="223"/>
      <c r="E189" s="224"/>
      <c r="F189" s="224"/>
      <c r="G189" s="33"/>
    </row>
    <row r="190" spans="1:22">
      <c r="B190" s="220"/>
      <c r="C190" s="33"/>
      <c r="D190" s="223"/>
      <c r="E190" s="224"/>
      <c r="F190" s="224"/>
      <c r="G190" s="33"/>
    </row>
    <row r="191" spans="1:22">
      <c r="B191" s="220"/>
      <c r="C191" s="33"/>
      <c r="D191" s="223"/>
      <c r="E191" s="224"/>
      <c r="F191" s="224"/>
      <c r="G191" s="33"/>
    </row>
    <row r="192" spans="1:22">
      <c r="B192" s="220"/>
      <c r="C192" s="33"/>
      <c r="D192" s="223"/>
      <c r="E192" s="224"/>
      <c r="F192" s="224"/>
      <c r="G192" s="33"/>
    </row>
    <row r="193" spans="2:7">
      <c r="B193" s="220"/>
      <c r="C193" s="33"/>
      <c r="D193" s="223"/>
      <c r="E193" s="224"/>
      <c r="F193" s="224"/>
      <c r="G193" s="33"/>
    </row>
    <row r="194" spans="2:7">
      <c r="B194" s="220"/>
      <c r="C194" s="33"/>
      <c r="D194" s="223"/>
      <c r="E194" s="224"/>
      <c r="F194" s="224"/>
      <c r="G194" s="33"/>
    </row>
    <row r="195" spans="2:7">
      <c r="B195" s="220"/>
      <c r="C195" s="33"/>
      <c r="D195" s="223"/>
      <c r="E195" s="224"/>
      <c r="F195" s="224"/>
      <c r="G195" s="33"/>
    </row>
    <row r="196" spans="2:7">
      <c r="B196" s="220"/>
      <c r="C196" s="33"/>
      <c r="D196" s="223"/>
      <c r="E196" s="224"/>
      <c r="F196" s="224"/>
      <c r="G196" s="33"/>
    </row>
    <row r="197" spans="2:7">
      <c r="B197" s="220"/>
      <c r="C197" s="33"/>
      <c r="D197" s="223"/>
      <c r="E197" s="224"/>
      <c r="F197" s="224"/>
      <c r="G197" s="33"/>
    </row>
    <row r="198" spans="2:7">
      <c r="B198" s="220"/>
      <c r="C198" s="33"/>
      <c r="D198" s="223"/>
      <c r="E198" s="224"/>
      <c r="F198" s="224"/>
      <c r="G198" s="33"/>
    </row>
    <row r="199" spans="2:7" ht="15.75" thickBot="1">
      <c r="B199" s="221"/>
      <c r="C199" s="34"/>
      <c r="D199" s="221"/>
      <c r="E199" s="225"/>
      <c r="F199" s="225"/>
      <c r="G199" s="34"/>
    </row>
    <row r="200" spans="2:7" ht="15.75" thickBot="1">
      <c r="B200" s="221">
        <f>SUM(B186:B199)</f>
        <v>70</v>
      </c>
      <c r="C200" s="34" t="s">
        <v>66</v>
      </c>
      <c r="D200" s="221">
        <f>SUM(D186:D199)</f>
        <v>46.489999999999995</v>
      </c>
      <c r="E200" s="221">
        <f>SUM(E186:E199)</f>
        <v>0</v>
      </c>
      <c r="F200" s="221">
        <f>SUM(F186:F199)</f>
        <v>45</v>
      </c>
      <c r="G200" s="34" t="s">
        <v>66</v>
      </c>
    </row>
    <row r="201" spans="2:7" ht="15.75" thickBot="1">
      <c r="B201" s="5"/>
      <c r="C201" s="3"/>
      <c r="D201" s="5"/>
      <c r="E201" s="5"/>
    </row>
    <row r="202" spans="2:7" ht="14.45" customHeight="1">
      <c r="B202" s="289" t="str">
        <f>'2018'!A30</f>
        <v>Belleza</v>
      </c>
      <c r="C202" s="290"/>
      <c r="D202" s="290"/>
      <c r="E202" s="290"/>
      <c r="F202" s="290"/>
      <c r="G202" s="291"/>
    </row>
    <row r="203" spans="2:7" ht="15" customHeight="1" thickBot="1">
      <c r="B203" s="292"/>
      <c r="C203" s="293"/>
      <c r="D203" s="293"/>
      <c r="E203" s="293"/>
      <c r="F203" s="293"/>
      <c r="G203" s="294"/>
    </row>
    <row r="204" spans="2:7">
      <c r="B204" s="297" t="s">
        <v>10</v>
      </c>
      <c r="C204" s="296"/>
      <c r="D204" s="295" t="s">
        <v>11</v>
      </c>
      <c r="E204" s="295"/>
      <c r="F204" s="295"/>
      <c r="G204" s="296"/>
    </row>
    <row r="205" spans="2:7">
      <c r="B205" s="218" t="s">
        <v>32</v>
      </c>
      <c r="C205" s="60" t="s">
        <v>33</v>
      </c>
      <c r="D205" s="218" t="s">
        <v>68</v>
      </c>
      <c r="E205" s="222" t="s">
        <v>69</v>
      </c>
      <c r="F205" s="222" t="s">
        <v>32</v>
      </c>
      <c r="G205" s="60" t="s">
        <v>393</v>
      </c>
    </row>
    <row r="206" spans="2:7">
      <c r="B206" s="219">
        <v>35</v>
      </c>
      <c r="C206" s="36"/>
      <c r="D206" s="223">
        <v>25.35</v>
      </c>
      <c r="E206" s="224"/>
      <c r="F206" s="224"/>
      <c r="G206" s="33" t="s">
        <v>706</v>
      </c>
    </row>
    <row r="207" spans="2:7">
      <c r="B207" s="220"/>
      <c r="C207" s="33"/>
      <c r="D207" s="223"/>
      <c r="E207" s="224"/>
      <c r="F207" s="224"/>
      <c r="G207" s="33"/>
    </row>
    <row r="208" spans="2:7">
      <c r="B208" s="220"/>
      <c r="C208" s="33"/>
      <c r="D208" s="223"/>
      <c r="E208" s="224"/>
      <c r="F208" s="224"/>
      <c r="G208" s="33"/>
    </row>
    <row r="209" spans="2:7">
      <c r="B209" s="220"/>
      <c r="C209" s="33"/>
      <c r="D209" s="223"/>
      <c r="E209" s="224"/>
      <c r="F209" s="224"/>
      <c r="G209" s="33"/>
    </row>
    <row r="210" spans="2:7">
      <c r="B210" s="220"/>
      <c r="C210" s="33"/>
      <c r="D210" s="223"/>
      <c r="E210" s="224"/>
      <c r="F210" s="224"/>
      <c r="G210" s="33"/>
    </row>
    <row r="211" spans="2:7">
      <c r="B211" s="220"/>
      <c r="C211" s="33"/>
      <c r="D211" s="223"/>
      <c r="E211" s="224"/>
      <c r="F211" s="224"/>
      <c r="G211" s="33"/>
    </row>
    <row r="212" spans="2:7">
      <c r="B212" s="220"/>
      <c r="C212" s="33"/>
      <c r="D212" s="223"/>
      <c r="E212" s="224"/>
      <c r="F212" s="224"/>
      <c r="G212" s="33"/>
    </row>
    <row r="213" spans="2:7">
      <c r="B213" s="220"/>
      <c r="C213" s="33"/>
      <c r="D213" s="223"/>
      <c r="E213" s="224"/>
      <c r="F213" s="224"/>
      <c r="G213" s="33"/>
    </row>
    <row r="214" spans="2:7">
      <c r="B214" s="220"/>
      <c r="C214" s="33"/>
      <c r="D214" s="223"/>
      <c r="E214" s="224"/>
      <c r="F214" s="224"/>
      <c r="G214" s="33"/>
    </row>
    <row r="215" spans="2:7">
      <c r="B215" s="220"/>
      <c r="C215" s="33"/>
      <c r="D215" s="223"/>
      <c r="E215" s="224"/>
      <c r="F215" s="224"/>
      <c r="G215" s="33"/>
    </row>
    <row r="216" spans="2:7">
      <c r="B216" s="220"/>
      <c r="C216" s="33"/>
      <c r="D216" s="223"/>
      <c r="E216" s="224"/>
      <c r="F216" s="224"/>
      <c r="G216" s="33"/>
    </row>
    <row r="217" spans="2:7">
      <c r="B217" s="220"/>
      <c r="C217" s="33"/>
      <c r="D217" s="223"/>
      <c r="E217" s="224"/>
      <c r="F217" s="224"/>
      <c r="G217" s="33"/>
    </row>
    <row r="218" spans="2:7">
      <c r="B218" s="220"/>
      <c r="C218" s="33"/>
      <c r="D218" s="223"/>
      <c r="E218" s="224"/>
      <c r="F218" s="224"/>
      <c r="G218" s="33"/>
    </row>
    <row r="219" spans="2:7" ht="15.75" thickBot="1">
      <c r="B219" s="221"/>
      <c r="C219" s="34"/>
      <c r="D219" s="221"/>
      <c r="E219" s="225"/>
      <c r="F219" s="225"/>
      <c r="G219" s="34"/>
    </row>
    <row r="220" spans="2:7" ht="15.75" thickBot="1">
      <c r="B220" s="221">
        <f>SUM(B206:B219)</f>
        <v>35</v>
      </c>
      <c r="C220" s="34" t="s">
        <v>66</v>
      </c>
      <c r="D220" s="221">
        <f>SUM(D206:D219)</f>
        <v>25.35</v>
      </c>
      <c r="E220" s="221">
        <f>SUM(E206:E219)</f>
        <v>0</v>
      </c>
      <c r="F220" s="221">
        <f>SUM(F206:F219)</f>
        <v>0</v>
      </c>
      <c r="G220" s="34" t="s">
        <v>66</v>
      </c>
    </row>
    <row r="221" spans="2:7" ht="15.75" thickBot="1">
      <c r="B221" s="5"/>
      <c r="C221" s="3"/>
      <c r="D221" s="5"/>
      <c r="E221" s="5"/>
    </row>
    <row r="222" spans="2:7" ht="14.45" customHeight="1">
      <c r="B222" s="289" t="str">
        <f>'2018'!A31</f>
        <v>Deportes</v>
      </c>
      <c r="C222" s="290"/>
      <c r="D222" s="290"/>
      <c r="E222" s="290"/>
      <c r="F222" s="290"/>
      <c r="G222" s="291"/>
    </row>
    <row r="223" spans="2:7" ht="15" customHeight="1" thickBot="1">
      <c r="B223" s="292"/>
      <c r="C223" s="293"/>
      <c r="D223" s="293"/>
      <c r="E223" s="293"/>
      <c r="F223" s="293"/>
      <c r="G223" s="294"/>
    </row>
    <row r="224" spans="2:7">
      <c r="B224" s="297" t="s">
        <v>10</v>
      </c>
      <c r="C224" s="296"/>
      <c r="D224" s="295" t="s">
        <v>11</v>
      </c>
      <c r="E224" s="295"/>
      <c r="F224" s="295"/>
      <c r="G224" s="296"/>
    </row>
    <row r="225" spans="2:7">
      <c r="B225" s="218" t="s">
        <v>32</v>
      </c>
      <c r="C225" s="60" t="s">
        <v>33</v>
      </c>
      <c r="D225" s="218" t="s">
        <v>68</v>
      </c>
      <c r="E225" s="222" t="s">
        <v>69</v>
      </c>
      <c r="F225" s="222" t="s">
        <v>32</v>
      </c>
      <c r="G225" s="60" t="s">
        <v>33</v>
      </c>
    </row>
    <row r="226" spans="2:7">
      <c r="B226" s="219">
        <v>20</v>
      </c>
      <c r="C226" s="36" t="s">
        <v>50</v>
      </c>
      <c r="D226" s="223">
        <v>19.989999999999998</v>
      </c>
      <c r="E226" s="224"/>
      <c r="F226" s="224"/>
      <c r="G226" s="58" t="s">
        <v>50</v>
      </c>
    </row>
    <row r="227" spans="2:7">
      <c r="B227" s="220"/>
      <c r="C227" s="33" t="s">
        <v>46</v>
      </c>
      <c r="D227" s="223"/>
      <c r="E227" s="224"/>
      <c r="F227" s="224"/>
      <c r="G227" s="33"/>
    </row>
    <row r="228" spans="2:7">
      <c r="B228" s="220"/>
      <c r="C228" s="33"/>
      <c r="D228" s="223"/>
      <c r="E228" s="224"/>
      <c r="F228" s="224"/>
      <c r="G228" s="33"/>
    </row>
    <row r="229" spans="2:7">
      <c r="B229" s="220"/>
      <c r="C229" s="33"/>
      <c r="D229" s="223"/>
      <c r="E229" s="224"/>
      <c r="F229" s="224"/>
      <c r="G229" s="33"/>
    </row>
    <row r="230" spans="2:7">
      <c r="B230" s="220"/>
      <c r="C230" s="33"/>
      <c r="D230" s="223"/>
      <c r="E230" s="224"/>
      <c r="F230" s="224"/>
      <c r="G230" s="33"/>
    </row>
    <row r="231" spans="2:7">
      <c r="B231" s="220"/>
      <c r="C231" s="33"/>
      <c r="D231" s="223"/>
      <c r="E231" s="224"/>
      <c r="F231" s="224"/>
      <c r="G231" s="33"/>
    </row>
    <row r="232" spans="2:7">
      <c r="B232" s="220"/>
      <c r="C232" s="33"/>
      <c r="D232" s="223"/>
      <c r="E232" s="224"/>
      <c r="F232" s="224"/>
      <c r="G232" s="33"/>
    </row>
    <row r="233" spans="2:7">
      <c r="B233" s="220"/>
      <c r="C233" s="33"/>
      <c r="D233" s="223"/>
      <c r="E233" s="224"/>
      <c r="F233" s="224"/>
      <c r="G233" s="33"/>
    </row>
    <row r="234" spans="2:7">
      <c r="B234" s="220"/>
      <c r="C234" s="33"/>
      <c r="D234" s="223"/>
      <c r="E234" s="224"/>
      <c r="F234" s="224"/>
      <c r="G234" s="33"/>
    </row>
    <row r="235" spans="2:7">
      <c r="B235" s="220"/>
      <c r="C235" s="33"/>
      <c r="D235" s="223"/>
      <c r="E235" s="224"/>
      <c r="F235" s="224"/>
      <c r="G235" s="33"/>
    </row>
    <row r="236" spans="2:7">
      <c r="B236" s="220"/>
      <c r="C236" s="33"/>
      <c r="D236" s="223"/>
      <c r="E236" s="224"/>
      <c r="F236" s="224"/>
      <c r="G236" s="33"/>
    </row>
    <row r="237" spans="2:7">
      <c r="B237" s="220"/>
      <c r="C237" s="33"/>
      <c r="D237" s="223"/>
      <c r="E237" s="224"/>
      <c r="F237" s="224"/>
      <c r="G237" s="33"/>
    </row>
    <row r="238" spans="2:7">
      <c r="B238" s="220"/>
      <c r="C238" s="33"/>
      <c r="D238" s="223"/>
      <c r="E238" s="224"/>
      <c r="F238" s="224"/>
      <c r="G238" s="33"/>
    </row>
    <row r="239" spans="2:7" ht="15.75" thickBot="1">
      <c r="B239" s="221"/>
      <c r="C239" s="34"/>
      <c r="D239" s="221"/>
      <c r="E239" s="225"/>
      <c r="F239" s="225"/>
      <c r="G239" s="34"/>
    </row>
    <row r="240" spans="2:7" ht="15.75" thickBot="1">
      <c r="B240" s="221">
        <f>SUM(B226:B239)</f>
        <v>20</v>
      </c>
      <c r="C240" s="34" t="s">
        <v>66</v>
      </c>
      <c r="D240" s="221">
        <f>SUM(D226:D239)</f>
        <v>19.989999999999998</v>
      </c>
      <c r="E240" s="221">
        <f>SUM(E226:E239)</f>
        <v>0</v>
      </c>
      <c r="F240" s="221">
        <f>SUM(F226:F239)</f>
        <v>0</v>
      </c>
      <c r="G240" s="34" t="s">
        <v>66</v>
      </c>
    </row>
    <row r="241" spans="2:7" ht="15.75" thickBot="1">
      <c r="B241" s="5"/>
      <c r="C241" s="3"/>
      <c r="D241" s="5"/>
      <c r="E241" s="5"/>
    </row>
    <row r="242" spans="2:7" ht="14.45" customHeight="1">
      <c r="B242" s="289" t="str">
        <f>'2018'!A32</f>
        <v>Hogar</v>
      </c>
      <c r="C242" s="290"/>
      <c r="D242" s="290"/>
      <c r="E242" s="290"/>
      <c r="F242" s="290"/>
      <c r="G242" s="291"/>
    </row>
    <row r="243" spans="2:7" ht="15" customHeight="1" thickBot="1">
      <c r="B243" s="292"/>
      <c r="C243" s="293"/>
      <c r="D243" s="293"/>
      <c r="E243" s="293"/>
      <c r="F243" s="293"/>
      <c r="G243" s="294"/>
    </row>
    <row r="244" spans="2:7" ht="15" customHeight="1">
      <c r="B244" s="297" t="s">
        <v>10</v>
      </c>
      <c r="C244" s="296"/>
      <c r="D244" s="295" t="s">
        <v>11</v>
      </c>
      <c r="E244" s="295"/>
      <c r="F244" s="295"/>
      <c r="G244" s="296"/>
    </row>
    <row r="245" spans="2:7" ht="15" customHeight="1">
      <c r="B245" s="218" t="s">
        <v>32</v>
      </c>
      <c r="C245" s="60" t="s">
        <v>33</v>
      </c>
      <c r="D245" s="218" t="s">
        <v>68</v>
      </c>
      <c r="E245" s="222" t="s">
        <v>69</v>
      </c>
      <c r="F245" s="222" t="s">
        <v>32</v>
      </c>
      <c r="G245" s="60" t="s">
        <v>393</v>
      </c>
    </row>
    <row r="246" spans="2:7" ht="15" customHeight="1">
      <c r="B246" s="220">
        <v>50</v>
      </c>
      <c r="C246" s="66"/>
      <c r="D246" s="223">
        <v>51.38</v>
      </c>
      <c r="E246" s="224"/>
      <c r="F246" s="224"/>
      <c r="G246" s="33" t="s">
        <v>674</v>
      </c>
    </row>
    <row r="247" spans="2:7" ht="15" customHeight="1">
      <c r="B247" s="220"/>
      <c r="C247" s="33"/>
      <c r="D247" s="223"/>
      <c r="E247" s="224"/>
      <c r="F247" s="224"/>
      <c r="G247" s="33"/>
    </row>
    <row r="248" spans="2:7">
      <c r="B248" s="220"/>
      <c r="C248" s="33"/>
      <c r="D248" s="223"/>
      <c r="E248" s="224"/>
      <c r="F248" s="224"/>
      <c r="G248" s="33"/>
    </row>
    <row r="249" spans="2:7">
      <c r="B249" s="220"/>
      <c r="C249" s="33"/>
      <c r="D249" s="223"/>
      <c r="E249" s="224"/>
      <c r="F249" s="224"/>
      <c r="G249" s="33"/>
    </row>
    <row r="250" spans="2:7">
      <c r="B250" s="220"/>
      <c r="C250" s="33"/>
      <c r="D250" s="223"/>
      <c r="E250" s="224"/>
      <c r="F250" s="224"/>
      <c r="G250" s="33"/>
    </row>
    <row r="251" spans="2:7">
      <c r="B251" s="220"/>
      <c r="C251" s="33"/>
      <c r="D251" s="223"/>
      <c r="E251" s="224"/>
      <c r="F251" s="224"/>
      <c r="G251" s="33"/>
    </row>
    <row r="252" spans="2:7">
      <c r="B252" s="220"/>
      <c r="C252" s="33"/>
      <c r="D252" s="223"/>
      <c r="E252" s="224"/>
      <c r="F252" s="224"/>
      <c r="G252" s="33"/>
    </row>
    <row r="253" spans="2:7">
      <c r="B253" s="220"/>
      <c r="C253" s="33"/>
      <c r="D253" s="223"/>
      <c r="E253" s="224"/>
      <c r="F253" s="224"/>
      <c r="G253" s="33"/>
    </row>
    <row r="254" spans="2:7">
      <c r="B254" s="220"/>
      <c r="C254" s="33"/>
      <c r="D254" s="223"/>
      <c r="E254" s="224"/>
      <c r="F254" s="224"/>
      <c r="G254" s="33"/>
    </row>
    <row r="255" spans="2:7">
      <c r="B255" s="220"/>
      <c r="C255" s="33"/>
      <c r="D255" s="223"/>
      <c r="E255" s="224"/>
      <c r="F255" s="224"/>
      <c r="G255" s="33"/>
    </row>
    <row r="256" spans="2:7">
      <c r="B256" s="220"/>
      <c r="C256" s="33"/>
      <c r="D256" s="223"/>
      <c r="E256" s="224"/>
      <c r="F256" s="224"/>
      <c r="G256" s="33"/>
    </row>
    <row r="257" spans="2:7">
      <c r="B257" s="220"/>
      <c r="C257" s="33"/>
      <c r="D257" s="223"/>
      <c r="E257" s="224"/>
      <c r="F257" s="224"/>
      <c r="G257" s="33"/>
    </row>
    <row r="258" spans="2:7">
      <c r="B258" s="220"/>
      <c r="C258" s="33"/>
      <c r="D258" s="223"/>
      <c r="E258" s="224"/>
      <c r="F258" s="224"/>
      <c r="G258" s="33"/>
    </row>
    <row r="259" spans="2:7" ht="15.75" thickBot="1">
      <c r="B259" s="221"/>
      <c r="C259" s="34"/>
      <c r="D259" s="221"/>
      <c r="E259" s="225"/>
      <c r="F259" s="225"/>
      <c r="G259" s="34"/>
    </row>
    <row r="260" spans="2:7" ht="15.75" thickBot="1">
      <c r="B260" s="221">
        <f>SUM(B246:B259)</f>
        <v>50</v>
      </c>
      <c r="C260" s="34" t="s">
        <v>66</v>
      </c>
      <c r="D260" s="221">
        <f>SUM(D246:D259)</f>
        <v>51.38</v>
      </c>
      <c r="E260" s="221">
        <f>SUM(E246:E259)</f>
        <v>0</v>
      </c>
      <c r="F260" s="221">
        <f>SUM(F246:F259)</f>
        <v>0</v>
      </c>
      <c r="G260" s="34" t="s">
        <v>66</v>
      </c>
    </row>
    <row r="261" spans="2:7" ht="15.75" thickBot="1">
      <c r="B261" s="5"/>
      <c r="C261" s="3"/>
      <c r="D261" s="5"/>
      <c r="E261" s="5"/>
    </row>
    <row r="262" spans="2:7" ht="14.45" customHeight="1">
      <c r="B262" s="289" t="str">
        <f>'2018'!A33</f>
        <v>Formación</v>
      </c>
      <c r="C262" s="290"/>
      <c r="D262" s="290"/>
      <c r="E262" s="290"/>
      <c r="F262" s="290"/>
      <c r="G262" s="291"/>
    </row>
    <row r="263" spans="2:7" ht="15" customHeight="1" thickBot="1">
      <c r="B263" s="292"/>
      <c r="C263" s="293"/>
      <c r="D263" s="293"/>
      <c r="E263" s="293"/>
      <c r="F263" s="293"/>
      <c r="G263" s="294"/>
    </row>
    <row r="264" spans="2:7">
      <c r="B264" s="297" t="s">
        <v>10</v>
      </c>
      <c r="C264" s="296"/>
      <c r="D264" s="295" t="s">
        <v>11</v>
      </c>
      <c r="E264" s="295"/>
      <c r="F264" s="295"/>
      <c r="G264" s="296"/>
    </row>
    <row r="265" spans="2:7">
      <c r="B265" s="218" t="s">
        <v>32</v>
      </c>
      <c r="C265" s="60" t="s">
        <v>33</v>
      </c>
      <c r="D265" s="218" t="s">
        <v>68</v>
      </c>
      <c r="E265" s="222" t="s">
        <v>69</v>
      </c>
      <c r="F265" s="222" t="s">
        <v>32</v>
      </c>
      <c r="G265" s="60" t="s">
        <v>33</v>
      </c>
    </row>
    <row r="266" spans="2:7">
      <c r="B266" s="219">
        <v>50</v>
      </c>
      <c r="C266" s="36"/>
      <c r="D266" s="223"/>
      <c r="E266" s="224"/>
      <c r="F266" s="224"/>
      <c r="G266" s="33"/>
    </row>
    <row r="267" spans="2:7">
      <c r="B267" s="220"/>
      <c r="C267" s="33"/>
      <c r="D267" s="223"/>
      <c r="E267" s="224"/>
      <c r="F267" s="224"/>
      <c r="G267" s="33"/>
    </row>
    <row r="268" spans="2:7">
      <c r="B268" s="220"/>
      <c r="C268" s="33"/>
      <c r="D268" s="223"/>
      <c r="E268" s="224"/>
      <c r="F268" s="224"/>
      <c r="G268" s="33"/>
    </row>
    <row r="269" spans="2:7">
      <c r="B269" s="220"/>
      <c r="C269" s="33"/>
      <c r="D269" s="223"/>
      <c r="E269" s="224"/>
      <c r="F269" s="224"/>
      <c r="G269" s="33"/>
    </row>
    <row r="270" spans="2:7">
      <c r="B270" s="220"/>
      <c r="C270" s="33"/>
      <c r="D270" s="223"/>
      <c r="E270" s="224"/>
      <c r="F270" s="224"/>
      <c r="G270" s="33"/>
    </row>
    <row r="271" spans="2:7">
      <c r="B271" s="220"/>
      <c r="C271" s="33"/>
      <c r="D271" s="223"/>
      <c r="E271" s="224"/>
      <c r="F271" s="224"/>
      <c r="G271" s="33"/>
    </row>
    <row r="272" spans="2:7">
      <c r="B272" s="220"/>
      <c r="C272" s="33"/>
      <c r="D272" s="223"/>
      <c r="E272" s="224"/>
      <c r="F272" s="224"/>
      <c r="G272" s="33"/>
    </row>
    <row r="273" spans="2:7">
      <c r="B273" s="220"/>
      <c r="C273" s="33"/>
      <c r="D273" s="223"/>
      <c r="E273" s="224"/>
      <c r="F273" s="224"/>
      <c r="G273" s="33"/>
    </row>
    <row r="274" spans="2:7">
      <c r="B274" s="220"/>
      <c r="C274" s="33"/>
      <c r="D274" s="223"/>
      <c r="E274" s="224"/>
      <c r="F274" s="224"/>
      <c r="G274" s="33"/>
    </row>
    <row r="275" spans="2:7">
      <c r="B275" s="220"/>
      <c r="C275" s="33"/>
      <c r="D275" s="223"/>
      <c r="E275" s="224"/>
      <c r="F275" s="224"/>
      <c r="G275" s="33"/>
    </row>
    <row r="276" spans="2:7">
      <c r="B276" s="220"/>
      <c r="C276" s="33"/>
      <c r="D276" s="223"/>
      <c r="E276" s="224"/>
      <c r="F276" s="224"/>
      <c r="G276" s="33"/>
    </row>
    <row r="277" spans="2:7">
      <c r="B277" s="220"/>
      <c r="C277" s="33"/>
      <c r="D277" s="223"/>
      <c r="E277" s="224"/>
      <c r="F277" s="224"/>
      <c r="G277" s="33"/>
    </row>
    <row r="278" spans="2:7">
      <c r="B278" s="220"/>
      <c r="C278" s="33"/>
      <c r="D278" s="223"/>
      <c r="E278" s="224"/>
      <c r="F278" s="224"/>
      <c r="G278" s="33"/>
    </row>
    <row r="279" spans="2:7" ht="15.75" thickBot="1">
      <c r="B279" s="221"/>
      <c r="C279" s="34"/>
      <c r="D279" s="221"/>
      <c r="E279" s="225"/>
      <c r="F279" s="225"/>
      <c r="G279" s="34"/>
    </row>
    <row r="280" spans="2:7" ht="15.75" thickBot="1">
      <c r="B280" s="221">
        <f>SUM(B266:B279)</f>
        <v>50</v>
      </c>
      <c r="C280" s="34" t="s">
        <v>66</v>
      </c>
      <c r="D280" s="221">
        <f>SUM(D266:D279)</f>
        <v>0</v>
      </c>
      <c r="E280" s="221">
        <f>SUM(E266:E279)</f>
        <v>0</v>
      </c>
      <c r="F280" s="221">
        <f>SUM(F266:F279)</f>
        <v>0</v>
      </c>
      <c r="G280" s="34" t="s">
        <v>66</v>
      </c>
    </row>
    <row r="281" spans="2:7" ht="15.75" thickBot="1">
      <c r="B281" s="5"/>
      <c r="C281" s="3"/>
      <c r="D281" s="5"/>
      <c r="E281" s="5"/>
    </row>
    <row r="282" spans="2:7" ht="14.45" customHeight="1">
      <c r="B282" s="289" t="str">
        <f>'2018'!A34</f>
        <v>Regalos</v>
      </c>
      <c r="C282" s="290"/>
      <c r="D282" s="290"/>
      <c r="E282" s="290"/>
      <c r="F282" s="290"/>
      <c r="G282" s="291"/>
    </row>
    <row r="283" spans="2:7" ht="15" customHeight="1" thickBot="1">
      <c r="B283" s="292"/>
      <c r="C283" s="293"/>
      <c r="D283" s="293"/>
      <c r="E283" s="293"/>
      <c r="F283" s="293"/>
      <c r="G283" s="294"/>
    </row>
    <row r="284" spans="2:7">
      <c r="B284" s="297" t="s">
        <v>10</v>
      </c>
      <c r="C284" s="296"/>
      <c r="D284" s="295" t="s">
        <v>11</v>
      </c>
      <c r="E284" s="295"/>
      <c r="F284" s="295"/>
      <c r="G284" s="296"/>
    </row>
    <row r="285" spans="2:7">
      <c r="B285" s="218" t="s">
        <v>32</v>
      </c>
      <c r="C285" s="60" t="s">
        <v>33</v>
      </c>
      <c r="D285" s="218" t="s">
        <v>68</v>
      </c>
      <c r="E285" s="222" t="s">
        <v>69</v>
      </c>
      <c r="F285" s="222" t="s">
        <v>32</v>
      </c>
      <c r="G285" s="60" t="s">
        <v>393</v>
      </c>
    </row>
    <row r="286" spans="2:7">
      <c r="B286" s="219">
        <v>100</v>
      </c>
      <c r="C286" s="36" t="s">
        <v>36</v>
      </c>
      <c r="D286" s="223">
        <v>399</v>
      </c>
      <c r="E286" s="224"/>
      <c r="F286" s="224"/>
      <c r="G286" s="33" t="s">
        <v>650</v>
      </c>
    </row>
    <row r="287" spans="2:7">
      <c r="B287" s="220">
        <v>-40</v>
      </c>
      <c r="C287" s="33" t="s">
        <v>594</v>
      </c>
      <c r="D287" s="223">
        <v>20.5</v>
      </c>
      <c r="E287" s="224"/>
      <c r="F287" s="224"/>
      <c r="G287" s="33" t="s">
        <v>664</v>
      </c>
    </row>
    <row r="288" spans="2:7">
      <c r="B288" s="220"/>
      <c r="C288" s="33"/>
      <c r="D288" s="223"/>
      <c r="E288" s="224">
        <v>11.99</v>
      </c>
      <c r="F288" s="224"/>
      <c r="G288" s="33" t="s">
        <v>677</v>
      </c>
    </row>
    <row r="289" spans="2:7">
      <c r="B289" s="220"/>
      <c r="C289" s="33"/>
      <c r="D289" s="223"/>
      <c r="E289" s="224"/>
      <c r="F289" s="224"/>
      <c r="G289" s="33"/>
    </row>
    <row r="290" spans="2:7">
      <c r="B290" s="220"/>
      <c r="C290" s="33"/>
      <c r="D290" s="223"/>
      <c r="E290" s="224"/>
      <c r="F290" s="224"/>
      <c r="G290" s="33"/>
    </row>
    <row r="291" spans="2:7">
      <c r="B291" s="220"/>
      <c r="C291" s="33"/>
      <c r="D291" s="223"/>
      <c r="E291" s="224"/>
      <c r="F291" s="224"/>
      <c r="G291" s="33"/>
    </row>
    <row r="292" spans="2:7">
      <c r="B292" s="220"/>
      <c r="C292" s="33"/>
      <c r="D292" s="223"/>
      <c r="E292" s="224"/>
      <c r="F292" s="224"/>
      <c r="G292" s="33"/>
    </row>
    <row r="293" spans="2:7">
      <c r="B293" s="220"/>
      <c r="C293" s="33"/>
      <c r="D293" s="223"/>
      <c r="E293" s="224"/>
      <c r="F293" s="224"/>
      <c r="G293" s="33"/>
    </row>
    <row r="294" spans="2:7">
      <c r="B294" s="220"/>
      <c r="C294" s="33"/>
      <c r="D294" s="223"/>
      <c r="E294" s="224"/>
      <c r="F294" s="224"/>
      <c r="G294" s="33"/>
    </row>
    <row r="295" spans="2:7">
      <c r="B295" s="220"/>
      <c r="C295" s="33"/>
      <c r="D295" s="223"/>
      <c r="E295" s="224"/>
      <c r="F295" s="224"/>
      <c r="G295" s="33"/>
    </row>
    <row r="296" spans="2:7">
      <c r="B296" s="220"/>
      <c r="C296" s="33"/>
      <c r="D296" s="223"/>
      <c r="E296" s="224"/>
      <c r="F296" s="224"/>
      <c r="G296" s="33"/>
    </row>
    <row r="297" spans="2:7">
      <c r="B297" s="220"/>
      <c r="C297" s="33"/>
      <c r="D297" s="223"/>
      <c r="E297" s="224"/>
      <c r="F297" s="224"/>
      <c r="G297" s="33"/>
    </row>
    <row r="298" spans="2:7">
      <c r="B298" s="220"/>
      <c r="C298" s="33"/>
      <c r="D298" s="223"/>
      <c r="E298" s="224"/>
      <c r="F298" s="224"/>
      <c r="G298" s="33"/>
    </row>
    <row r="299" spans="2:7" ht="15.75" thickBot="1">
      <c r="B299" s="221"/>
      <c r="C299" s="34"/>
      <c r="D299" s="221"/>
      <c r="E299" s="225"/>
      <c r="F299" s="225"/>
      <c r="G299" s="34"/>
    </row>
    <row r="300" spans="2:7" ht="15.75" thickBot="1">
      <c r="B300" s="221">
        <f>SUM(B286:B299)</f>
        <v>60</v>
      </c>
      <c r="C300" s="34" t="s">
        <v>66</v>
      </c>
      <c r="D300" s="221">
        <f>SUM(D286:D299)</f>
        <v>419.5</v>
      </c>
      <c r="E300" s="221">
        <f>SUM(E286:E299)</f>
        <v>11.99</v>
      </c>
      <c r="F300" s="221">
        <f>SUM(F286:F299)</f>
        <v>0</v>
      </c>
      <c r="G300" s="34" t="s">
        <v>66</v>
      </c>
    </row>
    <row r="301" spans="2:7" ht="15.75" thickBot="1">
      <c r="B301" s="5"/>
      <c r="C301" s="3"/>
      <c r="D301" s="5"/>
      <c r="E301" s="5"/>
    </row>
    <row r="302" spans="2:7" ht="14.45" customHeight="1">
      <c r="B302" s="289" t="str">
        <f>'2018'!A35</f>
        <v>Salud</v>
      </c>
      <c r="C302" s="290"/>
      <c r="D302" s="290"/>
      <c r="E302" s="290"/>
      <c r="F302" s="290"/>
      <c r="G302" s="291"/>
    </row>
    <row r="303" spans="2:7" ht="15" customHeight="1" thickBot="1">
      <c r="B303" s="292"/>
      <c r="C303" s="293"/>
      <c r="D303" s="293"/>
      <c r="E303" s="293"/>
      <c r="F303" s="293"/>
      <c r="G303" s="294"/>
    </row>
    <row r="304" spans="2:7">
      <c r="B304" s="297" t="s">
        <v>10</v>
      </c>
      <c r="C304" s="296"/>
      <c r="D304" s="295" t="s">
        <v>11</v>
      </c>
      <c r="E304" s="295"/>
      <c r="F304" s="295"/>
      <c r="G304" s="296"/>
    </row>
    <row r="305" spans="2:7">
      <c r="B305" s="218" t="s">
        <v>32</v>
      </c>
      <c r="C305" s="60" t="s">
        <v>33</v>
      </c>
      <c r="D305" s="218" t="s">
        <v>68</v>
      </c>
      <c r="E305" s="222" t="s">
        <v>69</v>
      </c>
      <c r="F305" s="222" t="s">
        <v>32</v>
      </c>
      <c r="G305" s="60" t="s">
        <v>393</v>
      </c>
    </row>
    <row r="306" spans="2:7">
      <c r="B306" s="219">
        <v>110</v>
      </c>
      <c r="C306" s="36" t="s">
        <v>472</v>
      </c>
      <c r="D306" s="223">
        <f>34.5+34.5</f>
        <v>69</v>
      </c>
      <c r="E306" s="224"/>
      <c r="F306" s="224"/>
      <c r="G306" s="33" t="s">
        <v>669</v>
      </c>
    </row>
    <row r="307" spans="2:7">
      <c r="B307" s="220"/>
      <c r="C307" s="66"/>
      <c r="D307" s="223">
        <v>38.39</v>
      </c>
      <c r="E307" s="224"/>
      <c r="F307" s="224"/>
      <c r="G307" s="33" t="s">
        <v>681</v>
      </c>
    </row>
    <row r="308" spans="2:7">
      <c r="B308" s="220"/>
      <c r="C308" s="66"/>
      <c r="D308" s="223">
        <v>4.4000000000000004</v>
      </c>
      <c r="E308" s="224"/>
      <c r="F308" s="224"/>
      <c r="G308" s="33" t="s">
        <v>710</v>
      </c>
    </row>
    <row r="309" spans="2:7">
      <c r="B309" s="220"/>
      <c r="C309" s="33"/>
      <c r="D309" s="223"/>
      <c r="E309" s="224"/>
      <c r="F309" s="224"/>
      <c r="G309" s="33"/>
    </row>
    <row r="310" spans="2:7">
      <c r="B310" s="220"/>
      <c r="C310" s="33"/>
      <c r="D310" s="223"/>
      <c r="E310" s="224"/>
      <c r="F310" s="224"/>
      <c r="G310" s="33"/>
    </row>
    <row r="311" spans="2:7">
      <c r="B311" s="220"/>
      <c r="C311" s="33"/>
      <c r="D311" s="223"/>
      <c r="E311" s="224"/>
      <c r="F311" s="224"/>
      <c r="G311" s="33"/>
    </row>
    <row r="312" spans="2:7">
      <c r="B312" s="220"/>
      <c r="C312" s="33"/>
      <c r="D312" s="223"/>
      <c r="E312" s="224"/>
      <c r="F312" s="224"/>
      <c r="G312" s="33"/>
    </row>
    <row r="313" spans="2:7">
      <c r="B313" s="220"/>
      <c r="C313" s="33"/>
      <c r="D313" s="223"/>
      <c r="E313" s="224"/>
      <c r="F313" s="224"/>
      <c r="G313" s="33"/>
    </row>
    <row r="314" spans="2:7">
      <c r="B314" s="220"/>
      <c r="C314" s="33"/>
      <c r="D314" s="223"/>
      <c r="E314" s="224"/>
      <c r="F314" s="224"/>
      <c r="G314" s="33"/>
    </row>
    <row r="315" spans="2:7">
      <c r="B315" s="220"/>
      <c r="C315" s="33"/>
      <c r="D315" s="223"/>
      <c r="E315" s="224"/>
      <c r="F315" s="224"/>
      <c r="G315" s="33"/>
    </row>
    <row r="316" spans="2:7">
      <c r="B316" s="220"/>
      <c r="C316" s="33"/>
      <c r="D316" s="223"/>
      <c r="E316" s="224"/>
      <c r="F316" s="224"/>
      <c r="G316" s="33"/>
    </row>
    <row r="317" spans="2:7">
      <c r="B317" s="220"/>
      <c r="C317" s="33"/>
      <c r="D317" s="223"/>
      <c r="E317" s="224"/>
      <c r="F317" s="224"/>
      <c r="G317" s="33"/>
    </row>
    <row r="318" spans="2:7">
      <c r="B318" s="220"/>
      <c r="C318" s="33"/>
      <c r="D318" s="223"/>
      <c r="E318" s="224"/>
      <c r="F318" s="224"/>
      <c r="G318" s="33"/>
    </row>
    <row r="319" spans="2:7" ht="15.75" thickBot="1">
      <c r="B319" s="221"/>
      <c r="C319" s="34"/>
      <c r="D319" s="221"/>
      <c r="E319" s="225"/>
      <c r="F319" s="225"/>
      <c r="G319" s="34"/>
    </row>
    <row r="320" spans="2:7" ht="15.75" thickBot="1">
      <c r="B320" s="221">
        <f>SUM(B306:B319)</f>
        <v>110</v>
      </c>
      <c r="C320" s="34" t="s">
        <v>66</v>
      </c>
      <c r="D320" s="221">
        <f>SUM(D306:D319)</f>
        <v>111.79</v>
      </c>
      <c r="E320" s="221">
        <f>SUM(E306:E319)</f>
        <v>0</v>
      </c>
      <c r="F320" s="221">
        <f>SUM(F306:F319)</f>
        <v>0</v>
      </c>
      <c r="G320" s="34" t="s">
        <v>66</v>
      </c>
    </row>
    <row r="321" spans="2:7" ht="15.75" thickBot="1"/>
    <row r="322" spans="2:7" ht="14.45" customHeight="1">
      <c r="B322" s="289" t="str">
        <f>'2018'!A36</f>
        <v>Martina</v>
      </c>
      <c r="C322" s="290"/>
      <c r="D322" s="290"/>
      <c r="E322" s="290"/>
      <c r="F322" s="290"/>
      <c r="G322" s="291"/>
    </row>
    <row r="323" spans="2:7" ht="15" customHeight="1" thickBot="1">
      <c r="B323" s="292"/>
      <c r="C323" s="293"/>
      <c r="D323" s="293"/>
      <c r="E323" s="293"/>
      <c r="F323" s="293"/>
      <c r="G323" s="294"/>
    </row>
    <row r="324" spans="2:7">
      <c r="B324" s="297" t="s">
        <v>10</v>
      </c>
      <c r="C324" s="296"/>
      <c r="D324" s="295" t="s">
        <v>11</v>
      </c>
      <c r="E324" s="295"/>
      <c r="F324" s="295"/>
      <c r="G324" s="296"/>
    </row>
    <row r="325" spans="2:7">
      <c r="B325" s="218" t="s">
        <v>32</v>
      </c>
      <c r="C325" s="60" t="s">
        <v>33</v>
      </c>
      <c r="D325" s="218" t="s">
        <v>68</v>
      </c>
      <c r="E325" s="222" t="s">
        <v>69</v>
      </c>
      <c r="F325" s="222" t="s">
        <v>32</v>
      </c>
      <c r="G325" s="60" t="s">
        <v>393</v>
      </c>
    </row>
    <row r="326" spans="2:7">
      <c r="B326" s="219">
        <v>90</v>
      </c>
      <c r="C326" s="36"/>
      <c r="D326" s="223">
        <v>8.25</v>
      </c>
      <c r="E326" s="224"/>
      <c r="F326" s="224"/>
      <c r="G326" s="33" t="s">
        <v>711</v>
      </c>
    </row>
    <row r="327" spans="2:7">
      <c r="B327" s="220">
        <v>0.06</v>
      </c>
      <c r="C327" s="33" t="s">
        <v>689</v>
      </c>
      <c r="D327" s="223"/>
      <c r="E327" s="224"/>
      <c r="F327" s="224"/>
      <c r="G327" s="33"/>
    </row>
    <row r="328" spans="2:7">
      <c r="B328" s="220"/>
      <c r="C328" s="33"/>
      <c r="D328" s="223"/>
      <c r="E328" s="224"/>
      <c r="F328" s="224"/>
      <c r="G328" s="33"/>
    </row>
    <row r="329" spans="2:7">
      <c r="B329" s="220"/>
      <c r="C329" s="33"/>
      <c r="D329" s="223"/>
      <c r="E329" s="224"/>
      <c r="F329" s="224"/>
      <c r="G329" s="33"/>
    </row>
    <row r="330" spans="2:7">
      <c r="B330" s="220"/>
      <c r="C330" s="33"/>
      <c r="D330" s="223"/>
      <c r="E330" s="224"/>
      <c r="F330" s="224"/>
      <c r="G330" s="33"/>
    </row>
    <row r="331" spans="2:7">
      <c r="B331" s="220"/>
      <c r="C331" s="33"/>
      <c r="D331" s="223"/>
      <c r="E331" s="224"/>
      <c r="F331" s="224"/>
      <c r="G331" s="33"/>
    </row>
    <row r="332" spans="2:7">
      <c r="B332" s="220"/>
      <c r="C332" s="33"/>
      <c r="D332" s="223"/>
      <c r="E332" s="224"/>
      <c r="F332" s="224"/>
      <c r="G332" s="33"/>
    </row>
    <row r="333" spans="2:7">
      <c r="B333" s="220"/>
      <c r="C333" s="33"/>
      <c r="D333" s="223"/>
      <c r="E333" s="224"/>
      <c r="F333" s="224"/>
      <c r="G333" s="33"/>
    </row>
    <row r="334" spans="2:7">
      <c r="B334" s="220"/>
      <c r="C334" s="33"/>
      <c r="D334" s="223"/>
      <c r="E334" s="224"/>
      <c r="F334" s="224"/>
      <c r="G334" s="33"/>
    </row>
    <row r="335" spans="2:7">
      <c r="B335" s="220"/>
      <c r="C335" s="33"/>
      <c r="D335" s="223"/>
      <c r="E335" s="224"/>
      <c r="F335" s="224"/>
      <c r="G335" s="33"/>
    </row>
    <row r="336" spans="2:7">
      <c r="B336" s="220"/>
      <c r="C336" s="33"/>
      <c r="D336" s="223"/>
      <c r="E336" s="224"/>
      <c r="F336" s="224"/>
      <c r="G336" s="33"/>
    </row>
    <row r="337" spans="2:7">
      <c r="B337" s="220"/>
      <c r="C337" s="33"/>
      <c r="D337" s="223"/>
      <c r="E337" s="224"/>
      <c r="F337" s="224"/>
      <c r="G337" s="33"/>
    </row>
    <row r="338" spans="2:7">
      <c r="B338" s="220"/>
      <c r="C338" s="33"/>
      <c r="D338" s="223"/>
      <c r="E338" s="224"/>
      <c r="F338" s="224"/>
      <c r="G338" s="33"/>
    </row>
    <row r="339" spans="2:7" ht="15.75" thickBot="1">
      <c r="B339" s="221"/>
      <c r="C339" s="34"/>
      <c r="D339" s="221"/>
      <c r="E339" s="225"/>
      <c r="F339" s="225"/>
      <c r="G339" s="34"/>
    </row>
    <row r="340" spans="2:7" ht="15.75" thickBot="1">
      <c r="B340" s="221">
        <f>SUM(B326:B339)</f>
        <v>90.06</v>
      </c>
      <c r="C340" s="34" t="s">
        <v>66</v>
      </c>
      <c r="D340" s="221">
        <f>SUM(D326:D339)</f>
        <v>8.25</v>
      </c>
      <c r="E340" s="221">
        <f>SUM(E326:E339)</f>
        <v>0</v>
      </c>
      <c r="F340" s="221">
        <f>SUM(F326:F339)</f>
        <v>0</v>
      </c>
      <c r="G340" s="34" t="s">
        <v>66</v>
      </c>
    </row>
    <row r="341" spans="2:7" ht="15.75" thickBot="1">
      <c r="B341" s="5"/>
      <c r="C341" s="3"/>
      <c r="D341" s="5"/>
      <c r="E341" s="5"/>
    </row>
    <row r="342" spans="2:7" ht="14.45" customHeight="1">
      <c r="B342" s="289" t="str">
        <f>'2018'!A37</f>
        <v>Impuestos</v>
      </c>
      <c r="C342" s="290"/>
      <c r="D342" s="290"/>
      <c r="E342" s="290"/>
      <c r="F342" s="290"/>
      <c r="G342" s="291"/>
    </row>
    <row r="343" spans="2:7" ht="15" customHeight="1" thickBot="1">
      <c r="B343" s="292"/>
      <c r="C343" s="293"/>
      <c r="D343" s="293"/>
      <c r="E343" s="293"/>
      <c r="F343" s="293"/>
      <c r="G343" s="294"/>
    </row>
    <row r="344" spans="2:7">
      <c r="B344" s="297" t="s">
        <v>10</v>
      </c>
      <c r="C344" s="296"/>
      <c r="D344" s="295" t="s">
        <v>11</v>
      </c>
      <c r="E344" s="295"/>
      <c r="F344" s="295"/>
      <c r="G344" s="296"/>
    </row>
    <row r="345" spans="2:7">
      <c r="B345" s="218" t="s">
        <v>32</v>
      </c>
      <c r="C345" s="60" t="s">
        <v>33</v>
      </c>
      <c r="D345" s="218" t="s">
        <v>68</v>
      </c>
      <c r="E345" s="222" t="s">
        <v>69</v>
      </c>
      <c r="F345" s="222" t="s">
        <v>32</v>
      </c>
      <c r="G345" s="60" t="s">
        <v>393</v>
      </c>
    </row>
    <row r="346" spans="2:7">
      <c r="B346" s="219">
        <v>30</v>
      </c>
      <c r="C346" s="36" t="s">
        <v>119</v>
      </c>
      <c r="D346" s="223">
        <v>25</v>
      </c>
      <c r="E346" s="224"/>
      <c r="F346" s="224"/>
      <c r="G346" s="33" t="s">
        <v>713</v>
      </c>
    </row>
    <row r="347" spans="2:7">
      <c r="B347" s="220">
        <v>30</v>
      </c>
      <c r="C347" s="33" t="s">
        <v>560</v>
      </c>
      <c r="D347" s="223"/>
      <c r="E347" s="224"/>
      <c r="F347" s="224"/>
      <c r="G347" s="33"/>
    </row>
    <row r="348" spans="2:7">
      <c r="B348" s="220"/>
      <c r="C348" s="33"/>
      <c r="D348" s="223"/>
      <c r="E348" s="224"/>
      <c r="F348" s="224"/>
      <c r="G348" s="33"/>
    </row>
    <row r="349" spans="2:7">
      <c r="B349" s="220"/>
      <c r="C349" s="33"/>
      <c r="D349" s="223"/>
      <c r="E349" s="224"/>
      <c r="F349" s="224"/>
      <c r="G349" s="33"/>
    </row>
    <row r="350" spans="2:7">
      <c r="B350" s="220"/>
      <c r="C350" s="33"/>
      <c r="D350" s="223"/>
      <c r="E350" s="224"/>
      <c r="F350" s="224"/>
      <c r="G350" s="33"/>
    </row>
    <row r="351" spans="2:7">
      <c r="B351" s="220"/>
      <c r="C351" s="33"/>
      <c r="D351" s="223"/>
      <c r="E351" s="224"/>
      <c r="F351" s="224"/>
      <c r="G351" s="33"/>
    </row>
    <row r="352" spans="2:7">
      <c r="B352" s="220"/>
      <c r="C352" s="33"/>
      <c r="D352" s="223"/>
      <c r="E352" s="224"/>
      <c r="F352" s="224"/>
      <c r="G352" s="33"/>
    </row>
    <row r="353" spans="2:7">
      <c r="B353" s="220"/>
      <c r="C353" s="33"/>
      <c r="D353" s="223"/>
      <c r="E353" s="224"/>
      <c r="F353" s="224"/>
      <c r="G353" s="33"/>
    </row>
    <row r="354" spans="2:7">
      <c r="B354" s="220"/>
      <c r="C354" s="33"/>
      <c r="D354" s="223"/>
      <c r="E354" s="224"/>
      <c r="F354" s="224"/>
      <c r="G354" s="33"/>
    </row>
    <row r="355" spans="2:7">
      <c r="B355" s="220"/>
      <c r="C355" s="33"/>
      <c r="D355" s="223"/>
      <c r="E355" s="224"/>
      <c r="F355" s="224"/>
      <c r="G355" s="33"/>
    </row>
    <row r="356" spans="2:7">
      <c r="B356" s="220"/>
      <c r="C356" s="33"/>
      <c r="D356" s="223"/>
      <c r="E356" s="224"/>
      <c r="F356" s="224"/>
      <c r="G356" s="33"/>
    </row>
    <row r="357" spans="2:7">
      <c r="B357" s="220"/>
      <c r="C357" s="33"/>
      <c r="D357" s="223"/>
      <c r="E357" s="224"/>
      <c r="F357" s="224"/>
      <c r="G357" s="33"/>
    </row>
    <row r="358" spans="2:7">
      <c r="B358" s="220"/>
      <c r="C358" s="33"/>
      <c r="D358" s="223"/>
      <c r="E358" s="224"/>
      <c r="F358" s="224"/>
      <c r="G358" s="33"/>
    </row>
    <row r="359" spans="2:7" ht="15.75" thickBot="1">
      <c r="B359" s="221"/>
      <c r="C359" s="34"/>
      <c r="D359" s="221"/>
      <c r="E359" s="225"/>
      <c r="F359" s="225"/>
      <c r="G359" s="34"/>
    </row>
    <row r="360" spans="2:7" ht="15.75" thickBot="1">
      <c r="B360" s="221">
        <f>SUM(B346:B359)</f>
        <v>60</v>
      </c>
      <c r="C360" s="34" t="s">
        <v>66</v>
      </c>
      <c r="D360" s="221">
        <f>SUM(D346:D359)</f>
        <v>25</v>
      </c>
      <c r="E360" s="221">
        <f>SUM(E346:E359)</f>
        <v>0</v>
      </c>
      <c r="F360" s="221">
        <f>SUM(F346:F359)</f>
        <v>0</v>
      </c>
      <c r="G360" s="34" t="s">
        <v>66</v>
      </c>
    </row>
    <row r="361" spans="2:7" ht="15.75" thickBot="1">
      <c r="B361" s="5"/>
      <c r="C361" s="3"/>
      <c r="D361" s="5"/>
      <c r="E361" s="5"/>
    </row>
    <row r="362" spans="2:7" ht="14.45" customHeight="1">
      <c r="B362" s="289" t="str">
        <f>'2018'!A38</f>
        <v>Gastos Curros</v>
      </c>
      <c r="C362" s="290"/>
      <c r="D362" s="290"/>
      <c r="E362" s="290"/>
      <c r="F362" s="290"/>
      <c r="G362" s="291"/>
    </row>
    <row r="363" spans="2:7" ht="15" customHeight="1" thickBot="1">
      <c r="B363" s="292"/>
      <c r="C363" s="293"/>
      <c r="D363" s="293"/>
      <c r="E363" s="293"/>
      <c r="F363" s="293"/>
      <c r="G363" s="294"/>
    </row>
    <row r="364" spans="2:7">
      <c r="B364" s="297" t="s">
        <v>10</v>
      </c>
      <c r="C364" s="296"/>
      <c r="D364" s="295" t="s">
        <v>11</v>
      </c>
      <c r="E364" s="295"/>
      <c r="F364" s="295"/>
      <c r="G364" s="296"/>
    </row>
    <row r="365" spans="2:7">
      <c r="B365" s="218" t="s">
        <v>32</v>
      </c>
      <c r="C365" s="60" t="s">
        <v>33</v>
      </c>
      <c r="D365" s="218" t="s">
        <v>68</v>
      </c>
      <c r="E365" s="222" t="s">
        <v>69</v>
      </c>
      <c r="F365" s="222" t="s">
        <v>32</v>
      </c>
      <c r="G365" s="60" t="s">
        <v>393</v>
      </c>
    </row>
    <row r="366" spans="2:7">
      <c r="B366" s="219">
        <v>70</v>
      </c>
      <c r="C366" s="36" t="s">
        <v>36</v>
      </c>
      <c r="D366" s="223"/>
      <c r="E366" s="224"/>
      <c r="F366" s="224">
        <f>4+2.8+4+2.8+4.5+4.45+2.8+3.5</f>
        <v>28.85</v>
      </c>
      <c r="G366" s="70" t="s">
        <v>91</v>
      </c>
    </row>
    <row r="367" spans="2:7">
      <c r="B367" s="220"/>
      <c r="C367" s="33"/>
      <c r="D367" s="223">
        <v>4.55</v>
      </c>
      <c r="E367" s="224"/>
      <c r="F367" s="224"/>
      <c r="G367" s="33" t="s">
        <v>698</v>
      </c>
    </row>
    <row r="368" spans="2:7">
      <c r="B368" s="220"/>
      <c r="C368" s="33"/>
      <c r="D368" s="223"/>
      <c r="E368" s="224"/>
      <c r="F368" s="224"/>
      <c r="G368" s="33"/>
    </row>
    <row r="369" spans="2:7">
      <c r="B369" s="220"/>
      <c r="C369" s="33"/>
      <c r="D369" s="223"/>
      <c r="E369" s="224"/>
      <c r="F369" s="224"/>
      <c r="G369" s="33"/>
    </row>
    <row r="370" spans="2:7">
      <c r="B370" s="220"/>
      <c r="C370" s="33"/>
      <c r="D370" s="223"/>
      <c r="E370" s="224"/>
      <c r="F370" s="224"/>
      <c r="G370" s="33"/>
    </row>
    <row r="371" spans="2:7">
      <c r="B371" s="220"/>
      <c r="C371" s="33"/>
      <c r="D371" s="223"/>
      <c r="E371" s="224"/>
      <c r="F371" s="224"/>
      <c r="G371" s="33"/>
    </row>
    <row r="372" spans="2:7">
      <c r="B372" s="220"/>
      <c r="C372" s="33"/>
      <c r="D372" s="223"/>
      <c r="E372" s="224"/>
      <c r="F372" s="224"/>
      <c r="G372" s="33"/>
    </row>
    <row r="373" spans="2:7">
      <c r="B373" s="220"/>
      <c r="C373" s="33"/>
      <c r="D373" s="223"/>
      <c r="E373" s="224"/>
      <c r="F373" s="224"/>
      <c r="G373" s="33"/>
    </row>
    <row r="374" spans="2:7">
      <c r="B374" s="220"/>
      <c r="C374" s="33"/>
      <c r="D374" s="223"/>
      <c r="E374" s="224"/>
      <c r="F374" s="224"/>
      <c r="G374" s="33"/>
    </row>
    <row r="375" spans="2:7">
      <c r="B375" s="220"/>
      <c r="C375" s="33"/>
      <c r="D375" s="223"/>
      <c r="E375" s="224"/>
      <c r="F375" s="224"/>
      <c r="G375" s="33"/>
    </row>
    <row r="376" spans="2:7">
      <c r="B376" s="220"/>
      <c r="C376" s="33"/>
      <c r="D376" s="223"/>
      <c r="E376" s="224"/>
      <c r="F376" s="224"/>
      <c r="G376" s="33"/>
    </row>
    <row r="377" spans="2:7">
      <c r="B377" s="220"/>
      <c r="C377" s="33"/>
      <c r="D377" s="223"/>
      <c r="E377" s="224"/>
      <c r="F377" s="224"/>
      <c r="G377" s="33"/>
    </row>
    <row r="378" spans="2:7">
      <c r="B378" s="220"/>
      <c r="C378" s="33"/>
      <c r="D378" s="223"/>
      <c r="E378" s="224"/>
      <c r="F378" s="224"/>
      <c r="G378" s="33"/>
    </row>
    <row r="379" spans="2:7" ht="15.75" thickBot="1">
      <c r="B379" s="221"/>
      <c r="C379" s="34"/>
      <c r="D379" s="221"/>
      <c r="E379" s="225"/>
      <c r="F379" s="225"/>
      <c r="G379" s="34"/>
    </row>
    <row r="380" spans="2:7" ht="15.75" thickBot="1">
      <c r="B380" s="221">
        <f>SUM(B366:B379)</f>
        <v>70</v>
      </c>
      <c r="C380" s="34" t="s">
        <v>66</v>
      </c>
      <c r="D380" s="221">
        <f>SUM(D366:D379)</f>
        <v>4.55</v>
      </c>
      <c r="E380" s="221">
        <f>SUM(E366:E379)</f>
        <v>0</v>
      </c>
      <c r="F380" s="221">
        <f>SUM(F366:F379)</f>
        <v>28.85</v>
      </c>
      <c r="G380" s="34" t="s">
        <v>66</v>
      </c>
    </row>
    <row r="381" spans="2:7" ht="15.75" thickBot="1">
      <c r="B381" s="5"/>
      <c r="C381" s="3"/>
      <c r="D381" s="5"/>
      <c r="E381" s="5"/>
    </row>
    <row r="382" spans="2:7" ht="14.45" customHeight="1">
      <c r="B382" s="289" t="str">
        <f>'2018'!A39</f>
        <v>Dreamed Holidays</v>
      </c>
      <c r="C382" s="290"/>
      <c r="D382" s="290"/>
      <c r="E382" s="290"/>
      <c r="F382" s="290"/>
      <c r="G382" s="291"/>
    </row>
    <row r="383" spans="2:7" ht="15" customHeight="1" thickBot="1">
      <c r="B383" s="292"/>
      <c r="C383" s="293"/>
      <c r="D383" s="293"/>
      <c r="E383" s="293"/>
      <c r="F383" s="293"/>
      <c r="G383" s="294"/>
    </row>
    <row r="384" spans="2:7">
      <c r="B384" s="297" t="s">
        <v>10</v>
      </c>
      <c r="C384" s="296"/>
      <c r="D384" s="295" t="s">
        <v>11</v>
      </c>
      <c r="E384" s="295"/>
      <c r="F384" s="295"/>
      <c r="G384" s="296"/>
    </row>
    <row r="385" spans="2:7">
      <c r="B385" s="218" t="s">
        <v>32</v>
      </c>
      <c r="C385" s="60" t="s">
        <v>33</v>
      </c>
      <c r="D385" s="218" t="s">
        <v>68</v>
      </c>
      <c r="E385" s="222" t="s">
        <v>69</v>
      </c>
      <c r="F385" s="222" t="s">
        <v>32</v>
      </c>
      <c r="G385" s="60" t="s">
        <v>33</v>
      </c>
    </row>
    <row r="386" spans="2:7">
      <c r="B386" s="219">
        <v>20</v>
      </c>
      <c r="C386" s="36"/>
      <c r="D386" s="223"/>
      <c r="E386" s="224"/>
      <c r="F386" s="224"/>
      <c r="G386" s="33"/>
    </row>
    <row r="387" spans="2:7">
      <c r="B387" s="220"/>
      <c r="C387" s="33"/>
      <c r="D387" s="223"/>
      <c r="E387" s="224"/>
      <c r="F387" s="224"/>
      <c r="G387" s="33"/>
    </row>
    <row r="388" spans="2:7">
      <c r="B388" s="220"/>
      <c r="C388" s="33"/>
      <c r="D388" s="223"/>
      <c r="E388" s="224"/>
      <c r="F388" s="224"/>
      <c r="G388" s="33"/>
    </row>
    <row r="389" spans="2:7">
      <c r="B389" s="220"/>
      <c r="C389" s="33"/>
      <c r="D389" s="223"/>
      <c r="E389" s="224"/>
      <c r="F389" s="224"/>
      <c r="G389" s="33"/>
    </row>
    <row r="390" spans="2:7">
      <c r="B390" s="220"/>
      <c r="C390" s="33"/>
      <c r="D390" s="223"/>
      <c r="E390" s="224"/>
      <c r="F390" s="224"/>
      <c r="G390" s="33"/>
    </row>
    <row r="391" spans="2:7">
      <c r="B391" s="220"/>
      <c r="C391" s="33"/>
      <c r="D391" s="223"/>
      <c r="E391" s="224"/>
      <c r="F391" s="224"/>
      <c r="G391" s="33"/>
    </row>
    <row r="392" spans="2:7">
      <c r="B392" s="220"/>
      <c r="C392" s="33"/>
      <c r="D392" s="223"/>
      <c r="E392" s="224"/>
      <c r="F392" s="224"/>
      <c r="G392" s="33"/>
    </row>
    <row r="393" spans="2:7">
      <c r="B393" s="220"/>
      <c r="C393" s="33"/>
      <c r="D393" s="223"/>
      <c r="E393" s="224"/>
      <c r="F393" s="224"/>
      <c r="G393" s="33"/>
    </row>
    <row r="394" spans="2:7">
      <c r="B394" s="220"/>
      <c r="C394" s="33"/>
      <c r="D394" s="223"/>
      <c r="E394" s="224"/>
      <c r="F394" s="224"/>
      <c r="G394" s="33"/>
    </row>
    <row r="395" spans="2:7">
      <c r="B395" s="220"/>
      <c r="C395" s="33"/>
      <c r="D395" s="223"/>
      <c r="E395" s="224"/>
      <c r="F395" s="224"/>
      <c r="G395" s="33"/>
    </row>
    <row r="396" spans="2:7">
      <c r="B396" s="220"/>
      <c r="C396" s="33"/>
      <c r="D396" s="223"/>
      <c r="E396" s="224"/>
      <c r="F396" s="224"/>
      <c r="G396" s="33"/>
    </row>
    <row r="397" spans="2:7">
      <c r="B397" s="220"/>
      <c r="C397" s="33"/>
      <c r="D397" s="223"/>
      <c r="E397" s="224"/>
      <c r="F397" s="224"/>
      <c r="G397" s="33"/>
    </row>
    <row r="398" spans="2:7">
      <c r="B398" s="220"/>
      <c r="C398" s="33"/>
      <c r="D398" s="223"/>
      <c r="E398" s="224"/>
      <c r="F398" s="224"/>
      <c r="G398" s="33"/>
    </row>
    <row r="399" spans="2:7" ht="15.75" thickBot="1">
      <c r="B399" s="221"/>
      <c r="C399" s="34"/>
      <c r="D399" s="221"/>
      <c r="E399" s="225"/>
      <c r="F399" s="225"/>
      <c r="G399" s="34"/>
    </row>
    <row r="400" spans="2:7" ht="15.75" thickBot="1">
      <c r="B400" s="221">
        <f>SUM(B386:B399)</f>
        <v>20</v>
      </c>
      <c r="C400" s="34" t="s">
        <v>66</v>
      </c>
      <c r="D400" s="221">
        <f>SUM(D386:D399)</f>
        <v>0</v>
      </c>
      <c r="E400" s="221">
        <f>SUM(E386:E399)</f>
        <v>0</v>
      </c>
      <c r="F400" s="221">
        <f>SUM(F386:F399)</f>
        <v>0</v>
      </c>
      <c r="G400" s="34" t="s">
        <v>66</v>
      </c>
    </row>
    <row r="401" spans="2:7" ht="15.75" thickBot="1">
      <c r="B401" s="5"/>
      <c r="C401" s="3"/>
      <c r="D401" s="5"/>
      <c r="E401" s="5"/>
    </row>
    <row r="402" spans="2:7" ht="14.45" customHeight="1">
      <c r="B402" s="289" t="str">
        <f>'2018'!A40</f>
        <v>Financieros</v>
      </c>
      <c r="C402" s="290"/>
      <c r="D402" s="290"/>
      <c r="E402" s="290"/>
      <c r="F402" s="290"/>
      <c r="G402" s="291"/>
    </row>
    <row r="403" spans="2:7" ht="15" customHeight="1" thickBot="1">
      <c r="B403" s="292"/>
      <c r="C403" s="293"/>
      <c r="D403" s="293"/>
      <c r="E403" s="293"/>
      <c r="F403" s="293"/>
      <c r="G403" s="294"/>
    </row>
    <row r="404" spans="2:7">
      <c r="B404" s="297" t="s">
        <v>10</v>
      </c>
      <c r="C404" s="296"/>
      <c r="D404" s="295" t="s">
        <v>11</v>
      </c>
      <c r="E404" s="295"/>
      <c r="F404" s="295"/>
      <c r="G404" s="296"/>
    </row>
    <row r="405" spans="2:7">
      <c r="B405" s="218" t="s">
        <v>32</v>
      </c>
      <c r="C405" s="60" t="s">
        <v>33</v>
      </c>
      <c r="D405" s="218" t="s">
        <v>68</v>
      </c>
      <c r="E405" s="222" t="s">
        <v>69</v>
      </c>
      <c r="F405" s="222" t="s">
        <v>32</v>
      </c>
      <c r="G405" s="60" t="s">
        <v>33</v>
      </c>
    </row>
    <row r="406" spans="2:7">
      <c r="B406" s="219">
        <v>10</v>
      </c>
      <c r="C406" s="36"/>
      <c r="D406" s="223"/>
      <c r="E406" s="224">
        <v>20</v>
      </c>
      <c r="F406" s="224"/>
      <c r="G406" s="33" t="s">
        <v>687</v>
      </c>
    </row>
    <row r="407" spans="2:7">
      <c r="B407" s="220"/>
      <c r="C407" s="33"/>
      <c r="D407" s="223"/>
      <c r="E407" s="224"/>
      <c r="F407" s="224"/>
      <c r="G407" s="33"/>
    </row>
    <row r="408" spans="2:7">
      <c r="B408" s="220"/>
      <c r="C408" s="33"/>
      <c r="D408" s="223"/>
      <c r="E408" s="224"/>
      <c r="F408" s="224"/>
      <c r="G408" s="33"/>
    </row>
    <row r="409" spans="2:7">
      <c r="B409" s="220"/>
      <c r="C409" s="33"/>
      <c r="D409" s="223"/>
      <c r="E409" s="224"/>
      <c r="F409" s="224"/>
      <c r="G409" s="33"/>
    </row>
    <row r="410" spans="2:7">
      <c r="B410" s="220"/>
      <c r="C410" s="33"/>
      <c r="D410" s="223"/>
      <c r="E410" s="224"/>
      <c r="F410" s="224"/>
      <c r="G410" s="33"/>
    </row>
    <row r="411" spans="2:7">
      <c r="B411" s="220"/>
      <c r="C411" s="33"/>
      <c r="D411" s="223"/>
      <c r="E411" s="224"/>
      <c r="F411" s="224"/>
      <c r="G411" s="33"/>
    </row>
    <row r="412" spans="2:7">
      <c r="B412" s="220"/>
      <c r="C412" s="33"/>
      <c r="D412" s="223"/>
      <c r="E412" s="224"/>
      <c r="F412" s="224"/>
      <c r="G412" s="33"/>
    </row>
    <row r="413" spans="2:7">
      <c r="B413" s="220"/>
      <c r="C413" s="33"/>
      <c r="D413" s="223"/>
      <c r="E413" s="224"/>
      <c r="F413" s="224"/>
      <c r="G413" s="33"/>
    </row>
    <row r="414" spans="2:7">
      <c r="B414" s="220"/>
      <c r="C414" s="33"/>
      <c r="D414" s="223"/>
      <c r="E414" s="224"/>
      <c r="F414" s="224"/>
      <c r="G414" s="33"/>
    </row>
    <row r="415" spans="2:7">
      <c r="B415" s="220"/>
      <c r="C415" s="33"/>
      <c r="D415" s="223"/>
      <c r="E415" s="224"/>
      <c r="F415" s="224"/>
      <c r="G415" s="33"/>
    </row>
    <row r="416" spans="2:7">
      <c r="B416" s="220"/>
      <c r="C416" s="33"/>
      <c r="D416" s="223"/>
      <c r="E416" s="224"/>
      <c r="F416" s="224"/>
      <c r="G416" s="33"/>
    </row>
    <row r="417" spans="1:7">
      <c r="B417" s="220"/>
      <c r="C417" s="33"/>
      <c r="D417" s="223"/>
      <c r="E417" s="224"/>
      <c r="F417" s="224"/>
      <c r="G417" s="33"/>
    </row>
    <row r="418" spans="1:7">
      <c r="B418" s="220"/>
      <c r="C418" s="33"/>
      <c r="D418" s="223"/>
      <c r="E418" s="224"/>
      <c r="F418" s="224"/>
      <c r="G418" s="33"/>
    </row>
    <row r="419" spans="1:7" ht="15.75" thickBot="1">
      <c r="B419" s="221"/>
      <c r="C419" s="34"/>
      <c r="D419" s="221"/>
      <c r="E419" s="225"/>
      <c r="F419" s="225"/>
      <c r="G419" s="34"/>
    </row>
    <row r="420" spans="1:7" ht="15.75" thickBot="1">
      <c r="B420" s="221">
        <f>SUM(B406:B419)</f>
        <v>10</v>
      </c>
      <c r="C420" s="34" t="s">
        <v>66</v>
      </c>
      <c r="D420" s="221">
        <f>SUM(D406:D419)</f>
        <v>0</v>
      </c>
      <c r="E420" s="221">
        <f>SUM(E406:E419)</f>
        <v>20</v>
      </c>
      <c r="F420" s="221">
        <f>SUM(F406:F419)</f>
        <v>0</v>
      </c>
      <c r="G420" s="34" t="s">
        <v>66</v>
      </c>
    </row>
    <row r="421" spans="1:7" ht="15.75" thickBot="1">
      <c r="B421" s="5"/>
      <c r="C421" s="3"/>
      <c r="D421" s="5"/>
      <c r="E421" s="5"/>
    </row>
    <row r="422" spans="1:7" ht="14.45" customHeight="1">
      <c r="B422" s="289" t="str">
        <f>'2018'!A41</f>
        <v>Ahorros Colchón</v>
      </c>
      <c r="C422" s="290"/>
      <c r="D422" s="290"/>
      <c r="E422" s="290"/>
      <c r="F422" s="290"/>
      <c r="G422" s="291"/>
    </row>
    <row r="423" spans="1:7" ht="15" customHeight="1" thickBot="1">
      <c r="B423" s="292"/>
      <c r="C423" s="293"/>
      <c r="D423" s="293"/>
      <c r="E423" s="293"/>
      <c r="F423" s="293"/>
      <c r="G423" s="294"/>
    </row>
    <row r="424" spans="1:7">
      <c r="B424" s="297" t="s">
        <v>10</v>
      </c>
      <c r="C424" s="296"/>
      <c r="D424" s="295" t="s">
        <v>11</v>
      </c>
      <c r="E424" s="295"/>
      <c r="F424" s="295"/>
      <c r="G424" s="296"/>
    </row>
    <row r="425" spans="1:7">
      <c r="A425" s="137" t="s">
        <v>701</v>
      </c>
      <c r="B425" s="218" t="s">
        <v>32</v>
      </c>
      <c r="C425" s="60" t="s">
        <v>33</v>
      </c>
      <c r="D425" s="218" t="s">
        <v>68</v>
      </c>
      <c r="E425" s="222" t="s">
        <v>69</v>
      </c>
      <c r="F425" s="222" t="s">
        <v>32</v>
      </c>
      <c r="G425" s="60" t="s">
        <v>33</v>
      </c>
    </row>
    <row r="426" spans="1:7">
      <c r="A426" s="137">
        <v>3928.2</v>
      </c>
      <c r="B426" s="220">
        <f>'2018'!AM17 -A426</f>
        <v>-172.79999999999927</v>
      </c>
      <c r="C426" s="36" t="s">
        <v>559</v>
      </c>
      <c r="D426" s="223"/>
      <c r="E426" s="224"/>
      <c r="F426" s="224"/>
      <c r="G426" s="33"/>
    </row>
    <row r="427" spans="1:7">
      <c r="B427" s="220"/>
      <c r="C427" s="33"/>
      <c r="D427" s="223"/>
      <c r="E427" s="224"/>
      <c r="F427" s="224"/>
      <c r="G427" s="33"/>
    </row>
    <row r="428" spans="1:7">
      <c r="A428" s="164"/>
      <c r="B428" s="220"/>
      <c r="C428" s="33"/>
      <c r="D428" s="223"/>
      <c r="E428" s="224"/>
      <c r="F428" s="224"/>
      <c r="G428" s="33"/>
    </row>
    <row r="429" spans="1:7">
      <c r="B429" s="220"/>
      <c r="C429" s="33"/>
      <c r="D429" s="223"/>
      <c r="E429" s="224"/>
      <c r="F429" s="224"/>
      <c r="G429" s="33"/>
    </row>
    <row r="430" spans="1:7">
      <c r="B430" s="220"/>
      <c r="C430" s="33"/>
      <c r="D430" s="223"/>
      <c r="E430" s="224"/>
      <c r="F430" s="224"/>
      <c r="G430" s="33"/>
    </row>
    <row r="431" spans="1:7">
      <c r="B431" s="220"/>
      <c r="C431" s="33"/>
      <c r="D431" s="223"/>
      <c r="E431" s="224"/>
      <c r="F431" s="224"/>
      <c r="G431" s="33"/>
    </row>
    <row r="432" spans="1:7">
      <c r="B432" s="220"/>
      <c r="C432" s="33"/>
      <c r="D432" s="223"/>
      <c r="E432" s="224"/>
      <c r="F432" s="224"/>
      <c r="G432" s="33"/>
    </row>
    <row r="433" spans="2:7">
      <c r="B433" s="220"/>
      <c r="C433" s="33"/>
      <c r="D433" s="223"/>
      <c r="E433" s="224"/>
      <c r="F433" s="224"/>
      <c r="G433" s="33"/>
    </row>
    <row r="434" spans="2:7">
      <c r="B434" s="220"/>
      <c r="C434" s="33"/>
      <c r="D434" s="223"/>
      <c r="E434" s="224"/>
      <c r="F434" s="224"/>
      <c r="G434" s="33"/>
    </row>
    <row r="435" spans="2:7">
      <c r="B435" s="220"/>
      <c r="C435" s="33"/>
      <c r="D435" s="223"/>
      <c r="E435" s="224"/>
      <c r="F435" s="224"/>
      <c r="G435" s="33"/>
    </row>
    <row r="436" spans="2:7">
      <c r="B436" s="220"/>
      <c r="C436" s="33"/>
      <c r="D436" s="223"/>
      <c r="E436" s="224"/>
      <c r="F436" s="224"/>
      <c r="G436" s="33"/>
    </row>
    <row r="437" spans="2:7">
      <c r="B437" s="220"/>
      <c r="C437" s="33"/>
      <c r="D437" s="223"/>
      <c r="E437" s="224"/>
      <c r="F437" s="224"/>
      <c r="G437" s="33"/>
    </row>
    <row r="438" spans="2:7">
      <c r="B438" s="220"/>
      <c r="C438" s="33"/>
      <c r="D438" s="223"/>
      <c r="E438" s="224"/>
      <c r="F438" s="224"/>
      <c r="G438" s="33"/>
    </row>
    <row r="439" spans="2:7" ht="15.75" thickBot="1">
      <c r="B439" s="221"/>
      <c r="C439" s="34"/>
      <c r="D439" s="221"/>
      <c r="E439" s="225"/>
      <c r="F439" s="225"/>
      <c r="G439" s="34"/>
    </row>
    <row r="440" spans="2:7" ht="15.75" thickBot="1">
      <c r="B440" s="221">
        <f>SUM(B426:B439)</f>
        <v>-172.79999999999927</v>
      </c>
      <c r="C440" s="34" t="s">
        <v>66</v>
      </c>
      <c r="D440" s="221">
        <f>SUM(D426:D439)</f>
        <v>0</v>
      </c>
      <c r="E440" s="221">
        <f>SUM(E426:E439)</f>
        <v>0</v>
      </c>
      <c r="F440" s="221">
        <f>SUM(F426:F439)</f>
        <v>0</v>
      </c>
      <c r="G440" s="34" t="s">
        <v>66</v>
      </c>
    </row>
    <row r="441" spans="2:7" ht="15.75" thickBot="1">
      <c r="B441" s="5"/>
      <c r="C441" s="3"/>
      <c r="D441" s="5"/>
      <c r="E441" s="5"/>
    </row>
    <row r="442" spans="2:7" ht="14.45" customHeight="1">
      <c r="B442" s="289" t="str">
        <f>'2018'!A42</f>
        <v>Dinero Bloqueado</v>
      </c>
      <c r="C442" s="307"/>
      <c r="D442" s="307"/>
      <c r="E442" s="307"/>
      <c r="F442" s="307"/>
      <c r="G442" s="308"/>
    </row>
    <row r="443" spans="2:7" ht="15" customHeight="1" thickBot="1">
      <c r="B443" s="309"/>
      <c r="C443" s="310"/>
      <c r="D443" s="310"/>
      <c r="E443" s="310"/>
      <c r="F443" s="310"/>
      <c r="G443" s="311"/>
    </row>
    <row r="444" spans="2:7">
      <c r="B444" s="297" t="s">
        <v>10</v>
      </c>
      <c r="C444" s="296"/>
      <c r="D444" s="295" t="s">
        <v>11</v>
      </c>
      <c r="E444" s="295"/>
      <c r="F444" s="295"/>
      <c r="G444" s="296"/>
    </row>
    <row r="445" spans="2:7">
      <c r="B445" s="218" t="s">
        <v>32</v>
      </c>
      <c r="C445" s="60" t="s">
        <v>33</v>
      </c>
      <c r="D445" s="218" t="s">
        <v>68</v>
      </c>
      <c r="E445" s="222" t="s">
        <v>69</v>
      </c>
      <c r="F445" s="222" t="s">
        <v>32</v>
      </c>
      <c r="G445" s="60" t="s">
        <v>33</v>
      </c>
    </row>
    <row r="446" spans="2:7">
      <c r="B446" s="219"/>
      <c r="C446" s="36"/>
      <c r="D446" s="223"/>
      <c r="E446" s="224"/>
      <c r="F446" s="224"/>
      <c r="G446" s="33"/>
    </row>
    <row r="447" spans="2:7">
      <c r="B447" s="220"/>
      <c r="C447" s="33"/>
      <c r="D447" s="223"/>
      <c r="E447" s="224"/>
      <c r="F447" s="224"/>
      <c r="G447" s="33"/>
    </row>
    <row r="448" spans="2:7">
      <c r="B448" s="220"/>
      <c r="C448" s="33"/>
      <c r="D448" s="223"/>
      <c r="E448" s="224"/>
      <c r="F448" s="224"/>
      <c r="G448" s="33"/>
    </row>
    <row r="449" spans="2:7">
      <c r="B449" s="220"/>
      <c r="C449" s="33"/>
      <c r="D449" s="223"/>
      <c r="E449" s="224"/>
      <c r="F449" s="224"/>
      <c r="G449" s="33"/>
    </row>
    <row r="450" spans="2:7">
      <c r="B450" s="220"/>
      <c r="C450" s="33"/>
      <c r="D450" s="223"/>
      <c r="E450" s="224"/>
      <c r="F450" s="224"/>
      <c r="G450" s="33"/>
    </row>
    <row r="451" spans="2:7">
      <c r="B451" s="220"/>
      <c r="C451" s="33"/>
      <c r="D451" s="223"/>
      <c r="E451" s="224"/>
      <c r="F451" s="224"/>
      <c r="G451" s="33"/>
    </row>
    <row r="452" spans="2:7">
      <c r="B452" s="220"/>
      <c r="C452" s="33"/>
      <c r="D452" s="223"/>
      <c r="E452" s="224"/>
      <c r="F452" s="224"/>
      <c r="G452" s="33"/>
    </row>
    <row r="453" spans="2:7">
      <c r="B453" s="220"/>
      <c r="C453" s="33"/>
      <c r="D453" s="223"/>
      <c r="E453" s="224"/>
      <c r="F453" s="224"/>
      <c r="G453" s="33"/>
    </row>
    <row r="454" spans="2:7">
      <c r="B454" s="220"/>
      <c r="C454" s="33"/>
      <c r="D454" s="223"/>
      <c r="E454" s="224"/>
      <c r="F454" s="224"/>
      <c r="G454" s="33"/>
    </row>
    <row r="455" spans="2:7">
      <c r="B455" s="220"/>
      <c r="C455" s="33"/>
      <c r="D455" s="223"/>
      <c r="E455" s="224"/>
      <c r="F455" s="224"/>
      <c r="G455" s="33"/>
    </row>
    <row r="456" spans="2:7">
      <c r="B456" s="220"/>
      <c r="C456" s="33"/>
      <c r="D456" s="223"/>
      <c r="E456" s="224"/>
      <c r="F456" s="224"/>
      <c r="G456" s="33"/>
    </row>
    <row r="457" spans="2:7">
      <c r="B457" s="220"/>
      <c r="C457" s="33"/>
      <c r="D457" s="223"/>
      <c r="E457" s="224"/>
      <c r="F457" s="224"/>
      <c r="G457" s="33"/>
    </row>
    <row r="458" spans="2:7">
      <c r="B458" s="220"/>
      <c r="C458" s="33"/>
      <c r="D458" s="223"/>
      <c r="E458" s="224"/>
      <c r="F458" s="224"/>
      <c r="G458" s="33"/>
    </row>
    <row r="459" spans="2:7" ht="15.75" thickBot="1">
      <c r="B459" s="221"/>
      <c r="C459" s="34"/>
      <c r="D459" s="221"/>
      <c r="E459" s="225"/>
      <c r="F459" s="225"/>
      <c r="G459" s="34"/>
    </row>
    <row r="460" spans="2:7" ht="15.75" thickBot="1">
      <c r="B460" s="221">
        <f>SUM(B446:B459)</f>
        <v>0</v>
      </c>
      <c r="C460" s="34" t="s">
        <v>66</v>
      </c>
      <c r="D460" s="221">
        <f>SUM(D446:D459)</f>
        <v>0</v>
      </c>
      <c r="E460" s="221">
        <f>SUM(E446:E459)</f>
        <v>0</v>
      </c>
      <c r="F460" s="221">
        <f>SUM(F446:F459)</f>
        <v>0</v>
      </c>
      <c r="G460" s="34" t="s">
        <v>66</v>
      </c>
    </row>
    <row r="461" spans="2:7" ht="15.75" thickBot="1">
      <c r="B461" s="5"/>
      <c r="C461" s="3"/>
      <c r="D461" s="5"/>
      <c r="E461" s="5"/>
    </row>
    <row r="462" spans="2:7" ht="14.45" customHeight="1">
      <c r="B462" s="289" t="str">
        <f>'2018'!A43</f>
        <v>Cartama Finanazas</v>
      </c>
      <c r="C462" s="307"/>
      <c r="D462" s="307"/>
      <c r="E462" s="307"/>
      <c r="F462" s="307"/>
      <c r="G462" s="308"/>
    </row>
    <row r="463" spans="2:7" ht="15" customHeight="1" thickBot="1">
      <c r="B463" s="309"/>
      <c r="C463" s="310"/>
      <c r="D463" s="310"/>
      <c r="E463" s="310"/>
      <c r="F463" s="310"/>
      <c r="G463" s="311"/>
    </row>
    <row r="464" spans="2:7">
      <c r="B464" s="297" t="s">
        <v>10</v>
      </c>
      <c r="C464" s="296"/>
      <c r="D464" s="295" t="s">
        <v>11</v>
      </c>
      <c r="E464" s="295"/>
      <c r="F464" s="295"/>
      <c r="G464" s="296"/>
    </row>
    <row r="465" spans="1:7">
      <c r="A465" s="137" t="s">
        <v>608</v>
      </c>
      <c r="B465" s="218" t="s">
        <v>32</v>
      </c>
      <c r="C465" s="60" t="s">
        <v>33</v>
      </c>
      <c r="D465" s="218" t="s">
        <v>68</v>
      </c>
      <c r="E465" s="222" t="s">
        <v>69</v>
      </c>
      <c r="F465" s="222" t="s">
        <v>32</v>
      </c>
      <c r="G465" s="60" t="s">
        <v>33</v>
      </c>
    </row>
    <row r="466" spans="1:7" ht="15.75">
      <c r="A466" s="163">
        <f>'09'!A466+B466-E466</f>
        <v>296</v>
      </c>
      <c r="B466" s="220">
        <v>25</v>
      </c>
      <c r="C466" s="33" t="s">
        <v>484</v>
      </c>
      <c r="D466" s="223"/>
      <c r="E466" s="224"/>
      <c r="F466" s="224"/>
      <c r="G466" s="33"/>
    </row>
    <row r="467" spans="1:7" ht="15.75">
      <c r="A467" s="163">
        <f>'09'!A467+B467-E467</f>
        <v>15</v>
      </c>
      <c r="B467" s="220">
        <v>15</v>
      </c>
      <c r="C467" s="33" t="s">
        <v>609</v>
      </c>
      <c r="D467" s="223"/>
      <c r="E467" s="224"/>
      <c r="F467" s="224"/>
      <c r="G467" s="33"/>
    </row>
    <row r="468" spans="1:7" ht="15.75">
      <c r="A468" s="163">
        <f>'09'!A468+B468-E468</f>
        <v>5</v>
      </c>
      <c r="B468" s="220">
        <v>5</v>
      </c>
      <c r="C468" s="33" t="s">
        <v>610</v>
      </c>
      <c r="D468" s="223"/>
      <c r="E468" s="224"/>
      <c r="F468" s="224"/>
      <c r="G468" s="33"/>
    </row>
    <row r="469" spans="1:7">
      <c r="B469" s="220"/>
      <c r="C469" s="33"/>
      <c r="D469" s="223"/>
      <c r="E469" s="224"/>
      <c r="F469" s="224"/>
      <c r="G469" s="33"/>
    </row>
    <row r="470" spans="1:7">
      <c r="B470" s="220"/>
      <c r="C470" s="33"/>
      <c r="D470" s="223"/>
      <c r="E470" s="224"/>
      <c r="F470" s="224"/>
      <c r="G470" s="33"/>
    </row>
    <row r="471" spans="1:7">
      <c r="B471" s="220"/>
      <c r="C471" s="33"/>
      <c r="D471" s="223"/>
      <c r="E471" s="224"/>
      <c r="F471" s="224"/>
      <c r="G471" s="33"/>
    </row>
    <row r="472" spans="1:7">
      <c r="B472" s="220"/>
      <c r="C472" s="33"/>
      <c r="D472" s="223"/>
      <c r="E472" s="224"/>
      <c r="F472" s="224"/>
      <c r="G472" s="33"/>
    </row>
    <row r="473" spans="1:7">
      <c r="B473" s="220"/>
      <c r="C473" s="33"/>
      <c r="D473" s="223"/>
      <c r="E473" s="224"/>
      <c r="F473" s="224"/>
      <c r="G473" s="33"/>
    </row>
    <row r="474" spans="1:7">
      <c r="B474" s="220"/>
      <c r="C474" s="33"/>
      <c r="D474" s="223"/>
      <c r="E474" s="224"/>
      <c r="F474" s="224"/>
      <c r="G474" s="33"/>
    </row>
    <row r="475" spans="1:7">
      <c r="B475" s="220"/>
      <c r="C475" s="33"/>
      <c r="D475" s="223"/>
      <c r="E475" s="224"/>
      <c r="F475" s="224"/>
      <c r="G475" s="33"/>
    </row>
    <row r="476" spans="1:7">
      <c r="B476" s="220"/>
      <c r="C476" s="33"/>
      <c r="D476" s="223"/>
      <c r="E476" s="224"/>
      <c r="F476" s="224"/>
      <c r="G476" s="33"/>
    </row>
    <row r="477" spans="1:7">
      <c r="B477" s="220"/>
      <c r="C477" s="33"/>
      <c r="D477" s="223"/>
      <c r="E477" s="224"/>
      <c r="F477" s="224"/>
      <c r="G477" s="33"/>
    </row>
    <row r="478" spans="1:7">
      <c r="B478" s="220"/>
      <c r="C478" s="33"/>
      <c r="D478" s="223"/>
      <c r="E478" s="224"/>
      <c r="F478" s="224"/>
      <c r="G478" s="33"/>
    </row>
    <row r="479" spans="1:7" ht="15.75" thickBot="1">
      <c r="B479" s="221"/>
      <c r="C479" s="34"/>
      <c r="D479" s="221"/>
      <c r="E479" s="225"/>
      <c r="F479" s="225"/>
      <c r="G479" s="34"/>
    </row>
    <row r="480" spans="1:7" ht="15.75" thickBot="1">
      <c r="A480" s="164">
        <f>SUM(A466:A468)</f>
        <v>316</v>
      </c>
      <c r="B480" s="221">
        <f>SUM(B466:B479)</f>
        <v>45</v>
      </c>
      <c r="C480" s="34" t="s">
        <v>66</v>
      </c>
      <c r="D480" s="221">
        <f>SUM(D466:D479)</f>
        <v>0</v>
      </c>
      <c r="E480" s="221">
        <f>SUM(E466:E479)</f>
        <v>0</v>
      </c>
      <c r="F480" s="221">
        <f>SUM(F466:F479)</f>
        <v>0</v>
      </c>
      <c r="G480" s="34" t="s">
        <v>66</v>
      </c>
    </row>
    <row r="481" spans="2:7" ht="15.75" thickBot="1"/>
    <row r="482" spans="2:7" ht="14.45" customHeight="1">
      <c r="B482" s="289" t="str">
        <f>'2018'!A44</f>
        <v>NULO</v>
      </c>
      <c r="C482" s="307"/>
      <c r="D482" s="307"/>
      <c r="E482" s="307"/>
      <c r="F482" s="307"/>
      <c r="G482" s="308"/>
    </row>
    <row r="483" spans="2:7" ht="15" customHeight="1" thickBot="1">
      <c r="B483" s="309"/>
      <c r="C483" s="310"/>
      <c r="D483" s="310"/>
      <c r="E483" s="310"/>
      <c r="F483" s="310"/>
      <c r="G483" s="311"/>
    </row>
    <row r="484" spans="2:7">
      <c r="B484" s="297" t="s">
        <v>10</v>
      </c>
      <c r="C484" s="296"/>
      <c r="D484" s="295" t="s">
        <v>11</v>
      </c>
      <c r="E484" s="295"/>
      <c r="F484" s="295"/>
      <c r="G484" s="296"/>
    </row>
    <row r="485" spans="2:7">
      <c r="B485" s="218" t="s">
        <v>32</v>
      </c>
      <c r="C485" s="60" t="s">
        <v>33</v>
      </c>
      <c r="D485" s="218" t="s">
        <v>68</v>
      </c>
      <c r="E485" s="222" t="s">
        <v>69</v>
      </c>
      <c r="F485" s="222" t="s">
        <v>32</v>
      </c>
      <c r="G485" s="60" t="s">
        <v>33</v>
      </c>
    </row>
    <row r="486" spans="2:7">
      <c r="B486" s="219"/>
      <c r="C486" s="36"/>
      <c r="D486" s="223"/>
      <c r="E486" s="224"/>
      <c r="F486" s="224"/>
      <c r="G486" s="33"/>
    </row>
    <row r="487" spans="2:7">
      <c r="B487" s="220"/>
      <c r="C487" s="33"/>
      <c r="D487" s="223"/>
      <c r="E487" s="224"/>
      <c r="F487" s="224"/>
      <c r="G487" s="33"/>
    </row>
    <row r="488" spans="2:7">
      <c r="B488" s="220"/>
      <c r="C488" s="33"/>
      <c r="D488" s="223"/>
      <c r="E488" s="224"/>
      <c r="F488" s="224"/>
      <c r="G488" s="33"/>
    </row>
    <row r="489" spans="2:7">
      <c r="B489" s="220"/>
      <c r="C489" s="33"/>
      <c r="D489" s="223"/>
      <c r="E489" s="224"/>
      <c r="F489" s="224"/>
      <c r="G489" s="33"/>
    </row>
    <row r="490" spans="2:7">
      <c r="B490" s="220"/>
      <c r="C490" s="33"/>
      <c r="D490" s="223"/>
      <c r="E490" s="224"/>
      <c r="F490" s="224"/>
      <c r="G490" s="33"/>
    </row>
    <row r="491" spans="2:7">
      <c r="B491" s="220"/>
      <c r="C491" s="33"/>
      <c r="D491" s="223"/>
      <c r="E491" s="224"/>
      <c r="F491" s="224"/>
      <c r="G491" s="33"/>
    </row>
    <row r="492" spans="2:7">
      <c r="B492" s="220"/>
      <c r="C492" s="33"/>
      <c r="D492" s="223"/>
      <c r="E492" s="224"/>
      <c r="F492" s="224"/>
      <c r="G492" s="33"/>
    </row>
    <row r="493" spans="2:7">
      <c r="B493" s="220"/>
      <c r="C493" s="33"/>
      <c r="D493" s="223"/>
      <c r="E493" s="224"/>
      <c r="F493" s="224"/>
      <c r="G493" s="33"/>
    </row>
    <row r="494" spans="2:7">
      <c r="B494" s="220"/>
      <c r="C494" s="33"/>
      <c r="D494" s="223"/>
      <c r="E494" s="224"/>
      <c r="F494" s="224"/>
      <c r="G494" s="33"/>
    </row>
    <row r="495" spans="2:7">
      <c r="B495" s="220"/>
      <c r="C495" s="33"/>
      <c r="D495" s="223"/>
      <c r="E495" s="224"/>
      <c r="F495" s="224"/>
      <c r="G495" s="33"/>
    </row>
    <row r="496" spans="2:7">
      <c r="B496" s="220"/>
      <c r="C496" s="33"/>
      <c r="D496" s="223"/>
      <c r="E496" s="224"/>
      <c r="F496" s="224"/>
      <c r="G496" s="33"/>
    </row>
    <row r="497" spans="2:7">
      <c r="B497" s="220"/>
      <c r="C497" s="33"/>
      <c r="D497" s="223"/>
      <c r="E497" s="224"/>
      <c r="F497" s="224"/>
      <c r="G497" s="33"/>
    </row>
    <row r="498" spans="2:7">
      <c r="B498" s="220"/>
      <c r="C498" s="33"/>
      <c r="D498" s="223"/>
      <c r="E498" s="224"/>
      <c r="F498" s="224"/>
      <c r="G498" s="33"/>
    </row>
    <row r="499" spans="2:7" ht="15.75" thickBot="1">
      <c r="B499" s="221"/>
      <c r="C499" s="34"/>
      <c r="D499" s="221"/>
      <c r="E499" s="225"/>
      <c r="F499" s="225"/>
      <c r="G499" s="34"/>
    </row>
    <row r="500" spans="2:7" ht="15.75" thickBot="1">
      <c r="B500" s="221">
        <f>SUM(B486:B499)</f>
        <v>0</v>
      </c>
      <c r="C500" s="34" t="s">
        <v>66</v>
      </c>
      <c r="D500" s="221">
        <f>SUM(D486:D499)</f>
        <v>0</v>
      </c>
      <c r="E500" s="221">
        <f>SUM(E486:E499)</f>
        <v>0</v>
      </c>
      <c r="F500" s="221">
        <f>SUM(F486:F499)</f>
        <v>0</v>
      </c>
      <c r="G500" s="34" t="s">
        <v>66</v>
      </c>
    </row>
    <row r="501" spans="2:7" ht="15.75" thickBot="1">
      <c r="B501" s="5"/>
      <c r="C501" s="3"/>
      <c r="D501" s="5"/>
      <c r="E501" s="5"/>
    </row>
    <row r="502" spans="2:7" ht="14.45" customHeight="1">
      <c r="B502" s="289" t="str">
        <f>'2018'!A45</f>
        <v>OTROS</v>
      </c>
      <c r="C502" s="307"/>
      <c r="D502" s="307"/>
      <c r="E502" s="307"/>
      <c r="F502" s="307"/>
      <c r="G502" s="308"/>
    </row>
    <row r="503" spans="2:7" ht="15" customHeight="1" thickBot="1">
      <c r="B503" s="309"/>
      <c r="C503" s="310"/>
      <c r="D503" s="310"/>
      <c r="E503" s="310"/>
      <c r="F503" s="310"/>
      <c r="G503" s="311"/>
    </row>
    <row r="504" spans="2:7">
      <c r="B504" s="297" t="s">
        <v>10</v>
      </c>
      <c r="C504" s="296"/>
      <c r="D504" s="295" t="s">
        <v>11</v>
      </c>
      <c r="E504" s="295"/>
      <c r="F504" s="295"/>
      <c r="G504" s="296"/>
    </row>
    <row r="505" spans="2:7">
      <c r="B505" s="218" t="s">
        <v>32</v>
      </c>
      <c r="C505" s="60" t="s">
        <v>33</v>
      </c>
      <c r="D505" s="218" t="s">
        <v>68</v>
      </c>
      <c r="E505" s="222" t="s">
        <v>69</v>
      </c>
      <c r="F505" s="222" t="s">
        <v>32</v>
      </c>
      <c r="G505" s="60" t="s">
        <v>33</v>
      </c>
    </row>
    <row r="506" spans="2:7">
      <c r="B506" s="219"/>
      <c r="C506" s="36"/>
      <c r="D506" s="223"/>
      <c r="E506" s="224"/>
      <c r="F506" s="224"/>
      <c r="G506" s="33"/>
    </row>
    <row r="507" spans="2:7">
      <c r="B507" s="220"/>
      <c r="C507" s="33"/>
      <c r="D507" s="223"/>
      <c r="E507" s="224"/>
      <c r="F507" s="224"/>
      <c r="G507" s="33"/>
    </row>
    <row r="508" spans="2:7">
      <c r="B508" s="220"/>
      <c r="C508" s="33"/>
      <c r="D508" s="223"/>
      <c r="E508" s="224"/>
      <c r="F508" s="224"/>
      <c r="G508" s="33"/>
    </row>
    <row r="509" spans="2:7">
      <c r="B509" s="220"/>
      <c r="C509" s="33"/>
      <c r="D509" s="223"/>
      <c r="E509" s="224"/>
      <c r="F509" s="224"/>
      <c r="G509" s="33"/>
    </row>
    <row r="510" spans="2:7">
      <c r="B510" s="220"/>
      <c r="C510" s="33"/>
      <c r="D510" s="223"/>
      <c r="E510" s="224"/>
      <c r="F510" s="224"/>
      <c r="G510" s="33"/>
    </row>
    <row r="511" spans="2:7">
      <c r="B511" s="220"/>
      <c r="C511" s="33"/>
      <c r="D511" s="223"/>
      <c r="E511" s="224"/>
      <c r="F511" s="224"/>
      <c r="G511" s="33"/>
    </row>
    <row r="512" spans="2:7">
      <c r="B512" s="220"/>
      <c r="C512" s="33"/>
      <c r="D512" s="223"/>
      <c r="E512" s="224"/>
      <c r="F512" s="224"/>
      <c r="G512" s="33"/>
    </row>
    <row r="513" spans="2:7">
      <c r="B513" s="220"/>
      <c r="C513" s="33"/>
      <c r="D513" s="223"/>
      <c r="E513" s="224"/>
      <c r="F513" s="224"/>
      <c r="G513" s="33"/>
    </row>
    <row r="514" spans="2:7">
      <c r="B514" s="220"/>
      <c r="C514" s="33"/>
      <c r="D514" s="223"/>
      <c r="E514" s="224"/>
      <c r="F514" s="224"/>
      <c r="G514" s="33"/>
    </row>
    <row r="515" spans="2:7">
      <c r="B515" s="220"/>
      <c r="C515" s="33"/>
      <c r="D515" s="223"/>
      <c r="E515" s="224"/>
      <c r="F515" s="224"/>
      <c r="G515" s="33"/>
    </row>
    <row r="516" spans="2:7">
      <c r="B516" s="220"/>
      <c r="C516" s="33"/>
      <c r="D516" s="223"/>
      <c r="E516" s="224"/>
      <c r="F516" s="224"/>
      <c r="G516" s="33"/>
    </row>
    <row r="517" spans="2:7">
      <c r="B517" s="220"/>
      <c r="C517" s="33"/>
      <c r="D517" s="223"/>
      <c r="E517" s="224"/>
      <c r="F517" s="224"/>
      <c r="G517" s="33"/>
    </row>
    <row r="518" spans="2:7">
      <c r="B518" s="220"/>
      <c r="C518" s="33"/>
      <c r="D518" s="223"/>
      <c r="E518" s="224"/>
      <c r="F518" s="224"/>
      <c r="G518" s="33"/>
    </row>
    <row r="519" spans="2:7" ht="15.75" thickBot="1">
      <c r="B519" s="221"/>
      <c r="C519" s="34"/>
      <c r="D519" s="221"/>
      <c r="E519" s="225"/>
      <c r="F519" s="225"/>
      <c r="G519" s="34"/>
    </row>
    <row r="520" spans="2:7" ht="15.75" thickBot="1">
      <c r="B520" s="221">
        <f>SUM(B506:B519)</f>
        <v>0</v>
      </c>
      <c r="C520" s="34" t="s">
        <v>66</v>
      </c>
      <c r="D520" s="221">
        <f>SUM(D506:D519)</f>
        <v>0</v>
      </c>
      <c r="E520" s="221">
        <f>SUM(E506:E519)</f>
        <v>0</v>
      </c>
      <c r="F520" s="221">
        <f>SUM(F506:F519)</f>
        <v>0</v>
      </c>
      <c r="G520" s="34" t="s">
        <v>66</v>
      </c>
    </row>
  </sheetData>
  <mergeCells count="111"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A00-000000000000}"/>
    <hyperlink ref="I22" location="Trimestre!C39:F40" display="TELÉFONO" xr:uid="{00000000-0004-0000-0A00-000001000000}"/>
    <hyperlink ref="I22:L23" location="'2018'!AM7:AP7" display="INGRESOS" xr:uid="{00000000-0004-0000-0A00-000002000000}"/>
    <hyperlink ref="B2" location="Trimestre!C25:F26" display="HIPOTECA" xr:uid="{00000000-0004-0000-0A00-000003000000}"/>
    <hyperlink ref="B2:G3" location="'2018'!AM20:AP20" display="'2018'!AM20:AP20" xr:uid="{00000000-0004-0000-0A00-000004000000}"/>
    <hyperlink ref="B22" location="Trimestre!C25:F26" display="HIPOTECA" xr:uid="{00000000-0004-0000-0A00-000005000000}"/>
    <hyperlink ref="B22:G23" location="'2018'!AM21:AP21" display="'2018'!AM21:AP21" xr:uid="{00000000-0004-0000-0A00-000006000000}"/>
    <hyperlink ref="B42" location="Trimestre!C25:F26" display="HIPOTECA" xr:uid="{00000000-0004-0000-0A00-000007000000}"/>
    <hyperlink ref="B42:G43" location="'2018'!AM22:AP22" display="'2018'!AM22:AP22" xr:uid="{00000000-0004-0000-0A00-000008000000}"/>
    <hyperlink ref="B62" location="Trimestre!C25:F26" display="HIPOTECA" xr:uid="{00000000-0004-0000-0A00-000009000000}"/>
    <hyperlink ref="B62:G63" location="'2018'!AM23:AP23" display="'2018'!AM23:AP23" xr:uid="{00000000-0004-0000-0A00-00000A000000}"/>
    <hyperlink ref="B82" location="Trimestre!C25:F26" display="HIPOTECA" xr:uid="{00000000-0004-0000-0A00-00000B000000}"/>
    <hyperlink ref="B82:G83" location="'2018'!AM24:AP24" display="'2018'!AM24:AP24" xr:uid="{00000000-0004-0000-0A00-00000C000000}"/>
    <hyperlink ref="B102" location="Trimestre!C25:F26" display="HIPOTECA" xr:uid="{00000000-0004-0000-0A00-00000D000000}"/>
    <hyperlink ref="B102:G103" location="'2018'!AM25:AP25" display="'2018'!AM25:AP25" xr:uid="{00000000-0004-0000-0A00-00000E000000}"/>
    <hyperlink ref="B122" location="Trimestre!C25:F26" display="HIPOTECA" xr:uid="{00000000-0004-0000-0A00-00000F000000}"/>
    <hyperlink ref="B122:G123" location="'2018'!AM26:AP26" display="'2018'!AM26:AP26" xr:uid="{00000000-0004-0000-0A00-000010000000}"/>
    <hyperlink ref="B142" location="Trimestre!C25:F26" display="HIPOTECA" xr:uid="{00000000-0004-0000-0A00-000011000000}"/>
    <hyperlink ref="B142:G143" location="'2018'!AM27:AP27" display="'2018'!AM27:AP27" xr:uid="{00000000-0004-0000-0A00-000012000000}"/>
    <hyperlink ref="B162" location="Trimestre!C25:F26" display="HIPOTECA" xr:uid="{00000000-0004-0000-0A00-000013000000}"/>
    <hyperlink ref="B162:G163" location="'2018'!AM28:AP28" display="'2018'!AM28:AP28" xr:uid="{00000000-0004-0000-0A00-000014000000}"/>
    <hyperlink ref="B182" location="Trimestre!C25:F26" display="HIPOTECA" xr:uid="{00000000-0004-0000-0A00-000015000000}"/>
    <hyperlink ref="B182:G183" location="'2018'!AM29:AP29" display="'2018'!AM29:AP29" xr:uid="{00000000-0004-0000-0A00-000016000000}"/>
    <hyperlink ref="B202" location="Trimestre!C25:F26" display="HIPOTECA" xr:uid="{00000000-0004-0000-0A00-000017000000}"/>
    <hyperlink ref="B202:G203" location="'2018'!AM30:AP30" display="'2018'!AM30:AP30" xr:uid="{00000000-0004-0000-0A00-000018000000}"/>
    <hyperlink ref="B222" location="Trimestre!C25:F26" display="HIPOTECA" xr:uid="{00000000-0004-0000-0A00-000019000000}"/>
    <hyperlink ref="B222:G223" location="'2018'!AM31:AP31" display="'2018'!AM31:AP31" xr:uid="{00000000-0004-0000-0A00-00001A000000}"/>
    <hyperlink ref="B242" location="Trimestre!C25:F26" display="HIPOTECA" xr:uid="{00000000-0004-0000-0A00-00001B000000}"/>
    <hyperlink ref="B242:G243" location="'2018'!AM32:AP32" display="'2018'!AM32:AP32" xr:uid="{00000000-0004-0000-0A00-00001C000000}"/>
    <hyperlink ref="B262" location="Trimestre!C25:F26" display="HIPOTECA" xr:uid="{00000000-0004-0000-0A00-00001D000000}"/>
    <hyperlink ref="B262:G263" location="'2018'!AM33:AP33" display="'2018'!AM33:AP33" xr:uid="{00000000-0004-0000-0A00-00001E000000}"/>
    <hyperlink ref="B282" location="Trimestre!C25:F26" display="HIPOTECA" xr:uid="{00000000-0004-0000-0A00-00001F000000}"/>
    <hyperlink ref="B282:G283" location="'2018'!AM34:AP34" display="'2018'!AM34:AP34" xr:uid="{00000000-0004-0000-0A00-000020000000}"/>
    <hyperlink ref="B302" location="Trimestre!C25:F26" display="HIPOTECA" xr:uid="{00000000-0004-0000-0A00-000021000000}"/>
    <hyperlink ref="B302:G303" location="'2018'!AM35:AP35" display="'2018'!AM35:AP35" xr:uid="{00000000-0004-0000-0A00-000022000000}"/>
    <hyperlink ref="B322" location="Trimestre!C25:F26" display="HIPOTECA" xr:uid="{00000000-0004-0000-0A00-000023000000}"/>
    <hyperlink ref="B322:G323" location="'2018'!AM36:AP36" display="'2018'!AM36:AP36" xr:uid="{00000000-0004-0000-0A00-000024000000}"/>
    <hyperlink ref="B342" location="Trimestre!C25:F26" display="HIPOTECA" xr:uid="{00000000-0004-0000-0A00-000025000000}"/>
    <hyperlink ref="B342:G343" location="'2018'!AM37:AP37" display="'2018'!AM37:AP37" xr:uid="{00000000-0004-0000-0A00-000026000000}"/>
    <hyperlink ref="B362" location="Trimestre!C25:F26" display="HIPOTECA" xr:uid="{00000000-0004-0000-0A00-000027000000}"/>
    <hyperlink ref="B362:G363" location="'2018'!AM38:AP38" display="'2018'!AM38:AP38" xr:uid="{00000000-0004-0000-0A00-000028000000}"/>
    <hyperlink ref="B382" location="Trimestre!C25:F26" display="HIPOTECA" xr:uid="{00000000-0004-0000-0A00-000029000000}"/>
    <hyperlink ref="B382:G383" location="'2018'!AM39:AP39" display="'2018'!AM39:AP39" xr:uid="{00000000-0004-0000-0A00-00002A000000}"/>
    <hyperlink ref="B402" location="Trimestre!C25:F26" display="HIPOTECA" xr:uid="{00000000-0004-0000-0A00-00002B000000}"/>
    <hyperlink ref="B402:G403" location="'2018'!AM40:AP40" display="'2018'!AM40:AP40" xr:uid="{00000000-0004-0000-0A00-00002C000000}"/>
    <hyperlink ref="B442" location="Trimestre!C25:F26" display="HIPOTECA" xr:uid="{00000000-0004-0000-0A00-00002D000000}"/>
    <hyperlink ref="B442:G443" location="'2018'!AM42:AP42" display="'2018'!AM42:AP42" xr:uid="{00000000-0004-0000-0A00-00002E000000}"/>
    <hyperlink ref="B462" location="Trimestre!C25:F26" display="HIPOTECA" xr:uid="{00000000-0004-0000-0A00-00002F000000}"/>
    <hyperlink ref="B462:G463" location="'2018'!AM43:AP43" display="'2018'!AM43:AP43" xr:uid="{00000000-0004-0000-0A00-000030000000}"/>
    <hyperlink ref="B482" location="Trimestre!C25:F26" display="HIPOTECA" xr:uid="{00000000-0004-0000-0A00-000031000000}"/>
    <hyperlink ref="B482:G483" location="'2018'!AM44:AP44" display="'2018'!AM44:AP44" xr:uid="{00000000-0004-0000-0A00-000032000000}"/>
    <hyperlink ref="B502" location="Trimestre!C25:F26" display="HIPOTECA" xr:uid="{00000000-0004-0000-0A00-000033000000}"/>
    <hyperlink ref="B502:G503" location="'2018'!AM45:AP45" display="'2018'!AM45:AP45" xr:uid="{00000000-0004-0000-0A00-000034000000}"/>
    <hyperlink ref="I2:L3" location="'2018'!AM4:AP4" display="SALDO REAL" xr:uid="{00000000-0004-0000-0A00-000035000000}"/>
    <hyperlink ref="B422" location="Trimestre!C25:F26" display="HIPOTECA" xr:uid="{00000000-0004-0000-0A00-000036000000}"/>
    <hyperlink ref="B422:G423" location="'2018'!AM41:AP41" display="'2018'!AM41:AP41" xr:uid="{00000000-0004-0000-0A00-000037000000}"/>
  </hyperlink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V520"/>
  <sheetViews>
    <sheetView topLeftCell="A14" workbookViewId="0">
      <selection activeCell="B2" sqref="B2:G3"/>
    </sheetView>
  </sheetViews>
  <sheetFormatPr defaultColWidth="11.42578125" defaultRowHeight="15"/>
  <cols>
    <col min="1" max="1" width="11.42578125" style="137"/>
    <col min="2" max="2" width="12.7109375" style="164" customWidth="1"/>
    <col min="3" max="3" width="33.28515625" style="137" customWidth="1"/>
    <col min="4" max="6" width="10" style="164" customWidth="1"/>
    <col min="7" max="7" width="33.28515625" style="137" customWidth="1"/>
    <col min="8" max="9" width="11.42578125" style="137"/>
    <col min="10" max="10" width="31.28515625" style="137" customWidth="1"/>
    <col min="11" max="12" width="11.42578125" style="164"/>
    <col min="13" max="16384" width="11.42578125" style="137"/>
  </cols>
  <sheetData>
    <row r="1" spans="1:22" ht="16.5" thickBot="1">
      <c r="A1" s="1"/>
      <c r="B1" s="163" t="s">
        <v>624</v>
      </c>
      <c r="C1" s="1"/>
      <c r="D1" s="163"/>
      <c r="E1" s="163"/>
      <c r="F1" s="163"/>
      <c r="G1" s="1"/>
      <c r="H1" s="30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89" t="str">
        <f>'2018'!A20</f>
        <v>Cártama Gastos</v>
      </c>
      <c r="C2" s="290"/>
      <c r="D2" s="290"/>
      <c r="E2" s="290"/>
      <c r="F2" s="290"/>
      <c r="G2" s="291"/>
      <c r="H2" s="1"/>
      <c r="I2" s="302" t="s">
        <v>4</v>
      </c>
      <c r="J2" s="290"/>
      <c r="K2" s="290"/>
      <c r="L2" s="291"/>
      <c r="M2" s="1"/>
      <c r="N2" s="1"/>
      <c r="R2" s="3"/>
    </row>
    <row r="3" spans="1:22" ht="16.5" thickBot="1">
      <c r="A3" s="1"/>
      <c r="B3" s="292"/>
      <c r="C3" s="293"/>
      <c r="D3" s="293"/>
      <c r="E3" s="293"/>
      <c r="F3" s="293"/>
      <c r="G3" s="294"/>
      <c r="H3" s="1"/>
      <c r="I3" s="292"/>
      <c r="J3" s="293"/>
      <c r="K3" s="293"/>
      <c r="L3" s="294"/>
      <c r="M3" s="1"/>
      <c r="N3" s="1"/>
      <c r="R3" s="3"/>
    </row>
    <row r="4" spans="1:22" ht="15.75">
      <c r="A4" s="1"/>
      <c r="B4" s="297" t="s">
        <v>10</v>
      </c>
      <c r="C4" s="296"/>
      <c r="D4" s="295" t="s">
        <v>11</v>
      </c>
      <c r="E4" s="295"/>
      <c r="F4" s="295"/>
      <c r="G4" s="296"/>
      <c r="H4" s="1"/>
      <c r="I4" s="88" t="s">
        <v>70</v>
      </c>
      <c r="J4" s="156" t="s">
        <v>71</v>
      </c>
      <c r="K4" s="316" t="s">
        <v>72</v>
      </c>
      <c r="L4" s="317"/>
      <c r="M4" s="1"/>
      <c r="N4" s="1"/>
      <c r="R4" s="3"/>
    </row>
    <row r="5" spans="1:22" ht="15.75">
      <c r="A5" s="1" t="s">
        <v>608</v>
      </c>
      <c r="B5" s="218" t="s">
        <v>32</v>
      </c>
      <c r="C5" s="60" t="s">
        <v>33</v>
      </c>
      <c r="D5" s="218" t="s">
        <v>68</v>
      </c>
      <c r="E5" s="222" t="s">
        <v>69</v>
      </c>
      <c r="F5" s="222" t="s">
        <v>32</v>
      </c>
      <c r="G5" s="60" t="s">
        <v>33</v>
      </c>
      <c r="H5" s="1"/>
      <c r="I5" s="157" t="s">
        <v>73</v>
      </c>
      <c r="J5" s="158" t="s">
        <v>74</v>
      </c>
      <c r="K5" s="314">
        <v>2513.6799999999998</v>
      </c>
      <c r="L5" s="315"/>
      <c r="M5" s="1"/>
      <c r="N5" s="1"/>
      <c r="R5" s="3"/>
    </row>
    <row r="6" spans="1:22" ht="15.75">
      <c r="A6" s="163">
        <f>'10'!A6+B6-E6</f>
        <v>6</v>
      </c>
      <c r="B6" s="219">
        <v>399.59</v>
      </c>
      <c r="C6" s="36" t="s">
        <v>583</v>
      </c>
      <c r="D6" s="223"/>
      <c r="E6" s="224">
        <v>399.59</v>
      </c>
      <c r="F6" s="224"/>
      <c r="G6" s="33" t="s">
        <v>35</v>
      </c>
      <c r="H6" s="1"/>
      <c r="I6" s="159" t="s">
        <v>73</v>
      </c>
      <c r="J6" s="158" t="s">
        <v>75</v>
      </c>
      <c r="K6" s="312">
        <v>550.05999999999995</v>
      </c>
      <c r="L6" s="313"/>
      <c r="M6" s="1" t="s">
        <v>394</v>
      </c>
      <c r="N6" s="1"/>
      <c r="R6" s="3"/>
    </row>
    <row r="7" spans="1:22" ht="15.75">
      <c r="A7" s="163">
        <f>'10'!A7+B7-E7</f>
        <v>168.14999999999998</v>
      </c>
      <c r="B7" s="220">
        <v>70.349999999999994</v>
      </c>
      <c r="C7" s="33" t="s">
        <v>652</v>
      </c>
      <c r="D7" s="223"/>
      <c r="E7" s="224"/>
      <c r="F7" s="224"/>
      <c r="G7" s="33" t="s">
        <v>106</v>
      </c>
      <c r="H7" s="82"/>
      <c r="I7" s="159" t="s">
        <v>76</v>
      </c>
      <c r="J7" s="158" t="s">
        <v>77</v>
      </c>
      <c r="K7" s="312">
        <v>5258.31</v>
      </c>
      <c r="L7" s="313"/>
      <c r="M7" s="1"/>
      <c r="N7" s="1"/>
      <c r="R7" s="3"/>
    </row>
    <row r="8" spans="1:22" ht="15.75">
      <c r="A8" s="163">
        <f>'10'!A8+B8-E8</f>
        <v>0</v>
      </c>
      <c r="B8" s="220">
        <v>94.96</v>
      </c>
      <c r="C8" s="33" t="s">
        <v>38</v>
      </c>
      <c r="D8" s="223"/>
      <c r="F8" s="224"/>
      <c r="G8" s="33" t="s">
        <v>38</v>
      </c>
      <c r="H8" s="1"/>
      <c r="I8" s="159" t="s">
        <v>76</v>
      </c>
      <c r="J8" s="158" t="s">
        <v>78</v>
      </c>
      <c r="K8" s="312">
        <v>7000</v>
      </c>
      <c r="L8" s="313"/>
      <c r="M8" s="1"/>
      <c r="N8" s="1"/>
      <c r="R8" s="3"/>
    </row>
    <row r="9" spans="1:22" ht="15.75">
      <c r="A9" s="163">
        <f>'10'!A9+B9-E9</f>
        <v>0</v>
      </c>
      <c r="B9" s="220">
        <v>0</v>
      </c>
      <c r="C9" s="33" t="s">
        <v>40</v>
      </c>
      <c r="D9" s="223"/>
      <c r="E9" s="224"/>
      <c r="F9" s="224"/>
      <c r="G9" s="33" t="s">
        <v>40</v>
      </c>
      <c r="H9" s="1"/>
      <c r="I9" s="159" t="s">
        <v>76</v>
      </c>
      <c r="J9" s="158" t="s">
        <v>267</v>
      </c>
      <c r="K9" s="312">
        <v>659.77</v>
      </c>
      <c r="L9" s="313"/>
      <c r="M9" s="1"/>
      <c r="N9" s="1"/>
      <c r="R9" s="3"/>
    </row>
    <row r="10" spans="1:22" ht="15.75">
      <c r="A10" s="163">
        <f>'10'!A10+B10-E10</f>
        <v>0</v>
      </c>
      <c r="B10" s="220">
        <v>12</v>
      </c>
      <c r="C10" s="33" t="s">
        <v>39</v>
      </c>
      <c r="D10" s="223"/>
      <c r="E10" s="224">
        <v>12</v>
      </c>
      <c r="F10" s="224"/>
      <c r="G10" s="33" t="s">
        <v>39</v>
      </c>
      <c r="H10" s="1"/>
      <c r="I10" s="159" t="s">
        <v>76</v>
      </c>
      <c r="J10" s="158" t="s">
        <v>115</v>
      </c>
      <c r="K10" s="312">
        <v>1800.04</v>
      </c>
      <c r="L10" s="313"/>
      <c r="M10" s="1" t="s">
        <v>265</v>
      </c>
      <c r="N10" s="1"/>
      <c r="R10" s="3"/>
    </row>
    <row r="11" spans="1:22" ht="15.75">
      <c r="A11" s="163">
        <f>'10'!A11+B11-E11</f>
        <v>0</v>
      </c>
      <c r="B11" s="220">
        <v>30.06</v>
      </c>
      <c r="C11" s="33" t="s">
        <v>37</v>
      </c>
      <c r="D11" s="223"/>
      <c r="E11" s="224">
        <v>30.23</v>
      </c>
      <c r="F11" s="224"/>
      <c r="G11" s="33" t="s">
        <v>37</v>
      </c>
      <c r="H11" s="1"/>
      <c r="I11" s="159" t="s">
        <v>93</v>
      </c>
      <c r="J11" s="158" t="s">
        <v>94</v>
      </c>
      <c r="K11" s="312">
        <f>380+60</f>
        <v>440</v>
      </c>
      <c r="L11" s="313"/>
      <c r="M11" s="1"/>
      <c r="N11" s="1"/>
      <c r="R11" s="3"/>
    </row>
    <row r="12" spans="1:22" ht="15.75">
      <c r="A12" s="163">
        <f>'10'!A12+B12-E12</f>
        <v>13.04000000000002</v>
      </c>
      <c r="B12" s="220">
        <v>25</v>
      </c>
      <c r="C12" s="33" t="s">
        <v>690</v>
      </c>
      <c r="D12" s="223"/>
      <c r="E12" s="224"/>
      <c r="F12" s="224"/>
      <c r="G12" s="33"/>
      <c r="H12" s="1"/>
      <c r="I12" s="159" t="s">
        <v>303</v>
      </c>
      <c r="J12" s="158" t="s">
        <v>304</v>
      </c>
      <c r="K12" s="312">
        <v>5092.08</v>
      </c>
      <c r="L12" s="313"/>
      <c r="M12" s="140"/>
      <c r="N12" s="1"/>
      <c r="R12" s="3"/>
    </row>
    <row r="13" spans="1:22" ht="15.75">
      <c r="A13" s="163">
        <f>'10'!A13+B13-E13</f>
        <v>56</v>
      </c>
      <c r="B13" s="220">
        <v>7</v>
      </c>
      <c r="C13" s="33" t="s">
        <v>653</v>
      </c>
      <c r="D13" s="223"/>
      <c r="E13" s="224"/>
      <c r="F13" s="224"/>
      <c r="G13" s="33"/>
      <c r="H13" s="1"/>
      <c r="I13" s="159"/>
      <c r="J13" s="158"/>
      <c r="K13" s="312"/>
      <c r="L13" s="313"/>
      <c r="M13" s="1"/>
      <c r="N13" s="1"/>
      <c r="R13" s="3"/>
    </row>
    <row r="14" spans="1:22" ht="15.75">
      <c r="A14" s="163"/>
      <c r="B14" s="220"/>
      <c r="C14" s="33"/>
      <c r="D14" s="223"/>
      <c r="E14" s="224"/>
      <c r="F14" s="224"/>
      <c r="G14" s="33"/>
      <c r="H14" s="1"/>
      <c r="I14" s="159"/>
      <c r="J14" s="158"/>
      <c r="K14" s="312"/>
      <c r="L14" s="313"/>
      <c r="M14" s="1"/>
      <c r="N14" s="1"/>
      <c r="R14" s="3"/>
    </row>
    <row r="15" spans="1:22" ht="15.75">
      <c r="A15" s="163"/>
      <c r="B15" s="220"/>
      <c r="C15" s="33"/>
      <c r="D15" s="223"/>
      <c r="E15" s="224"/>
      <c r="F15" s="224"/>
      <c r="G15" s="33"/>
      <c r="H15" s="1"/>
      <c r="I15" s="159"/>
      <c r="J15" s="158"/>
      <c r="K15" s="312"/>
      <c r="L15" s="313"/>
      <c r="M15" s="1"/>
      <c r="N15" s="1"/>
      <c r="R15" s="3"/>
    </row>
    <row r="16" spans="1:22" ht="15.75">
      <c r="A16" s="1"/>
      <c r="B16" s="220"/>
      <c r="C16" s="33"/>
      <c r="D16" s="223"/>
      <c r="E16" s="224"/>
      <c r="F16" s="224"/>
      <c r="G16" s="33"/>
      <c r="H16" s="1"/>
      <c r="I16" s="159"/>
      <c r="J16" s="158"/>
      <c r="K16" s="312"/>
      <c r="L16" s="313"/>
      <c r="M16" s="1"/>
      <c r="N16" s="1"/>
      <c r="R16" s="3"/>
    </row>
    <row r="17" spans="1:18" ht="15.75">
      <c r="A17" s="1"/>
      <c r="B17" s="220"/>
      <c r="C17" s="33"/>
      <c r="D17" s="223"/>
      <c r="E17" s="224"/>
      <c r="F17" s="224"/>
      <c r="G17" s="33"/>
      <c r="H17" s="1"/>
      <c r="I17" s="159"/>
      <c r="J17" s="158"/>
      <c r="K17" s="312"/>
      <c r="L17" s="313"/>
      <c r="M17" s="1"/>
      <c r="N17" s="1"/>
      <c r="R17" s="3"/>
    </row>
    <row r="18" spans="1:18" ht="16.5" thickBot="1">
      <c r="A18" s="1"/>
      <c r="B18" s="220"/>
      <c r="C18" s="33"/>
      <c r="D18" s="223"/>
      <c r="E18" s="224"/>
      <c r="F18" s="224"/>
      <c r="G18" s="33"/>
      <c r="H18" s="1"/>
      <c r="I18" s="160"/>
      <c r="J18" s="161"/>
      <c r="K18" s="318"/>
      <c r="L18" s="319"/>
      <c r="M18" s="1"/>
      <c r="N18" s="1"/>
      <c r="R18" s="3"/>
    </row>
    <row r="19" spans="1:18" ht="16.5" thickBot="1">
      <c r="A19" s="1"/>
      <c r="B19" s="221"/>
      <c r="C19" s="34"/>
      <c r="D19" s="221"/>
      <c r="E19" s="225"/>
      <c r="F19" s="225"/>
      <c r="G19" s="34"/>
      <c r="H19" s="1"/>
      <c r="I19" s="63" t="s">
        <v>83</v>
      </c>
      <c r="J19" s="37"/>
      <c r="K19" s="318">
        <f>SUM(K5:K18)</f>
        <v>23313.940000000002</v>
      </c>
      <c r="L19" s="319"/>
      <c r="M19" s="1"/>
      <c r="N19" s="1"/>
      <c r="R19" s="3"/>
    </row>
    <row r="20" spans="1:18" ht="16.5" thickBot="1">
      <c r="A20" s="163">
        <f>SUM(A6:A15)</f>
        <v>243.19</v>
      </c>
      <c r="B20" s="221">
        <f>SUM(B6:B19)</f>
        <v>638.95999999999992</v>
      </c>
      <c r="C20" s="34" t="s">
        <v>66</v>
      </c>
      <c r="D20" s="221">
        <f>SUM(D6:D19)</f>
        <v>0</v>
      </c>
      <c r="E20" s="221">
        <f>SUM(E6:E19)</f>
        <v>441.82</v>
      </c>
      <c r="F20" s="221">
        <f>SUM(F6:F19)</f>
        <v>0</v>
      </c>
      <c r="G20" s="34" t="s">
        <v>66</v>
      </c>
      <c r="H20" s="1"/>
      <c r="I20" s="137" t="s">
        <v>116</v>
      </c>
      <c r="L20" s="164">
        <f>K19-K10-K12</f>
        <v>16421.82</v>
      </c>
      <c r="M20" s="1"/>
      <c r="R20" s="3"/>
    </row>
    <row r="21" spans="1:18" ht="16.5" thickBot="1">
      <c r="A21" s="1"/>
      <c r="B21" s="163"/>
      <c r="C21" s="1"/>
      <c r="D21" s="163"/>
      <c r="E21" s="163"/>
      <c r="F21" s="163"/>
      <c r="G21" s="1"/>
      <c r="H21" s="1"/>
      <c r="M21" s="1"/>
      <c r="R21" s="3"/>
    </row>
    <row r="22" spans="1:18" ht="15.6" customHeight="1">
      <c r="A22" s="1"/>
      <c r="B22" s="289" t="str">
        <f>'2018'!A21</f>
        <v>Waterloo</v>
      </c>
      <c r="C22" s="290"/>
      <c r="D22" s="290"/>
      <c r="E22" s="290"/>
      <c r="F22" s="290"/>
      <c r="G22" s="291"/>
      <c r="H22" s="1"/>
      <c r="I22" s="302" t="s">
        <v>6</v>
      </c>
      <c r="J22" s="290"/>
      <c r="K22" s="290"/>
      <c r="L22" s="291"/>
      <c r="M22" s="1"/>
      <c r="R22" s="3"/>
    </row>
    <row r="23" spans="1:18" ht="16.149999999999999" customHeight="1" thickBot="1">
      <c r="A23" s="1"/>
      <c r="B23" s="292"/>
      <c r="C23" s="293"/>
      <c r="D23" s="293"/>
      <c r="E23" s="293"/>
      <c r="F23" s="293"/>
      <c r="G23" s="294"/>
      <c r="H23" s="1"/>
      <c r="I23" s="292"/>
      <c r="J23" s="293"/>
      <c r="K23" s="293"/>
      <c r="L23" s="294"/>
      <c r="M23" s="1"/>
      <c r="R23" s="3"/>
    </row>
    <row r="24" spans="1:18" ht="15.75">
      <c r="A24" s="1"/>
      <c r="B24" s="297" t="s">
        <v>10</v>
      </c>
      <c r="C24" s="296"/>
      <c r="D24" s="295" t="s">
        <v>11</v>
      </c>
      <c r="E24" s="295"/>
      <c r="F24" s="295"/>
      <c r="G24" s="296"/>
      <c r="H24" s="1"/>
      <c r="I24" s="88" t="s">
        <v>33</v>
      </c>
      <c r="J24" s="32" t="s">
        <v>133</v>
      </c>
      <c r="K24" s="316" t="s">
        <v>134</v>
      </c>
      <c r="L24" s="317"/>
      <c r="M24" s="1"/>
      <c r="R24" s="3"/>
    </row>
    <row r="25" spans="1:18" ht="15.75">
      <c r="A25" s="1" t="s">
        <v>608</v>
      </c>
      <c r="B25" s="218" t="s">
        <v>32</v>
      </c>
      <c r="C25" s="60" t="s">
        <v>33</v>
      </c>
      <c r="D25" s="218" t="s">
        <v>68</v>
      </c>
      <c r="E25" s="222" t="s">
        <v>69</v>
      </c>
      <c r="F25" s="222" t="s">
        <v>32</v>
      </c>
      <c r="G25" s="60" t="s">
        <v>33</v>
      </c>
      <c r="H25" s="1"/>
      <c r="I25" s="150">
        <v>5</v>
      </c>
      <c r="J25" s="3" t="s">
        <v>361</v>
      </c>
      <c r="K25" s="314">
        <f>15.31+20.31</f>
        <v>35.619999999999997</v>
      </c>
      <c r="L25" s="315"/>
      <c r="M25" s="1"/>
      <c r="R25" s="3"/>
    </row>
    <row r="26" spans="1:18" ht="15.75">
      <c r="A26" s="163">
        <f>'10'!A26+B26-D26</f>
        <v>0</v>
      </c>
      <c r="B26" s="219">
        <v>900</v>
      </c>
      <c r="C26" s="66" t="s">
        <v>42</v>
      </c>
      <c r="D26" s="223">
        <v>900</v>
      </c>
      <c r="E26" s="224"/>
      <c r="F26" s="224"/>
      <c r="G26" s="33" t="s">
        <v>42</v>
      </c>
      <c r="H26" s="1"/>
      <c r="I26" s="151">
        <v>2</v>
      </c>
      <c r="J26" s="35" t="s">
        <v>704</v>
      </c>
      <c r="K26" s="312">
        <v>340</v>
      </c>
      <c r="L26" s="313"/>
      <c r="M26" s="1"/>
      <c r="R26" s="3"/>
    </row>
    <row r="27" spans="1:18" ht="15.75">
      <c r="A27" s="163">
        <f>'10'!A27+B27-D27</f>
        <v>9</v>
      </c>
      <c r="B27" s="220">
        <v>170</v>
      </c>
      <c r="C27" s="66" t="s">
        <v>44</v>
      </c>
      <c r="D27" s="223">
        <v>167</v>
      </c>
      <c r="E27" s="224"/>
      <c r="F27" s="224"/>
      <c r="G27" s="33" t="s">
        <v>44</v>
      </c>
      <c r="H27" s="1"/>
      <c r="I27" s="151">
        <v>2</v>
      </c>
      <c r="J27" s="35" t="s">
        <v>276</v>
      </c>
      <c r="K27" s="312">
        <v>346.47</v>
      </c>
      <c r="L27" s="313"/>
      <c r="M27" s="1"/>
      <c r="R27" s="3"/>
    </row>
    <row r="28" spans="1:18" ht="15.75">
      <c r="A28" s="163">
        <f>'10'!A28+B28-D28</f>
        <v>103.06</v>
      </c>
      <c r="B28" s="220">
        <v>40</v>
      </c>
      <c r="C28" s="66" t="s">
        <v>45</v>
      </c>
      <c r="D28" s="223"/>
      <c r="E28" s="224"/>
      <c r="F28" s="224"/>
      <c r="G28" s="33" t="s">
        <v>45</v>
      </c>
      <c r="H28" s="1"/>
      <c r="I28" s="151">
        <v>2</v>
      </c>
      <c r="J28" s="35" t="s">
        <v>336</v>
      </c>
      <c r="K28" s="312">
        <v>190.53</v>
      </c>
      <c r="L28" s="313"/>
      <c r="M28" s="1"/>
      <c r="R28" s="3"/>
    </row>
    <row r="29" spans="1:18" ht="15.75">
      <c r="A29" s="163">
        <f>'10'!A29+B29-D29</f>
        <v>1.129999999999999</v>
      </c>
      <c r="B29" s="220">
        <v>18</v>
      </c>
      <c r="C29" s="66" t="s">
        <v>41</v>
      </c>
      <c r="D29" s="223">
        <v>17.95</v>
      </c>
      <c r="E29" s="224"/>
      <c r="F29" s="224"/>
      <c r="G29" s="33" t="s">
        <v>41</v>
      </c>
      <c r="H29" s="1"/>
      <c r="I29" s="151">
        <v>7</v>
      </c>
      <c r="J29" s="35" t="s">
        <v>225</v>
      </c>
      <c r="K29" s="312">
        <f>45.85+13.43+13.43</f>
        <v>72.710000000000008</v>
      </c>
      <c r="L29" s="313"/>
      <c r="M29" s="1"/>
      <c r="R29" s="3"/>
    </row>
    <row r="30" spans="1:18" ht="15.75">
      <c r="A30" s="163">
        <f>'10'!A30+B30-D30</f>
        <v>593.55999999999995</v>
      </c>
      <c r="B30" s="220">
        <v>0</v>
      </c>
      <c r="C30" s="66" t="s">
        <v>46</v>
      </c>
      <c r="D30" s="223"/>
      <c r="E30" s="224"/>
      <c r="F30" s="224"/>
      <c r="G30" s="33"/>
      <c r="H30" s="1"/>
      <c r="I30" s="151">
        <v>2</v>
      </c>
      <c r="J30" s="35" t="s">
        <v>336</v>
      </c>
      <c r="K30" s="312">
        <v>10.38</v>
      </c>
      <c r="L30" s="313"/>
      <c r="M30" s="1"/>
      <c r="R30" s="3"/>
    </row>
    <row r="31" spans="1:18" ht="15.75">
      <c r="A31" s="163"/>
      <c r="B31" s="220"/>
      <c r="C31" s="33"/>
      <c r="D31" s="223"/>
      <c r="E31" s="224"/>
      <c r="F31" s="224"/>
      <c r="G31" s="33"/>
      <c r="H31" s="1"/>
      <c r="I31" s="151"/>
      <c r="J31" s="35"/>
      <c r="K31" s="312"/>
      <c r="L31" s="313"/>
      <c r="M31" s="1"/>
      <c r="R31" s="3"/>
    </row>
    <row r="32" spans="1:18" ht="15.75">
      <c r="A32" s="163"/>
      <c r="B32" s="220"/>
      <c r="C32" s="33"/>
      <c r="D32" s="223"/>
      <c r="E32" s="224"/>
      <c r="F32" s="224"/>
      <c r="G32" s="33"/>
      <c r="H32" s="1"/>
      <c r="I32" s="151"/>
      <c r="J32" s="35"/>
      <c r="K32" s="312"/>
      <c r="L32" s="313"/>
      <c r="M32" s="1"/>
      <c r="R32" s="3"/>
    </row>
    <row r="33" spans="1:18" ht="15.75">
      <c r="A33" s="163"/>
      <c r="B33" s="220"/>
      <c r="C33" s="33"/>
      <c r="D33" s="223"/>
      <c r="E33" s="224"/>
      <c r="F33" s="224"/>
      <c r="G33" s="33"/>
      <c r="H33" s="1"/>
      <c r="I33" s="151"/>
      <c r="J33" s="35"/>
      <c r="K33" s="312"/>
      <c r="L33" s="313"/>
      <c r="M33" s="1"/>
      <c r="R33" s="3"/>
    </row>
    <row r="34" spans="1:18" ht="15.75">
      <c r="A34" s="163"/>
      <c r="B34" s="220"/>
      <c r="C34" s="33"/>
      <c r="D34" s="223"/>
      <c r="E34" s="224"/>
      <c r="F34" s="224"/>
      <c r="G34" s="33"/>
      <c r="H34" s="1"/>
      <c r="I34" s="151"/>
      <c r="J34" s="35"/>
      <c r="K34" s="312"/>
      <c r="L34" s="313"/>
      <c r="M34" s="1"/>
      <c r="R34" s="3"/>
    </row>
    <row r="35" spans="1:18" ht="15.75">
      <c r="A35" s="163"/>
      <c r="B35" s="220"/>
      <c r="C35" s="33"/>
      <c r="D35" s="223"/>
      <c r="E35" s="224"/>
      <c r="F35" s="224"/>
      <c r="G35" s="33"/>
      <c r="H35" s="1"/>
      <c r="I35" s="151"/>
      <c r="J35" s="35"/>
      <c r="K35" s="312"/>
      <c r="L35" s="313"/>
      <c r="M35" s="1"/>
      <c r="R35" s="3"/>
    </row>
    <row r="36" spans="1:18" ht="15.75">
      <c r="A36" s="1"/>
      <c r="B36" s="220"/>
      <c r="C36" s="33"/>
      <c r="D36" s="223"/>
      <c r="E36" s="224"/>
      <c r="F36" s="224"/>
      <c r="G36" s="33"/>
      <c r="H36" s="1"/>
      <c r="I36" s="151"/>
      <c r="J36" s="35"/>
      <c r="K36" s="312"/>
      <c r="L36" s="313"/>
      <c r="M36" s="1"/>
      <c r="R36" s="3"/>
    </row>
    <row r="37" spans="1:18" ht="15.75">
      <c r="A37" s="1"/>
      <c r="B37" s="220"/>
      <c r="C37" s="33"/>
      <c r="D37" s="223"/>
      <c r="E37" s="224"/>
      <c r="F37" s="224"/>
      <c r="G37" s="33"/>
      <c r="H37" s="1"/>
      <c r="I37" s="151"/>
      <c r="J37" s="35"/>
      <c r="K37" s="312"/>
      <c r="L37" s="313"/>
      <c r="M37" s="1"/>
      <c r="R37" s="3"/>
    </row>
    <row r="38" spans="1:18" ht="16.5" thickBot="1">
      <c r="A38" s="1"/>
      <c r="B38" s="220"/>
      <c r="C38" s="33"/>
      <c r="D38" s="223"/>
      <c r="E38" s="224"/>
      <c r="F38" s="224"/>
      <c r="G38" s="33"/>
      <c r="H38" s="1"/>
      <c r="I38" s="152"/>
      <c r="J38" s="37"/>
      <c r="K38" s="318"/>
      <c r="L38" s="319"/>
      <c r="M38" s="1"/>
      <c r="R38" s="3"/>
    </row>
    <row r="39" spans="1:18" ht="16.5" thickBot="1">
      <c r="A39" s="1"/>
      <c r="B39" s="221"/>
      <c r="C39" s="34"/>
      <c r="D39" s="221"/>
      <c r="E39" s="225"/>
      <c r="F39" s="225"/>
      <c r="G39" s="34"/>
      <c r="H39" s="1"/>
      <c r="M39" s="1"/>
      <c r="R39" s="3"/>
    </row>
    <row r="40" spans="1:18" ht="16.5" thickBot="1">
      <c r="A40" s="163">
        <f>SUM(A26:A35)</f>
        <v>706.75</v>
      </c>
      <c r="B40" s="221">
        <f>SUM(B26:B39)</f>
        <v>1128</v>
      </c>
      <c r="C40" s="34" t="s">
        <v>66</v>
      </c>
      <c r="D40" s="221">
        <f>SUM(D26:D39)</f>
        <v>1084.95</v>
      </c>
      <c r="E40" s="221">
        <f>SUM(E26:E39)</f>
        <v>0</v>
      </c>
      <c r="F40" s="221">
        <f>SUM(F26:F39)</f>
        <v>0</v>
      </c>
      <c r="G40" s="34" t="s">
        <v>66</v>
      </c>
      <c r="H40" s="1"/>
      <c r="M40" s="1"/>
      <c r="R40" s="3"/>
    </row>
    <row r="41" spans="1:18" ht="16.5" thickBot="1">
      <c r="A41" s="1"/>
      <c r="B41" s="163"/>
      <c r="C41" s="1"/>
      <c r="D41" s="163"/>
      <c r="E41" s="163"/>
      <c r="F41" s="163"/>
      <c r="G41" s="1"/>
      <c r="H41" s="1"/>
      <c r="M41" s="1"/>
      <c r="R41" s="3"/>
    </row>
    <row r="42" spans="1:18" ht="15.6" customHeight="1">
      <c r="A42" s="1"/>
      <c r="B42" s="289" t="str">
        <f>'2018'!A22</f>
        <v>Comida+Limpieza</v>
      </c>
      <c r="C42" s="290"/>
      <c r="D42" s="290"/>
      <c r="E42" s="290"/>
      <c r="F42" s="290"/>
      <c r="G42" s="291"/>
      <c r="H42" s="1"/>
      <c r="M42" s="1"/>
      <c r="R42" s="3"/>
    </row>
    <row r="43" spans="1:18" ht="16.149999999999999" customHeight="1" thickBot="1">
      <c r="A43" s="1"/>
      <c r="B43" s="292"/>
      <c r="C43" s="293"/>
      <c r="D43" s="293"/>
      <c r="E43" s="293"/>
      <c r="F43" s="293"/>
      <c r="G43" s="294"/>
      <c r="H43" s="1"/>
      <c r="M43" s="1"/>
      <c r="R43" s="3"/>
    </row>
    <row r="44" spans="1:18" ht="15.75">
      <c r="A44" s="1"/>
      <c r="B44" s="297" t="s">
        <v>10</v>
      </c>
      <c r="C44" s="296"/>
      <c r="D44" s="295" t="s">
        <v>11</v>
      </c>
      <c r="E44" s="295"/>
      <c r="F44" s="295"/>
      <c r="G44" s="296"/>
      <c r="H44" s="1"/>
      <c r="M44" s="1"/>
      <c r="R44" s="3"/>
    </row>
    <row r="45" spans="1:18" ht="15.75">
      <c r="A45" s="1"/>
      <c r="B45" s="218" t="s">
        <v>32</v>
      </c>
      <c r="C45" s="60" t="s">
        <v>33</v>
      </c>
      <c r="D45" s="218" t="s">
        <v>68</v>
      </c>
      <c r="E45" s="222" t="s">
        <v>69</v>
      </c>
      <c r="F45" s="222" t="s">
        <v>32</v>
      </c>
      <c r="G45" s="60" t="s">
        <v>393</v>
      </c>
      <c r="H45" s="1"/>
      <c r="M45" s="1"/>
      <c r="R45" s="3"/>
    </row>
    <row r="46" spans="1:18" ht="15.75">
      <c r="A46" s="1"/>
      <c r="B46" s="219">
        <v>462</v>
      </c>
      <c r="C46" s="36"/>
      <c r="D46" s="223">
        <v>25.15</v>
      </c>
      <c r="E46" s="224"/>
      <c r="F46" s="224"/>
      <c r="G46" s="69" t="s">
        <v>715</v>
      </c>
      <c r="H46" s="1"/>
      <c r="M46" s="1"/>
      <c r="R46" s="3"/>
    </row>
    <row r="47" spans="1:18" ht="15.75">
      <c r="A47" s="1"/>
      <c r="B47" s="220">
        <v>28</v>
      </c>
      <c r="C47" s="33" t="s">
        <v>110</v>
      </c>
      <c r="D47" s="223"/>
      <c r="E47" s="224"/>
      <c r="F47" s="224">
        <v>2</v>
      </c>
      <c r="G47" s="33" t="s">
        <v>719</v>
      </c>
      <c r="H47" s="1"/>
      <c r="M47" s="1"/>
      <c r="R47" s="3"/>
    </row>
    <row r="48" spans="1:18" ht="15.75">
      <c r="A48" s="1"/>
      <c r="B48" s="220"/>
      <c r="C48" s="33"/>
      <c r="D48" s="223">
        <v>66.3</v>
      </c>
      <c r="E48" s="224"/>
      <c r="F48" s="224"/>
      <c r="G48" s="33" t="s">
        <v>721</v>
      </c>
      <c r="H48" s="1"/>
      <c r="M48" s="1"/>
      <c r="R48" s="3"/>
    </row>
    <row r="49" spans="1:18" ht="15.75">
      <c r="A49" s="1"/>
      <c r="B49" s="220"/>
      <c r="C49" s="33"/>
      <c r="D49" s="223">
        <f>60.56-D146</f>
        <v>46</v>
      </c>
      <c r="E49" s="224"/>
      <c r="F49" s="224"/>
      <c r="G49" s="33" t="s">
        <v>724</v>
      </c>
      <c r="H49" s="1"/>
      <c r="M49" s="1"/>
      <c r="R49" s="3"/>
    </row>
    <row r="50" spans="1:18" ht="15.75">
      <c r="A50" s="1"/>
      <c r="B50" s="220"/>
      <c r="C50" s="33"/>
      <c r="D50" s="223"/>
      <c r="E50" s="224"/>
      <c r="F50" s="224">
        <f>3.3</f>
        <v>3.3</v>
      </c>
      <c r="G50" s="33" t="s">
        <v>725</v>
      </c>
      <c r="H50" s="1"/>
      <c r="M50" s="1"/>
      <c r="R50" s="3"/>
    </row>
    <row r="51" spans="1:18" ht="15.75">
      <c r="A51" s="1"/>
      <c r="B51" s="220"/>
      <c r="C51" s="33"/>
      <c r="D51" s="223">
        <v>18.329999999999998</v>
      </c>
      <c r="E51" s="224"/>
      <c r="F51" s="224"/>
      <c r="G51" s="33" t="s">
        <v>726</v>
      </c>
      <c r="H51" s="1"/>
      <c r="M51" s="1"/>
      <c r="R51" s="3"/>
    </row>
    <row r="52" spans="1:18" ht="15.75">
      <c r="A52" s="1"/>
      <c r="B52" s="220"/>
      <c r="C52" s="33"/>
      <c r="D52" s="223">
        <f>32.75+6.93+24.24-D326</f>
        <v>51.92</v>
      </c>
      <c r="E52" s="224"/>
      <c r="F52" s="224"/>
      <c r="G52" s="33" t="s">
        <v>732</v>
      </c>
      <c r="H52" s="1"/>
      <c r="M52" s="1"/>
      <c r="R52" s="3"/>
    </row>
    <row r="53" spans="1:18" ht="15.75">
      <c r="A53" s="1"/>
      <c r="B53" s="220"/>
      <c r="C53" s="33"/>
      <c r="D53" s="223">
        <v>45.73</v>
      </c>
      <c r="E53" s="224"/>
      <c r="F53" s="224"/>
      <c r="G53" s="33" t="s">
        <v>728</v>
      </c>
      <c r="H53" s="1"/>
      <c r="M53" s="1"/>
      <c r="R53" s="3"/>
    </row>
    <row r="54" spans="1:18" ht="15.75">
      <c r="A54" s="1"/>
      <c r="B54" s="220"/>
      <c r="C54" s="33"/>
      <c r="D54" s="223">
        <v>14.37</v>
      </c>
      <c r="E54" s="224"/>
      <c r="F54" s="224"/>
      <c r="G54" s="33" t="s">
        <v>733</v>
      </c>
      <c r="H54" s="1"/>
      <c r="M54" s="1"/>
      <c r="R54" s="3"/>
    </row>
    <row r="55" spans="1:18" ht="15.75">
      <c r="A55" s="1"/>
      <c r="B55" s="220"/>
      <c r="C55" s="33"/>
      <c r="D55" s="223">
        <f>28</f>
        <v>28</v>
      </c>
      <c r="E55" s="224"/>
      <c r="F55" s="224"/>
      <c r="G55" s="33" t="s">
        <v>739</v>
      </c>
      <c r="H55" s="1"/>
      <c r="M55" s="1"/>
      <c r="R55" s="3"/>
    </row>
    <row r="56" spans="1:18" ht="15.75">
      <c r="A56" s="1"/>
      <c r="B56" s="220"/>
      <c r="C56" s="33"/>
      <c r="D56" s="223">
        <f>53.13</f>
        <v>53.13</v>
      </c>
      <c r="E56" s="224"/>
      <c r="F56" s="224"/>
      <c r="G56" s="33" t="s">
        <v>740</v>
      </c>
      <c r="H56" s="1"/>
      <c r="M56" s="1"/>
      <c r="R56" s="3"/>
    </row>
    <row r="57" spans="1:18" ht="15.75">
      <c r="A57" s="1"/>
      <c r="B57" s="220"/>
      <c r="C57" s="33"/>
      <c r="D57" s="223">
        <f>48.64-D189-D289</f>
        <v>31.64</v>
      </c>
      <c r="E57" s="224"/>
      <c r="F57" s="224"/>
      <c r="G57" s="33" t="s">
        <v>745</v>
      </c>
      <c r="H57" s="1"/>
      <c r="M57" s="1"/>
      <c r="R57" s="3"/>
    </row>
    <row r="58" spans="1:18" ht="15.75">
      <c r="A58" s="1"/>
      <c r="B58" s="220"/>
      <c r="C58" s="33"/>
      <c r="D58" s="223">
        <v>15</v>
      </c>
      <c r="E58" s="224"/>
      <c r="F58" s="224"/>
      <c r="G58" s="33" t="s">
        <v>757</v>
      </c>
      <c r="H58" s="1"/>
      <c r="M58" s="1"/>
      <c r="R58" s="3"/>
    </row>
    <row r="59" spans="1:18" ht="16.5" thickBot="1">
      <c r="A59" s="1"/>
      <c r="B59" s="221"/>
      <c r="C59" s="34"/>
      <c r="D59" s="221"/>
      <c r="E59" s="225"/>
      <c r="F59" s="225"/>
      <c r="G59" s="34"/>
      <c r="H59" s="1"/>
      <c r="M59" s="1"/>
      <c r="R59" s="3"/>
    </row>
    <row r="60" spans="1:18" ht="16.5" thickBot="1">
      <c r="A60" s="1"/>
      <c r="B60" s="221">
        <f>SUM(B46:B59)</f>
        <v>490</v>
      </c>
      <c r="C60" s="34" t="s">
        <v>66</v>
      </c>
      <c r="D60" s="221">
        <f>SUM(D46:D59)</f>
        <v>395.56999999999994</v>
      </c>
      <c r="E60" s="221">
        <f>SUM(E46:E59)</f>
        <v>0</v>
      </c>
      <c r="F60" s="221">
        <f>SUM(F46:F59)</f>
        <v>5.3</v>
      </c>
      <c r="G60" s="34" t="s">
        <v>66</v>
      </c>
      <c r="H60" s="1"/>
      <c r="M60" s="1"/>
      <c r="R60" s="3"/>
    </row>
    <row r="61" spans="1:18" ht="16.5" thickBot="1">
      <c r="A61" s="1"/>
      <c r="B61" s="163"/>
      <c r="C61" s="1"/>
      <c r="D61" s="163"/>
      <c r="E61" s="163"/>
      <c r="F61" s="163"/>
      <c r="G61" s="1"/>
      <c r="H61" s="1"/>
      <c r="M61" s="1"/>
      <c r="R61" s="3"/>
    </row>
    <row r="62" spans="1:18" ht="15.6" customHeight="1">
      <c r="A62" s="1"/>
      <c r="B62" s="289" t="str">
        <f>'2018'!A23</f>
        <v>Ocio</v>
      </c>
      <c r="C62" s="290"/>
      <c r="D62" s="290"/>
      <c r="E62" s="290"/>
      <c r="F62" s="290"/>
      <c r="G62" s="291"/>
      <c r="H62" s="1"/>
      <c r="M62" s="1"/>
      <c r="R62" s="3"/>
    </row>
    <row r="63" spans="1:18" ht="16.149999999999999" customHeight="1" thickBot="1">
      <c r="A63" s="1"/>
      <c r="B63" s="292"/>
      <c r="C63" s="293"/>
      <c r="D63" s="293"/>
      <c r="E63" s="293"/>
      <c r="F63" s="293"/>
      <c r="G63" s="294"/>
      <c r="H63" s="1"/>
      <c r="M63" s="1"/>
      <c r="R63" s="3"/>
    </row>
    <row r="64" spans="1:18" ht="15.75">
      <c r="A64" s="1"/>
      <c r="B64" s="297" t="s">
        <v>10</v>
      </c>
      <c r="C64" s="296"/>
      <c r="D64" s="295" t="s">
        <v>11</v>
      </c>
      <c r="E64" s="295"/>
      <c r="F64" s="295"/>
      <c r="G64" s="296"/>
      <c r="H64" s="1"/>
      <c r="M64" s="1"/>
      <c r="R64" s="3"/>
    </row>
    <row r="65" spans="1:18" ht="15.75">
      <c r="A65" s="1"/>
      <c r="B65" s="218" t="s">
        <v>32</v>
      </c>
      <c r="C65" s="60" t="s">
        <v>33</v>
      </c>
      <c r="D65" s="218" t="s">
        <v>68</v>
      </c>
      <c r="E65" s="222" t="s">
        <v>69</v>
      </c>
      <c r="F65" s="222" t="s">
        <v>32</v>
      </c>
      <c r="G65" s="60" t="s">
        <v>393</v>
      </c>
      <c r="H65" s="1"/>
      <c r="M65" s="1"/>
      <c r="R65" s="3"/>
    </row>
    <row r="66" spans="1:18" ht="15.75">
      <c r="A66" s="1"/>
      <c r="B66" s="219">
        <v>150</v>
      </c>
      <c r="C66" s="36" t="s">
        <v>36</v>
      </c>
      <c r="D66" s="223"/>
      <c r="E66" s="224"/>
      <c r="F66" s="224">
        <v>75</v>
      </c>
      <c r="G66" s="36" t="s">
        <v>719</v>
      </c>
      <c r="H66" s="1"/>
      <c r="M66" s="1"/>
      <c r="R66" s="3"/>
    </row>
    <row r="67" spans="1:18" ht="15.75">
      <c r="A67" s="1"/>
      <c r="B67" s="220"/>
      <c r="C67" s="33"/>
      <c r="D67" s="223">
        <v>35</v>
      </c>
      <c r="E67" s="224"/>
      <c r="F67" s="224"/>
      <c r="G67" s="70" t="s">
        <v>756</v>
      </c>
      <c r="H67" s="1"/>
      <c r="M67" s="1"/>
      <c r="R67" s="3"/>
    </row>
    <row r="68" spans="1:18" ht="15.75">
      <c r="A68" s="1"/>
      <c r="B68" s="220"/>
      <c r="C68" s="33"/>
      <c r="D68" s="223">
        <v>28.39</v>
      </c>
      <c r="E68" s="224"/>
      <c r="F68" s="224"/>
      <c r="G68" s="33" t="s">
        <v>744</v>
      </c>
      <c r="H68" s="1"/>
      <c r="M68" s="1"/>
      <c r="R68" s="3"/>
    </row>
    <row r="69" spans="1:18" ht="15.75">
      <c r="A69" s="1"/>
      <c r="B69" s="220"/>
      <c r="C69" s="33"/>
      <c r="D69" s="223"/>
      <c r="E69" s="224"/>
      <c r="F69" s="224">
        <v>21</v>
      </c>
      <c r="G69" s="33"/>
      <c r="H69" s="1"/>
      <c r="M69" s="1"/>
      <c r="R69" s="3"/>
    </row>
    <row r="70" spans="1:18" ht="15.75">
      <c r="A70" s="1"/>
      <c r="B70" s="220"/>
      <c r="C70" s="33"/>
      <c r="D70" s="223"/>
      <c r="E70" s="224"/>
      <c r="F70" s="224"/>
      <c r="G70" s="33"/>
      <c r="H70" s="1"/>
      <c r="M70" s="1"/>
      <c r="R70" s="3"/>
    </row>
    <row r="71" spans="1:18" ht="15.75">
      <c r="A71" s="1"/>
      <c r="B71" s="220"/>
      <c r="C71" s="33"/>
      <c r="D71" s="223"/>
      <c r="E71" s="224"/>
      <c r="F71" s="224"/>
      <c r="G71" s="33"/>
      <c r="H71" s="1"/>
      <c r="M71" s="1"/>
      <c r="R71" s="3"/>
    </row>
    <row r="72" spans="1:18" ht="15.75">
      <c r="A72" s="1"/>
      <c r="B72" s="220"/>
      <c r="C72" s="33"/>
      <c r="D72" s="223"/>
      <c r="E72" s="224"/>
      <c r="F72" s="224"/>
      <c r="G72" s="33"/>
      <c r="H72" s="1"/>
      <c r="M72" s="1"/>
      <c r="R72" s="3"/>
    </row>
    <row r="73" spans="1:18" ht="15.75">
      <c r="A73" s="1"/>
      <c r="B73" s="220"/>
      <c r="C73" s="33"/>
      <c r="D73" s="223"/>
      <c r="E73" s="224"/>
      <c r="F73" s="224"/>
      <c r="G73" s="33"/>
      <c r="H73" s="1"/>
      <c r="M73" s="1"/>
      <c r="R73" s="3"/>
    </row>
    <row r="74" spans="1:18" ht="15.75">
      <c r="A74" s="1"/>
      <c r="B74" s="220"/>
      <c r="C74" s="33"/>
      <c r="D74" s="223"/>
      <c r="E74" s="224"/>
      <c r="F74" s="224"/>
      <c r="G74" s="33"/>
      <c r="H74" s="1"/>
      <c r="M74" s="1"/>
      <c r="R74" s="3"/>
    </row>
    <row r="75" spans="1:18" ht="15.75">
      <c r="A75" s="1"/>
      <c r="B75" s="220"/>
      <c r="C75" s="33"/>
      <c r="D75" s="223"/>
      <c r="E75" s="224"/>
      <c r="F75" s="224"/>
      <c r="G75" s="33"/>
      <c r="H75" s="1"/>
      <c r="M75" s="1"/>
      <c r="R75" s="3"/>
    </row>
    <row r="76" spans="1:18" ht="15.75">
      <c r="A76" s="1"/>
      <c r="B76" s="220"/>
      <c r="C76" s="33"/>
      <c r="D76" s="223"/>
      <c r="E76" s="224"/>
      <c r="F76" s="224"/>
      <c r="G76" s="33"/>
      <c r="H76" s="1"/>
      <c r="M76" s="1"/>
      <c r="R76" s="3"/>
    </row>
    <row r="77" spans="1:18" ht="15.75">
      <c r="A77" s="1"/>
      <c r="B77" s="220"/>
      <c r="C77" s="33"/>
      <c r="D77" s="223"/>
      <c r="E77" s="224"/>
      <c r="F77" s="224"/>
      <c r="G77" s="33"/>
      <c r="H77" s="1"/>
      <c r="M77" s="1"/>
      <c r="R77" s="3"/>
    </row>
    <row r="78" spans="1:18" ht="15.75">
      <c r="A78" s="1"/>
      <c r="B78" s="220"/>
      <c r="C78" s="33"/>
      <c r="D78" s="223"/>
      <c r="E78" s="224"/>
      <c r="F78" s="224"/>
      <c r="G78" s="33"/>
      <c r="H78" s="1"/>
      <c r="M78" s="1"/>
      <c r="R78" s="3"/>
    </row>
    <row r="79" spans="1:18" ht="16.5" thickBot="1">
      <c r="A79" s="1"/>
      <c r="B79" s="221"/>
      <c r="C79" s="34"/>
      <c r="D79" s="221"/>
      <c r="E79" s="225"/>
      <c r="F79" s="225"/>
      <c r="G79" s="34"/>
      <c r="H79" s="1"/>
      <c r="M79" s="1"/>
      <c r="R79" s="3"/>
    </row>
    <row r="80" spans="1:18" ht="16.5" thickBot="1">
      <c r="A80" s="1"/>
      <c r="B80" s="221">
        <f>SUM(B66:B79)</f>
        <v>150</v>
      </c>
      <c r="C80" s="34" t="s">
        <v>66</v>
      </c>
      <c r="D80" s="221">
        <f>SUM(D66:D79)</f>
        <v>63.39</v>
      </c>
      <c r="E80" s="221">
        <f>SUM(E66:E79)</f>
        <v>0</v>
      </c>
      <c r="F80" s="221">
        <f>SUM(F66:F79)</f>
        <v>96</v>
      </c>
      <c r="G80" s="34" t="s">
        <v>66</v>
      </c>
      <c r="H80" s="1"/>
      <c r="M80" s="1"/>
      <c r="R80" s="3"/>
    </row>
    <row r="81" spans="1:18" ht="16.5" thickBot="1">
      <c r="A81" s="1"/>
      <c r="B81" s="163"/>
      <c r="C81" s="1"/>
      <c r="D81" s="163"/>
      <c r="E81" s="163"/>
      <c r="F81" s="163"/>
      <c r="G81" s="1"/>
      <c r="H81" s="1"/>
      <c r="M81" s="1"/>
      <c r="R81" s="3"/>
    </row>
    <row r="82" spans="1:18" ht="15.6" customHeight="1">
      <c r="A82" s="1"/>
      <c r="B82" s="289" t="str">
        <f>'2018'!A24</f>
        <v>Transportes</v>
      </c>
      <c r="C82" s="290"/>
      <c r="D82" s="290"/>
      <c r="E82" s="290"/>
      <c r="F82" s="290"/>
      <c r="G82" s="291"/>
      <c r="H82" s="1"/>
      <c r="M82" s="1"/>
      <c r="R82" s="3"/>
    </row>
    <row r="83" spans="1:18" ht="16.149999999999999" customHeight="1" thickBot="1">
      <c r="A83" s="1"/>
      <c r="B83" s="292"/>
      <c r="C83" s="293"/>
      <c r="D83" s="293"/>
      <c r="E83" s="293"/>
      <c r="F83" s="293"/>
      <c r="G83" s="294"/>
      <c r="H83" s="1"/>
      <c r="M83" s="1"/>
      <c r="R83" s="3"/>
    </row>
    <row r="84" spans="1:18" ht="15.75">
      <c r="A84" s="1"/>
      <c r="B84" s="297" t="s">
        <v>10</v>
      </c>
      <c r="C84" s="296"/>
      <c r="D84" s="295" t="s">
        <v>11</v>
      </c>
      <c r="E84" s="295"/>
      <c r="F84" s="295"/>
      <c r="G84" s="296"/>
      <c r="H84" s="1"/>
      <c r="M84" s="1"/>
      <c r="R84" s="3"/>
    </row>
    <row r="85" spans="1:18" ht="15.75">
      <c r="A85" s="1"/>
      <c r="B85" s="218" t="s">
        <v>32</v>
      </c>
      <c r="C85" s="60" t="s">
        <v>33</v>
      </c>
      <c r="D85" s="218" t="s">
        <v>68</v>
      </c>
      <c r="E85" s="222" t="s">
        <v>69</v>
      </c>
      <c r="F85" s="222" t="s">
        <v>32</v>
      </c>
      <c r="G85" s="60" t="s">
        <v>393</v>
      </c>
      <c r="H85" s="1"/>
      <c r="M85" s="1"/>
      <c r="R85" s="3"/>
    </row>
    <row r="86" spans="1:18" ht="15.75">
      <c r="A86" s="1"/>
      <c r="B86" s="219">
        <v>165</v>
      </c>
      <c r="C86" s="36" t="s">
        <v>658</v>
      </c>
      <c r="D86" s="164">
        <v>13.5</v>
      </c>
      <c r="E86" s="224"/>
      <c r="F86" s="224"/>
      <c r="G86" s="33" t="s">
        <v>716</v>
      </c>
      <c r="H86" s="1"/>
      <c r="M86" s="1"/>
      <c r="R86" s="3"/>
    </row>
    <row r="87" spans="1:18" ht="15.75">
      <c r="A87" s="1"/>
      <c r="B87" s="220"/>
      <c r="C87" s="33"/>
      <c r="D87" s="223">
        <v>66.73</v>
      </c>
      <c r="E87" s="224"/>
      <c r="F87" s="224"/>
      <c r="G87" s="33" t="s">
        <v>717</v>
      </c>
      <c r="H87" s="1"/>
      <c r="M87" s="1"/>
      <c r="R87" s="3"/>
    </row>
    <row r="88" spans="1:18" ht="15.75">
      <c r="A88" s="1"/>
      <c r="B88" s="220"/>
      <c r="C88" s="33"/>
      <c r="D88" s="223">
        <v>3.5</v>
      </c>
      <c r="E88" s="224"/>
      <c r="F88" s="224"/>
      <c r="G88" s="33" t="s">
        <v>718</v>
      </c>
      <c r="H88" s="1"/>
      <c r="M88" s="1"/>
      <c r="R88" s="3"/>
    </row>
    <row r="89" spans="1:18" ht="15.75">
      <c r="A89" s="1"/>
      <c r="B89" s="220"/>
      <c r="C89" s="33"/>
      <c r="D89" s="223">
        <v>52.32</v>
      </c>
      <c r="E89" s="224"/>
      <c r="F89" s="224"/>
      <c r="G89" s="33" t="s">
        <v>735</v>
      </c>
      <c r="H89" s="1"/>
      <c r="M89" s="1"/>
      <c r="R89" s="3"/>
    </row>
    <row r="90" spans="1:18" ht="15.75">
      <c r="A90" s="1"/>
      <c r="B90" s="220"/>
      <c r="C90" s="33"/>
      <c r="D90" s="223">
        <v>20.03</v>
      </c>
      <c r="E90" s="224"/>
      <c r="F90" s="224"/>
      <c r="G90" s="33" t="s">
        <v>749</v>
      </c>
      <c r="H90" s="1"/>
      <c r="M90" s="1"/>
      <c r="R90" s="3"/>
    </row>
    <row r="91" spans="1:18" ht="15.75">
      <c r="A91" s="1"/>
      <c r="B91" s="220"/>
      <c r="C91" s="33"/>
      <c r="D91" s="223">
        <v>46.02</v>
      </c>
      <c r="E91" s="224"/>
      <c r="F91" s="224"/>
      <c r="G91" s="33" t="s">
        <v>751</v>
      </c>
      <c r="H91" s="1"/>
      <c r="M91" s="1"/>
      <c r="R91" s="3"/>
    </row>
    <row r="92" spans="1:18" ht="15.75">
      <c r="A92" s="1"/>
      <c r="B92" s="220"/>
      <c r="C92" s="33"/>
      <c r="D92" s="223"/>
      <c r="E92" s="224"/>
      <c r="F92" s="224"/>
      <c r="G92" s="33"/>
      <c r="H92" s="1"/>
      <c r="M92" s="1"/>
      <c r="R92" s="3"/>
    </row>
    <row r="93" spans="1:18" ht="15.75">
      <c r="A93" s="1"/>
      <c r="B93" s="220"/>
      <c r="C93" s="33"/>
      <c r="D93" s="223"/>
      <c r="E93" s="224"/>
      <c r="F93" s="224"/>
      <c r="G93" s="33"/>
      <c r="H93" s="1"/>
      <c r="M93" s="1"/>
      <c r="R93" s="3"/>
    </row>
    <row r="94" spans="1:18" ht="15.75">
      <c r="A94" s="1"/>
      <c r="B94" s="220"/>
      <c r="C94" s="33"/>
      <c r="D94" s="223"/>
      <c r="E94" s="224"/>
      <c r="F94" s="224"/>
      <c r="G94" s="33"/>
      <c r="H94" s="1"/>
      <c r="M94" s="1"/>
      <c r="R94" s="3"/>
    </row>
    <row r="95" spans="1:18" ht="15.75">
      <c r="A95" s="1"/>
      <c r="B95" s="220"/>
      <c r="C95" s="33"/>
      <c r="D95" s="223"/>
      <c r="E95" s="224"/>
      <c r="F95" s="224"/>
      <c r="G95" s="33"/>
      <c r="H95" s="1"/>
      <c r="M95" s="1"/>
      <c r="R95" s="3"/>
    </row>
    <row r="96" spans="1:18" ht="15.75">
      <c r="A96" s="1"/>
      <c r="B96" s="220"/>
      <c r="C96" s="33"/>
      <c r="D96" s="223"/>
      <c r="E96" s="224"/>
      <c r="F96" s="224"/>
      <c r="G96" s="33"/>
      <c r="H96" s="1"/>
      <c r="M96" s="1"/>
      <c r="R96" s="3"/>
    </row>
    <row r="97" spans="1:18" ht="15.75">
      <c r="A97" s="1"/>
      <c r="B97" s="220"/>
      <c r="C97" s="33"/>
      <c r="D97" s="223"/>
      <c r="E97" s="224"/>
      <c r="F97" s="224"/>
      <c r="G97" s="33"/>
      <c r="H97" s="1"/>
      <c r="M97" s="1"/>
      <c r="R97" s="3"/>
    </row>
    <row r="98" spans="1:18" ht="15.75">
      <c r="A98" s="1"/>
      <c r="B98" s="220"/>
      <c r="C98" s="33"/>
      <c r="D98" s="223"/>
      <c r="E98" s="224"/>
      <c r="F98" s="224"/>
      <c r="G98" s="33"/>
      <c r="H98" s="1"/>
      <c r="M98" s="1"/>
      <c r="R98" s="3"/>
    </row>
    <row r="99" spans="1:18" ht="16.5" thickBot="1">
      <c r="A99" s="1"/>
      <c r="B99" s="221"/>
      <c r="C99" s="34"/>
      <c r="D99" s="221"/>
      <c r="E99" s="225"/>
      <c r="F99" s="225"/>
      <c r="G99" s="34"/>
      <c r="H99" s="1"/>
      <c r="M99" s="1"/>
      <c r="R99" s="3"/>
    </row>
    <row r="100" spans="1:18" ht="16.5" thickBot="1">
      <c r="A100" s="1"/>
      <c r="B100" s="221">
        <f>SUM(B86:B99)</f>
        <v>165</v>
      </c>
      <c r="C100" s="34" t="s">
        <v>66</v>
      </c>
      <c r="D100" s="221">
        <f>SUM(D86:D99)</f>
        <v>202.10000000000002</v>
      </c>
      <c r="E100" s="221">
        <f>SUM(E86:E99)</f>
        <v>0</v>
      </c>
      <c r="F100" s="221">
        <f>SUM(F86:F99)</f>
        <v>0</v>
      </c>
      <c r="G100" s="34" t="s">
        <v>66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289" t="str">
        <f>'2018'!A25</f>
        <v>Coche</v>
      </c>
      <c r="C102" s="290"/>
      <c r="D102" s="290"/>
      <c r="E102" s="290"/>
      <c r="F102" s="290"/>
      <c r="G102" s="291"/>
      <c r="H102" s="1"/>
      <c r="M102" s="1"/>
      <c r="R102" s="3"/>
    </row>
    <row r="103" spans="1:18" ht="16.149999999999999" customHeight="1" thickBot="1">
      <c r="A103" s="1"/>
      <c r="B103" s="292"/>
      <c r="C103" s="293"/>
      <c r="D103" s="293"/>
      <c r="E103" s="293"/>
      <c r="F103" s="293"/>
      <c r="G103" s="294"/>
      <c r="H103" s="1"/>
      <c r="M103" s="1"/>
      <c r="R103" s="3"/>
    </row>
    <row r="104" spans="1:18" ht="15.75">
      <c r="A104" s="1"/>
      <c r="B104" s="297" t="s">
        <v>10</v>
      </c>
      <c r="C104" s="296"/>
      <c r="D104" s="295" t="s">
        <v>11</v>
      </c>
      <c r="E104" s="295"/>
      <c r="F104" s="295"/>
      <c r="G104" s="296"/>
      <c r="H104" s="1"/>
      <c r="M104" s="1"/>
      <c r="R104" s="3"/>
    </row>
    <row r="105" spans="1:18" ht="15.75">
      <c r="A105" s="137" t="s">
        <v>608</v>
      </c>
      <c r="B105" s="218" t="s">
        <v>32</v>
      </c>
      <c r="C105" s="60" t="s">
        <v>33</v>
      </c>
      <c r="D105" s="218" t="s">
        <v>68</v>
      </c>
      <c r="E105" s="222" t="s">
        <v>69</v>
      </c>
      <c r="F105" s="222" t="s">
        <v>32</v>
      </c>
      <c r="G105" s="60" t="s">
        <v>33</v>
      </c>
      <c r="H105" s="1"/>
      <c r="M105" s="1"/>
      <c r="R105" s="3"/>
    </row>
    <row r="106" spans="1:18" ht="15.75">
      <c r="A106" s="163">
        <f>'10'!A106+B106-D106</f>
        <v>0</v>
      </c>
      <c r="B106" s="219">
        <v>258.47000000000003</v>
      </c>
      <c r="C106" s="35" t="s">
        <v>55</v>
      </c>
      <c r="D106" s="223">
        <v>258.47000000000003</v>
      </c>
      <c r="E106" s="224"/>
      <c r="F106" s="224"/>
      <c r="G106" s="70" t="s">
        <v>55</v>
      </c>
      <c r="H106" s="1"/>
      <c r="M106" s="1"/>
      <c r="R106" s="3"/>
    </row>
    <row r="107" spans="1:18" ht="15.75">
      <c r="A107" s="163">
        <f>'10'!A107+B107-D107</f>
        <v>1.3000000000000114</v>
      </c>
      <c r="B107" s="220">
        <v>71</v>
      </c>
      <c r="C107" s="35" t="s">
        <v>56</v>
      </c>
      <c r="D107" s="223">
        <v>70.349999999999994</v>
      </c>
      <c r="E107" s="224"/>
      <c r="F107" s="224"/>
      <c r="G107" s="70" t="s">
        <v>56</v>
      </c>
      <c r="H107" s="1"/>
      <c r="M107" s="1"/>
      <c r="R107" s="3"/>
    </row>
    <row r="108" spans="1:18" ht="15.75">
      <c r="A108" s="163">
        <f>'10'!A108+B108-SUM(D108:F119)</f>
        <v>147.09999999999991</v>
      </c>
      <c r="B108" s="220">
        <v>50</v>
      </c>
      <c r="C108" s="35" t="s">
        <v>616</v>
      </c>
      <c r="D108" s="223">
        <v>320.06</v>
      </c>
      <c r="E108" s="224"/>
      <c r="F108" s="224"/>
      <c r="G108" s="73" t="s">
        <v>720</v>
      </c>
      <c r="H108" s="1"/>
      <c r="M108" s="1"/>
      <c r="R108" s="3"/>
    </row>
    <row r="109" spans="1:18" ht="15.75">
      <c r="A109" s="163">
        <f>'10'!A109+B109</f>
        <v>2754.5000000000005</v>
      </c>
      <c r="B109" s="220">
        <v>20.53</v>
      </c>
      <c r="C109" s="35" t="s">
        <v>615</v>
      </c>
      <c r="D109" s="223">
        <v>582.84</v>
      </c>
      <c r="E109" s="224"/>
      <c r="F109" s="224"/>
      <c r="G109" s="70" t="s">
        <v>738</v>
      </c>
      <c r="H109" s="1"/>
      <c r="M109" s="1"/>
      <c r="R109" s="3"/>
    </row>
    <row r="110" spans="1:18" ht="15.75">
      <c r="B110" s="220"/>
      <c r="C110" s="35"/>
      <c r="D110" s="223"/>
      <c r="E110" s="224"/>
      <c r="F110" s="224"/>
      <c r="G110" s="70"/>
      <c r="H110" s="1"/>
      <c r="M110" s="1"/>
      <c r="R110" s="3"/>
    </row>
    <row r="111" spans="1:18" ht="15.75">
      <c r="B111" s="220"/>
      <c r="C111" s="66"/>
      <c r="D111" s="223"/>
      <c r="E111" s="224"/>
      <c r="F111" s="224"/>
      <c r="G111" s="73"/>
      <c r="H111" s="1"/>
      <c r="M111" s="1"/>
      <c r="R111" s="3"/>
    </row>
    <row r="112" spans="1:18" ht="15.75">
      <c r="B112" s="220"/>
      <c r="C112" s="71"/>
      <c r="D112" s="223"/>
      <c r="E112" s="224"/>
      <c r="F112" s="224"/>
      <c r="G112" s="70"/>
      <c r="H112" s="1"/>
      <c r="M112" s="1"/>
      <c r="R112" s="3"/>
    </row>
    <row r="113" spans="1:18" ht="15.75">
      <c r="B113" s="220"/>
      <c r="C113" s="72"/>
      <c r="D113" s="223"/>
      <c r="E113" s="224"/>
      <c r="F113" s="224"/>
      <c r="G113" s="70"/>
      <c r="H113" s="1"/>
      <c r="M113" s="1"/>
      <c r="R113" s="3"/>
    </row>
    <row r="114" spans="1:18" ht="15.75">
      <c r="B114" s="220"/>
      <c r="C114" s="71"/>
      <c r="D114" s="223"/>
      <c r="E114" s="224"/>
      <c r="F114" s="224"/>
      <c r="G114" s="70"/>
      <c r="H114" s="1"/>
      <c r="M114" s="1"/>
      <c r="R114" s="3"/>
    </row>
    <row r="115" spans="1:18" ht="15.75">
      <c r="B115" s="220"/>
      <c r="C115" s="66"/>
      <c r="D115" s="223"/>
      <c r="E115" s="224"/>
      <c r="F115" s="224"/>
      <c r="G115" s="33"/>
      <c r="H115" s="1"/>
      <c r="M115" s="1"/>
      <c r="R115" s="3"/>
    </row>
    <row r="116" spans="1:18" ht="15.75">
      <c r="B116" s="220"/>
      <c r="C116" s="35"/>
      <c r="D116" s="223"/>
      <c r="E116" s="224"/>
      <c r="F116" s="224"/>
      <c r="G116" s="33"/>
      <c r="H116" s="1"/>
      <c r="M116" s="1"/>
      <c r="R116" s="3"/>
    </row>
    <row r="117" spans="1:18" ht="15.75">
      <c r="B117" s="220"/>
      <c r="C117" s="35"/>
      <c r="D117" s="223"/>
      <c r="E117" s="224"/>
      <c r="F117" s="224"/>
      <c r="G117" s="33"/>
      <c r="H117" s="1"/>
      <c r="M117" s="1"/>
      <c r="R117" s="3"/>
    </row>
    <row r="118" spans="1:18" ht="15.75">
      <c r="B118" s="220"/>
      <c r="C118" s="35"/>
      <c r="D118" s="223"/>
      <c r="E118" s="224"/>
      <c r="F118" s="224"/>
      <c r="G118" s="33"/>
      <c r="H118" s="1"/>
      <c r="M118" s="1"/>
      <c r="R118" s="3"/>
    </row>
    <row r="119" spans="1:18" ht="16.5" thickBot="1">
      <c r="B119" s="221"/>
      <c r="C119" s="37"/>
      <c r="D119" s="221"/>
      <c r="E119" s="225"/>
      <c r="F119" s="225"/>
      <c r="G119" s="34"/>
      <c r="H119" s="1"/>
      <c r="M119" s="1"/>
      <c r="R119" s="3"/>
    </row>
    <row r="120" spans="1:18" ht="16.5" thickBot="1">
      <c r="A120" s="164">
        <f>SUM(A106:A108)</f>
        <v>148.39999999999992</v>
      </c>
      <c r="B120" s="221">
        <f>SUM(B106:B119)</f>
        <v>400</v>
      </c>
      <c r="C120" s="34" t="s">
        <v>66</v>
      </c>
      <c r="D120" s="221">
        <f>SUM(D106:D119)</f>
        <v>1231.7200000000003</v>
      </c>
      <c r="E120" s="221">
        <f>SUM(E106:E119)</f>
        <v>0</v>
      </c>
      <c r="F120" s="221">
        <f>SUM(F106:F119)</f>
        <v>0</v>
      </c>
      <c r="G120" s="34" t="s">
        <v>66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289" t="str">
        <f>'2018'!A26</f>
        <v>Teléfono</v>
      </c>
      <c r="C122" s="290"/>
      <c r="D122" s="290"/>
      <c r="E122" s="290"/>
      <c r="F122" s="290"/>
      <c r="G122" s="291"/>
      <c r="H122" s="1"/>
      <c r="M122" s="1"/>
      <c r="R122" s="3"/>
    </row>
    <row r="123" spans="1:18" ht="16.149999999999999" customHeight="1" thickBot="1">
      <c r="A123" s="1"/>
      <c r="B123" s="292"/>
      <c r="C123" s="293"/>
      <c r="D123" s="293"/>
      <c r="E123" s="293"/>
      <c r="F123" s="293"/>
      <c r="G123" s="294"/>
      <c r="H123" s="1"/>
      <c r="M123" s="1"/>
      <c r="R123" s="3"/>
    </row>
    <row r="124" spans="1:18" ht="15.75">
      <c r="A124" s="1"/>
      <c r="B124" s="297" t="s">
        <v>10</v>
      </c>
      <c r="C124" s="296"/>
      <c r="D124" s="295" t="s">
        <v>11</v>
      </c>
      <c r="E124" s="295"/>
      <c r="F124" s="295"/>
      <c r="G124" s="296"/>
      <c r="H124" s="1"/>
      <c r="M124" s="1"/>
      <c r="R124" s="3"/>
    </row>
    <row r="125" spans="1:18" ht="15.75">
      <c r="A125" s="1"/>
      <c r="B125" s="218" t="s">
        <v>32</v>
      </c>
      <c r="C125" s="60" t="s">
        <v>33</v>
      </c>
      <c r="D125" s="218" t="s">
        <v>68</v>
      </c>
      <c r="E125" s="222" t="s">
        <v>69</v>
      </c>
      <c r="F125" s="222" t="s">
        <v>32</v>
      </c>
      <c r="G125" s="60" t="s">
        <v>33</v>
      </c>
      <c r="H125" s="1"/>
      <c r="M125" s="1"/>
      <c r="R125" s="3"/>
    </row>
    <row r="126" spans="1:18" ht="15.75">
      <c r="A126" s="1"/>
      <c r="B126" s="219">
        <v>27.5</v>
      </c>
      <c r="C126" s="36" t="s">
        <v>57</v>
      </c>
      <c r="D126" s="223">
        <v>27.5</v>
      </c>
      <c r="E126" s="224"/>
      <c r="F126" s="224"/>
      <c r="G126" s="33" t="s">
        <v>57</v>
      </c>
      <c r="H126" s="1"/>
      <c r="M126" s="1"/>
      <c r="R126" s="3"/>
    </row>
    <row r="127" spans="1:18" ht="15.75">
      <c r="A127" s="1"/>
      <c r="B127" s="220">
        <v>12.5</v>
      </c>
      <c r="C127" s="33" t="s">
        <v>58</v>
      </c>
      <c r="D127" s="223">
        <v>10</v>
      </c>
      <c r="E127" s="224"/>
      <c r="F127" s="224"/>
      <c r="G127" s="33" t="s">
        <v>199</v>
      </c>
      <c r="H127" s="1"/>
      <c r="M127" s="1"/>
      <c r="R127" s="3"/>
    </row>
    <row r="128" spans="1:18" ht="15.75">
      <c r="A128" s="1"/>
      <c r="B128" s="220">
        <v>8</v>
      </c>
      <c r="C128" s="33" t="s">
        <v>337</v>
      </c>
      <c r="D128" s="223">
        <v>10</v>
      </c>
      <c r="E128" s="224"/>
      <c r="F128" s="224"/>
      <c r="G128" s="33" t="s">
        <v>219</v>
      </c>
      <c r="H128" s="1"/>
      <c r="M128" s="1"/>
      <c r="R128" s="3"/>
    </row>
    <row r="129" spans="1:18" ht="15.75">
      <c r="A129" s="1"/>
      <c r="B129" s="220"/>
      <c r="C129" s="33"/>
      <c r="D129" s="223"/>
      <c r="E129" s="224">
        <v>7.99</v>
      </c>
      <c r="F129" s="224"/>
      <c r="G129" s="33" t="s">
        <v>337</v>
      </c>
      <c r="H129" s="1"/>
      <c r="M129" s="1"/>
      <c r="R129" s="3"/>
    </row>
    <row r="130" spans="1:18" ht="15.75">
      <c r="A130" s="1"/>
      <c r="B130" s="220"/>
      <c r="C130" s="33"/>
      <c r="D130" s="223"/>
      <c r="E130" s="224"/>
      <c r="F130" s="224"/>
      <c r="G130" s="33"/>
      <c r="H130" s="1"/>
      <c r="M130" s="1"/>
      <c r="R130" s="3"/>
    </row>
    <row r="131" spans="1:18" ht="15.75">
      <c r="A131" s="1"/>
      <c r="B131" s="220"/>
      <c r="C131" s="33"/>
      <c r="D131" s="223"/>
      <c r="E131" s="224"/>
      <c r="F131" s="224"/>
      <c r="G131" s="33"/>
      <c r="H131" s="1"/>
      <c r="M131" s="1"/>
      <c r="R131" s="3"/>
    </row>
    <row r="132" spans="1:18" ht="15.75">
      <c r="A132" s="1"/>
      <c r="B132" s="220"/>
      <c r="C132" s="33"/>
      <c r="D132" s="223"/>
      <c r="E132" s="224"/>
      <c r="F132" s="224"/>
      <c r="G132" s="33"/>
      <c r="H132" s="1"/>
      <c r="M132" s="1"/>
      <c r="R132" s="3"/>
    </row>
    <row r="133" spans="1:18" ht="15.75">
      <c r="A133" s="1"/>
      <c r="B133" s="220"/>
      <c r="C133" s="33"/>
      <c r="D133" s="223"/>
      <c r="E133" s="224"/>
      <c r="F133" s="224"/>
      <c r="G133" s="33"/>
      <c r="H133" s="1"/>
      <c r="M133" s="1"/>
      <c r="R133" s="3"/>
    </row>
    <row r="134" spans="1:18" ht="15.75">
      <c r="A134" s="1"/>
      <c r="B134" s="220"/>
      <c r="C134" s="33"/>
      <c r="D134" s="223"/>
      <c r="E134" s="224"/>
      <c r="F134" s="224"/>
      <c r="G134" s="33"/>
      <c r="H134" s="1"/>
      <c r="M134" s="1"/>
      <c r="R134" s="3"/>
    </row>
    <row r="135" spans="1:18" ht="15.75">
      <c r="A135" s="1"/>
      <c r="B135" s="220"/>
      <c r="C135" s="33"/>
      <c r="D135" s="223"/>
      <c r="E135" s="224"/>
      <c r="F135" s="224"/>
      <c r="G135" s="33"/>
      <c r="H135" s="1"/>
      <c r="M135" s="1"/>
      <c r="R135" s="3"/>
    </row>
    <row r="136" spans="1:18" ht="15.75">
      <c r="A136" s="1"/>
      <c r="B136" s="220"/>
      <c r="C136" s="33"/>
      <c r="D136" s="223"/>
      <c r="E136" s="224"/>
      <c r="F136" s="224"/>
      <c r="G136" s="33"/>
      <c r="H136" s="1"/>
      <c r="M136" s="1"/>
      <c r="R136" s="3"/>
    </row>
    <row r="137" spans="1:18" ht="15.75">
      <c r="A137" s="1"/>
      <c r="B137" s="220"/>
      <c r="C137" s="33"/>
      <c r="D137" s="223"/>
      <c r="E137" s="224"/>
      <c r="F137" s="224"/>
      <c r="G137" s="33"/>
      <c r="H137" s="1"/>
      <c r="M137" s="1"/>
      <c r="R137" s="3"/>
    </row>
    <row r="138" spans="1:18" ht="15.75">
      <c r="A138" s="1"/>
      <c r="B138" s="220"/>
      <c r="C138" s="33"/>
      <c r="D138" s="223"/>
      <c r="E138" s="224"/>
      <c r="F138" s="224"/>
      <c r="G138" s="33"/>
      <c r="H138" s="1"/>
      <c r="M138" s="1"/>
      <c r="R138" s="3"/>
    </row>
    <row r="139" spans="1:18" ht="16.5" thickBot="1">
      <c r="A139" s="1"/>
      <c r="B139" s="221"/>
      <c r="C139" s="34"/>
      <c r="D139" s="221"/>
      <c r="E139" s="225"/>
      <c r="F139" s="225"/>
      <c r="G139" s="34"/>
      <c r="H139" s="1"/>
      <c r="M139" s="1"/>
      <c r="R139" s="3"/>
    </row>
    <row r="140" spans="1:18" ht="16.5" thickBot="1">
      <c r="A140" s="1"/>
      <c r="B140" s="221">
        <f>SUM(B126:B139)</f>
        <v>48</v>
      </c>
      <c r="C140" s="34" t="s">
        <v>66</v>
      </c>
      <c r="D140" s="221">
        <f>SUM(D126:D139)</f>
        <v>47.5</v>
      </c>
      <c r="E140" s="221">
        <f>SUM(E126:E139)</f>
        <v>7.99</v>
      </c>
      <c r="F140" s="221">
        <f>SUM(F126:F139)</f>
        <v>0</v>
      </c>
      <c r="G140" s="34" t="s">
        <v>66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289" t="str">
        <f>'2018'!A27</f>
        <v>Gatos</v>
      </c>
      <c r="C142" s="290"/>
      <c r="D142" s="290"/>
      <c r="E142" s="290"/>
      <c r="F142" s="290"/>
      <c r="G142" s="291"/>
      <c r="H142" s="1"/>
      <c r="M142" s="1"/>
      <c r="R142" s="3"/>
    </row>
    <row r="143" spans="1:18" ht="16.149999999999999" customHeight="1" thickBot="1">
      <c r="A143" s="1"/>
      <c r="B143" s="292"/>
      <c r="C143" s="293"/>
      <c r="D143" s="293"/>
      <c r="E143" s="293"/>
      <c r="F143" s="293"/>
      <c r="G143" s="294"/>
      <c r="H143" s="1"/>
      <c r="M143" s="1"/>
      <c r="R143" s="3"/>
    </row>
    <row r="144" spans="1:18" ht="15.75">
      <c r="A144" s="1"/>
      <c r="B144" s="297" t="s">
        <v>10</v>
      </c>
      <c r="C144" s="296"/>
      <c r="D144" s="295" t="s">
        <v>11</v>
      </c>
      <c r="E144" s="295"/>
      <c r="F144" s="295"/>
      <c r="G144" s="296"/>
      <c r="H144" s="1"/>
      <c r="M144" s="1"/>
      <c r="R144" s="3"/>
    </row>
    <row r="145" spans="1:22" ht="15.75">
      <c r="A145" s="1"/>
      <c r="B145" s="218" t="s">
        <v>32</v>
      </c>
      <c r="C145" s="60" t="s">
        <v>33</v>
      </c>
      <c r="D145" s="218" t="s">
        <v>68</v>
      </c>
      <c r="E145" s="222" t="s">
        <v>69</v>
      </c>
      <c r="F145" s="222" t="s">
        <v>32</v>
      </c>
      <c r="G145" s="60" t="s">
        <v>393</v>
      </c>
      <c r="H145" s="1"/>
      <c r="M145" s="1"/>
      <c r="R145" s="3"/>
    </row>
    <row r="146" spans="1:22" ht="15.75">
      <c r="A146" s="1"/>
      <c r="B146" s="219">
        <v>50</v>
      </c>
      <c r="C146" s="36" t="s">
        <v>487</v>
      </c>
      <c r="D146" s="223">
        <v>14.56</v>
      </c>
      <c r="E146" s="224"/>
      <c r="F146" s="224"/>
      <c r="G146" s="33" t="s">
        <v>724</v>
      </c>
      <c r="H146" s="1"/>
      <c r="M146" s="1"/>
      <c r="R146" s="3"/>
    </row>
    <row r="147" spans="1:22" ht="15.75">
      <c r="A147" s="1"/>
      <c r="B147" s="220"/>
      <c r="C147" s="33"/>
      <c r="D147" s="223">
        <v>1.77</v>
      </c>
      <c r="E147" s="224"/>
      <c r="F147" s="224"/>
      <c r="G147" s="33" t="s">
        <v>757</v>
      </c>
      <c r="H147" s="1"/>
      <c r="M147" s="1"/>
      <c r="R147" s="3"/>
    </row>
    <row r="148" spans="1:22" ht="15.75">
      <c r="A148" s="1"/>
      <c r="B148" s="220"/>
      <c r="C148" s="33"/>
      <c r="D148" s="223"/>
      <c r="E148" s="224"/>
      <c r="F148" s="224"/>
      <c r="G148" s="33"/>
      <c r="H148" s="1"/>
      <c r="M148" s="1"/>
      <c r="R148" s="3"/>
    </row>
    <row r="149" spans="1:22" ht="15.75">
      <c r="A149" s="1"/>
      <c r="B149" s="220"/>
      <c r="C149" s="33"/>
      <c r="D149" s="223"/>
      <c r="E149" s="224"/>
      <c r="F149" s="224"/>
      <c r="G149" s="33"/>
      <c r="H149" s="1"/>
      <c r="M149" s="1"/>
      <c r="R149" s="3"/>
    </row>
    <row r="150" spans="1:22" ht="15.75">
      <c r="A150" s="1"/>
      <c r="B150" s="220"/>
      <c r="C150" s="33"/>
      <c r="D150" s="223"/>
      <c r="E150" s="224"/>
      <c r="F150" s="224"/>
      <c r="G150" s="33"/>
      <c r="H150" s="1"/>
      <c r="M150" s="1"/>
      <c r="R150" s="3"/>
    </row>
    <row r="151" spans="1:22" ht="15.75">
      <c r="A151" s="1"/>
      <c r="B151" s="220"/>
      <c r="C151" s="33"/>
      <c r="D151" s="223"/>
      <c r="E151" s="224"/>
      <c r="F151" s="224"/>
      <c r="G151" s="33"/>
      <c r="H151" s="1"/>
      <c r="M151" s="1"/>
      <c r="R151" s="3"/>
    </row>
    <row r="152" spans="1:22" ht="15.75">
      <c r="A152" s="1"/>
      <c r="B152" s="220"/>
      <c r="C152" s="33"/>
      <c r="D152" s="223"/>
      <c r="E152" s="224"/>
      <c r="F152" s="224"/>
      <c r="G152" s="33"/>
      <c r="H152" s="1"/>
      <c r="M152" s="1"/>
      <c r="R152" s="3"/>
    </row>
    <row r="153" spans="1:22" ht="15.75">
      <c r="A153" s="1"/>
      <c r="B153" s="220"/>
      <c r="C153" s="33"/>
      <c r="D153" s="223"/>
      <c r="E153" s="224"/>
      <c r="F153" s="224"/>
      <c r="G153" s="33"/>
      <c r="H153" s="1"/>
      <c r="M153" s="1"/>
      <c r="R153" s="3"/>
    </row>
    <row r="154" spans="1:22" ht="15.75">
      <c r="A154" s="1"/>
      <c r="B154" s="220"/>
      <c r="C154" s="33"/>
      <c r="D154" s="223"/>
      <c r="E154" s="224"/>
      <c r="F154" s="224"/>
      <c r="G154" s="33"/>
      <c r="H154" s="1"/>
      <c r="M154" s="1"/>
      <c r="R154" s="3"/>
    </row>
    <row r="155" spans="1:22" ht="15.75">
      <c r="A155" s="1"/>
      <c r="B155" s="220"/>
      <c r="C155" s="33"/>
      <c r="D155" s="223"/>
      <c r="E155" s="224"/>
      <c r="F155" s="224"/>
      <c r="G155" s="33"/>
      <c r="H155" s="1"/>
      <c r="M155" s="1"/>
      <c r="R155" s="3"/>
    </row>
    <row r="156" spans="1:22" ht="15.75">
      <c r="A156" s="1"/>
      <c r="B156" s="220"/>
      <c r="C156" s="33"/>
      <c r="D156" s="223"/>
      <c r="E156" s="224"/>
      <c r="F156" s="224"/>
      <c r="G156" s="33"/>
      <c r="H156" s="1"/>
      <c r="M156" s="1"/>
      <c r="R156" s="3"/>
    </row>
    <row r="157" spans="1:22" ht="15.75">
      <c r="A157" s="1"/>
      <c r="B157" s="220"/>
      <c r="C157" s="33"/>
      <c r="D157" s="223"/>
      <c r="E157" s="224"/>
      <c r="F157" s="224"/>
      <c r="G157" s="33"/>
      <c r="H157" s="1"/>
      <c r="M157" s="1"/>
      <c r="R157" s="3"/>
    </row>
    <row r="158" spans="1:22" ht="15.75">
      <c r="A158" s="1"/>
      <c r="B158" s="220"/>
      <c r="C158" s="33"/>
      <c r="D158" s="223"/>
      <c r="E158" s="224"/>
      <c r="F158" s="224"/>
      <c r="G158" s="33"/>
      <c r="H158" s="1"/>
      <c r="M158" s="1"/>
      <c r="R158" s="3"/>
    </row>
    <row r="159" spans="1:22" ht="16.5" thickBot="1">
      <c r="A159" s="1"/>
      <c r="B159" s="221"/>
      <c r="C159" s="34"/>
      <c r="D159" s="221"/>
      <c r="E159" s="225"/>
      <c r="F159" s="225"/>
      <c r="G159" s="34"/>
      <c r="H159" s="1"/>
      <c r="M159" s="1"/>
      <c r="R159" s="3"/>
    </row>
    <row r="160" spans="1:22" ht="16.5" thickBot="1">
      <c r="A160" s="1"/>
      <c r="B160" s="221">
        <f>SUM(B146:B159)</f>
        <v>50</v>
      </c>
      <c r="C160" s="34" t="s">
        <v>66</v>
      </c>
      <c r="D160" s="221">
        <f>SUM(D146:D159)</f>
        <v>16.330000000000002</v>
      </c>
      <c r="E160" s="221">
        <f>SUM(E146:E159)</f>
        <v>0</v>
      </c>
      <c r="F160" s="221">
        <f>SUM(F146:F159)</f>
        <v>0</v>
      </c>
      <c r="G160" s="34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63"/>
      <c r="C161" s="1"/>
      <c r="D161" s="163"/>
      <c r="E161" s="163"/>
      <c r="F161" s="163"/>
      <c r="G161" s="1"/>
      <c r="H161" s="1"/>
      <c r="I161" s="1"/>
      <c r="J161" s="1"/>
      <c r="K161" s="163"/>
      <c r="L161" s="163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89" t="str">
        <f>'2018'!A28</f>
        <v>Vacaciones</v>
      </c>
      <c r="C162" s="290"/>
      <c r="D162" s="290"/>
      <c r="E162" s="290"/>
      <c r="F162" s="290"/>
      <c r="G162" s="291"/>
      <c r="H162" s="1"/>
      <c r="I162" s="1"/>
      <c r="J162" s="1"/>
      <c r="K162" s="163"/>
      <c r="L162" s="163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92"/>
      <c r="C163" s="293"/>
      <c r="D163" s="293"/>
      <c r="E163" s="293"/>
      <c r="F163" s="293"/>
      <c r="G163" s="294"/>
      <c r="H163" s="1"/>
      <c r="I163" s="1"/>
      <c r="J163" s="1"/>
      <c r="K163" s="163"/>
      <c r="L163" s="163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97" t="s">
        <v>10</v>
      </c>
      <c r="C164" s="296"/>
      <c r="D164" s="295" t="s">
        <v>11</v>
      </c>
      <c r="E164" s="295"/>
      <c r="F164" s="295"/>
      <c r="G164" s="296"/>
      <c r="H164" s="1"/>
      <c r="I164" s="1"/>
      <c r="J164" s="1"/>
      <c r="K164" s="163"/>
      <c r="L164" s="163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218" t="s">
        <v>32</v>
      </c>
      <c r="C165" s="60" t="s">
        <v>33</v>
      </c>
      <c r="D165" s="218" t="s">
        <v>68</v>
      </c>
      <c r="E165" s="222" t="s">
        <v>69</v>
      </c>
      <c r="F165" s="222" t="s">
        <v>32</v>
      </c>
      <c r="G165" s="60" t="s">
        <v>33</v>
      </c>
      <c r="H165" s="1"/>
      <c r="I165" s="1"/>
      <c r="J165" s="1"/>
      <c r="K165" s="163"/>
      <c r="L165" s="163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219">
        <v>200</v>
      </c>
      <c r="C166" s="36" t="s">
        <v>36</v>
      </c>
      <c r="D166" s="223"/>
      <c r="E166" s="224"/>
      <c r="F166" s="224"/>
      <c r="G166" s="33"/>
      <c r="H166" s="1"/>
      <c r="I166" s="1"/>
      <c r="J166" s="1"/>
      <c r="K166" s="163"/>
      <c r="L166" s="163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220">
        <v>10</v>
      </c>
      <c r="C167" s="33"/>
      <c r="D167" s="223"/>
      <c r="E167" s="224"/>
      <c r="F167" s="224"/>
      <c r="G167" s="33"/>
      <c r="H167" s="1"/>
      <c r="I167" s="1"/>
      <c r="J167" s="1"/>
      <c r="K167" s="163"/>
      <c r="L167" s="163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220"/>
      <c r="C168" s="33"/>
      <c r="D168" s="223"/>
      <c r="E168" s="224"/>
      <c r="F168" s="224"/>
      <c r="G168" s="33"/>
      <c r="H168" s="1"/>
      <c r="I168" s="1"/>
      <c r="J168" s="1"/>
      <c r="K168" s="163"/>
      <c r="L168" s="163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220"/>
      <c r="C169" s="33"/>
      <c r="D169" s="223"/>
      <c r="E169" s="224"/>
      <c r="F169" s="224"/>
      <c r="G169" s="33"/>
      <c r="H169" s="1"/>
      <c r="I169" s="1"/>
      <c r="J169" s="1"/>
      <c r="K169" s="163"/>
      <c r="L169" s="163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220"/>
      <c r="C170" s="33"/>
      <c r="D170" s="223"/>
      <c r="E170" s="224"/>
      <c r="F170" s="224"/>
      <c r="G170" s="33"/>
      <c r="H170" s="1"/>
      <c r="I170" s="1"/>
      <c r="J170" s="1"/>
      <c r="K170" s="163"/>
      <c r="L170" s="163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220"/>
      <c r="C171" s="33"/>
      <c r="D171" s="223"/>
      <c r="E171" s="224"/>
      <c r="F171" s="224"/>
      <c r="G171" s="33"/>
      <c r="H171" s="1"/>
      <c r="I171" s="1"/>
      <c r="J171" s="1"/>
      <c r="K171" s="163"/>
      <c r="L171" s="163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220"/>
      <c r="C172" s="33"/>
      <c r="D172" s="223"/>
      <c r="E172" s="224"/>
      <c r="F172" s="224"/>
      <c r="G172" s="33"/>
      <c r="H172" s="1"/>
      <c r="I172" s="1"/>
      <c r="J172" s="1"/>
      <c r="K172" s="163"/>
      <c r="L172" s="163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220"/>
      <c r="C173" s="33"/>
      <c r="D173" s="223"/>
      <c r="E173" s="224"/>
      <c r="F173" s="224"/>
      <c r="G173" s="33"/>
      <c r="H173" s="1"/>
      <c r="I173" s="1"/>
      <c r="J173" s="1"/>
      <c r="K173" s="163"/>
      <c r="L173" s="163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220"/>
      <c r="C174" s="33"/>
      <c r="D174" s="223"/>
      <c r="E174" s="224"/>
      <c r="F174" s="224"/>
      <c r="G174" s="33"/>
      <c r="H174" s="1"/>
      <c r="I174" s="1"/>
      <c r="J174" s="1"/>
      <c r="K174" s="163"/>
      <c r="L174" s="163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220"/>
      <c r="C175" s="33"/>
      <c r="D175" s="223"/>
      <c r="E175" s="224"/>
      <c r="F175" s="224"/>
      <c r="G175" s="33"/>
      <c r="H175" s="1"/>
      <c r="I175" s="1"/>
      <c r="J175" s="1"/>
      <c r="K175" s="163"/>
      <c r="L175" s="163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220"/>
      <c r="C176" s="33"/>
      <c r="D176" s="223"/>
      <c r="E176" s="224"/>
      <c r="F176" s="224"/>
      <c r="G176" s="33"/>
      <c r="H176" s="1"/>
      <c r="I176" s="1"/>
      <c r="J176" s="1"/>
      <c r="K176" s="163"/>
      <c r="L176" s="163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220"/>
      <c r="C177" s="33"/>
      <c r="D177" s="223"/>
      <c r="E177" s="224"/>
      <c r="F177" s="224"/>
      <c r="G177" s="33"/>
      <c r="H177" s="1"/>
      <c r="I177" s="1"/>
      <c r="J177" s="1"/>
      <c r="K177" s="163"/>
      <c r="L177" s="163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220"/>
      <c r="C178" s="33"/>
      <c r="D178" s="223"/>
      <c r="E178" s="224"/>
      <c r="F178" s="224"/>
      <c r="G178" s="33"/>
      <c r="H178" s="1"/>
      <c r="I178" s="1"/>
      <c r="J178" s="1"/>
      <c r="K178" s="163"/>
      <c r="L178" s="163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221"/>
      <c r="C179" s="34"/>
      <c r="D179" s="221"/>
      <c r="E179" s="225"/>
      <c r="F179" s="225"/>
      <c r="G179" s="34"/>
      <c r="H179" s="1"/>
      <c r="I179" s="1"/>
      <c r="J179" s="1"/>
      <c r="K179" s="163"/>
      <c r="L179" s="163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221">
        <f>SUM(B166:B179)</f>
        <v>210</v>
      </c>
      <c r="C180" s="34" t="s">
        <v>66</v>
      </c>
      <c r="D180" s="221">
        <f>SUM(D166:D179)</f>
        <v>0</v>
      </c>
      <c r="E180" s="221">
        <f>SUM(E166:E179)</f>
        <v>0</v>
      </c>
      <c r="F180" s="221">
        <f>SUM(F166:F179)</f>
        <v>0</v>
      </c>
      <c r="G180" s="34" t="s">
        <v>66</v>
      </c>
      <c r="H180" s="1"/>
      <c r="I180" s="1"/>
      <c r="J180" s="1"/>
      <c r="K180" s="163"/>
      <c r="L180" s="163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63"/>
      <c r="G181" s="1"/>
      <c r="H181" s="1"/>
      <c r="I181" s="1"/>
      <c r="J181" s="1"/>
      <c r="K181" s="163"/>
      <c r="L181" s="163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89" t="str">
        <f>'2018'!A29</f>
        <v>Ropa</v>
      </c>
      <c r="C182" s="290"/>
      <c r="D182" s="290"/>
      <c r="E182" s="290"/>
      <c r="F182" s="290"/>
      <c r="G182" s="291"/>
      <c r="H182" s="1"/>
      <c r="I182" s="1"/>
      <c r="J182" s="1"/>
      <c r="K182" s="163"/>
      <c r="L182" s="163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92"/>
      <c r="C183" s="293"/>
      <c r="D183" s="293"/>
      <c r="E183" s="293"/>
      <c r="F183" s="293"/>
      <c r="G183" s="294"/>
      <c r="H183" s="1"/>
      <c r="I183" s="1"/>
      <c r="J183" s="1"/>
      <c r="K183" s="163"/>
      <c r="L183" s="163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97" t="s">
        <v>10</v>
      </c>
      <c r="C184" s="296"/>
      <c r="D184" s="295" t="s">
        <v>11</v>
      </c>
      <c r="E184" s="295"/>
      <c r="F184" s="295"/>
      <c r="G184" s="296"/>
      <c r="H184" s="1"/>
      <c r="I184" s="1"/>
      <c r="J184" s="1"/>
      <c r="K184" s="163"/>
      <c r="L184" s="163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218" t="s">
        <v>32</v>
      </c>
      <c r="C185" s="60" t="s">
        <v>33</v>
      </c>
      <c r="D185" s="218" t="s">
        <v>68</v>
      </c>
      <c r="E185" s="222" t="s">
        <v>69</v>
      </c>
      <c r="F185" s="222" t="s">
        <v>32</v>
      </c>
      <c r="G185" s="60" t="s">
        <v>393</v>
      </c>
      <c r="H185" s="1"/>
      <c r="I185" s="1"/>
      <c r="J185" s="1"/>
      <c r="K185" s="163"/>
      <c r="L185" s="163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219">
        <v>70</v>
      </c>
      <c r="C186" s="36" t="s">
        <v>506</v>
      </c>
      <c r="D186" s="223"/>
      <c r="E186" s="224">
        <f>27.61-E286</f>
        <v>20.61</v>
      </c>
      <c r="F186" s="224"/>
      <c r="G186" s="33" t="s">
        <v>729</v>
      </c>
      <c r="H186" s="1"/>
      <c r="I186" s="1"/>
      <c r="J186" s="1"/>
      <c r="K186" s="163"/>
      <c r="L186" s="163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220"/>
      <c r="C187" s="33"/>
      <c r="D187" s="223"/>
      <c r="E187" s="224"/>
      <c r="F187" s="224">
        <v>11</v>
      </c>
      <c r="G187" s="33" t="s">
        <v>730</v>
      </c>
      <c r="H187" s="1"/>
      <c r="I187" s="1"/>
      <c r="J187" s="1"/>
      <c r="K187" s="163"/>
      <c r="L187" s="163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220"/>
      <c r="C188" s="33"/>
      <c r="D188" s="223">
        <v>69.900000000000006</v>
      </c>
      <c r="E188" s="224"/>
      <c r="F188" s="224"/>
      <c r="G188" s="33" t="s">
        <v>737</v>
      </c>
    </row>
    <row r="189" spans="1:22">
      <c r="B189" s="220"/>
      <c r="C189" s="33"/>
      <c r="D189" s="223">
        <v>7</v>
      </c>
      <c r="E189" s="224"/>
      <c r="F189" s="224"/>
      <c r="G189" s="33" t="s">
        <v>745</v>
      </c>
    </row>
    <row r="190" spans="1:22">
      <c r="B190" s="220"/>
      <c r="C190" s="33"/>
      <c r="D190" s="223">
        <f>47.39-14.95</f>
        <v>32.44</v>
      </c>
      <c r="E190" s="224"/>
      <c r="F190" s="224"/>
      <c r="G190" s="33" t="s">
        <v>752</v>
      </c>
    </row>
    <row r="191" spans="1:22">
      <c r="B191" s="220"/>
      <c r="C191" s="33"/>
      <c r="D191" s="223">
        <v>25.19</v>
      </c>
      <c r="E191" s="224"/>
      <c r="F191" s="224"/>
      <c r="G191" s="33" t="s">
        <v>753</v>
      </c>
    </row>
    <row r="192" spans="1:22">
      <c r="B192" s="220"/>
      <c r="C192" s="33"/>
      <c r="D192" s="223"/>
      <c r="E192" s="224"/>
      <c r="F192" s="224"/>
      <c r="G192" s="33"/>
    </row>
    <row r="193" spans="2:8">
      <c r="B193" s="220"/>
      <c r="C193" s="33"/>
      <c r="D193" s="223"/>
      <c r="E193" s="224"/>
      <c r="F193" s="224"/>
      <c r="G193" s="33"/>
    </row>
    <row r="194" spans="2:8">
      <c r="B194" s="220"/>
      <c r="C194" s="33"/>
      <c r="D194" s="223"/>
      <c r="E194" s="224"/>
      <c r="F194" s="224"/>
      <c r="G194" s="33"/>
    </row>
    <row r="195" spans="2:8">
      <c r="B195" s="220"/>
      <c r="C195" s="33"/>
      <c r="D195" s="223"/>
      <c r="E195" s="224"/>
      <c r="F195" s="224"/>
      <c r="G195" s="33"/>
    </row>
    <row r="196" spans="2:8">
      <c r="B196" s="220"/>
      <c r="C196" s="33"/>
      <c r="D196" s="223"/>
      <c r="E196" s="224"/>
      <c r="F196" s="224"/>
      <c r="G196" s="33"/>
    </row>
    <row r="197" spans="2:8">
      <c r="B197" s="220"/>
      <c r="C197" s="33"/>
      <c r="D197" s="223"/>
      <c r="E197" s="224"/>
      <c r="F197" s="224"/>
      <c r="G197" s="33"/>
    </row>
    <row r="198" spans="2:8">
      <c r="B198" s="220"/>
      <c r="C198" s="33"/>
      <c r="D198" s="223"/>
      <c r="E198" s="224"/>
      <c r="F198" s="224"/>
      <c r="G198" s="33"/>
    </row>
    <row r="199" spans="2:8" ht="15.75" thickBot="1">
      <c r="B199" s="221"/>
      <c r="C199" s="34"/>
      <c r="D199" s="221"/>
      <c r="E199" s="225"/>
      <c r="F199" s="225"/>
      <c r="G199" s="34"/>
    </row>
    <row r="200" spans="2:8" ht="15.75" thickBot="1">
      <c r="B200" s="221">
        <f>SUM(B186:B199)</f>
        <v>70</v>
      </c>
      <c r="C200" s="34" t="s">
        <v>66</v>
      </c>
      <c r="D200" s="221">
        <f>SUM(D186:D199)</f>
        <v>134.53</v>
      </c>
      <c r="E200" s="221">
        <f>SUM(E186:E199)</f>
        <v>20.61</v>
      </c>
      <c r="F200" s="221">
        <f>SUM(F186:F199)</f>
        <v>11</v>
      </c>
      <c r="G200" s="34" t="s">
        <v>66</v>
      </c>
    </row>
    <row r="201" spans="2:8" ht="15.75" thickBot="1">
      <c r="B201" s="5"/>
      <c r="C201" s="3"/>
      <c r="D201" s="5"/>
      <c r="E201" s="5"/>
    </row>
    <row r="202" spans="2:8" ht="14.45" customHeight="1">
      <c r="B202" s="289" t="str">
        <f>'2018'!A30</f>
        <v>Belleza</v>
      </c>
      <c r="C202" s="290"/>
      <c r="D202" s="290"/>
      <c r="E202" s="290"/>
      <c r="F202" s="290"/>
      <c r="G202" s="291"/>
    </row>
    <row r="203" spans="2:8" ht="15" customHeight="1" thickBot="1">
      <c r="B203" s="292"/>
      <c r="C203" s="293"/>
      <c r="D203" s="293"/>
      <c r="E203" s="293"/>
      <c r="F203" s="293"/>
      <c r="G203" s="294"/>
    </row>
    <row r="204" spans="2:8">
      <c r="B204" s="297" t="s">
        <v>10</v>
      </c>
      <c r="C204" s="296"/>
      <c r="D204" s="295" t="s">
        <v>11</v>
      </c>
      <c r="E204" s="295"/>
      <c r="F204" s="295"/>
      <c r="G204" s="296"/>
    </row>
    <row r="205" spans="2:8">
      <c r="B205" s="218" t="s">
        <v>32</v>
      </c>
      <c r="C205" s="60" t="s">
        <v>33</v>
      </c>
      <c r="D205" s="218" t="s">
        <v>68</v>
      </c>
      <c r="E205" s="222" t="s">
        <v>69</v>
      </c>
      <c r="F205" s="222" t="s">
        <v>32</v>
      </c>
      <c r="G205" s="60" t="s">
        <v>393</v>
      </c>
    </row>
    <row r="206" spans="2:8">
      <c r="B206" s="219">
        <v>35</v>
      </c>
      <c r="C206" s="36"/>
      <c r="D206" s="223"/>
      <c r="E206" s="224"/>
      <c r="F206" s="224">
        <f>5.58-F47</f>
        <v>3.58</v>
      </c>
      <c r="G206" s="33" t="s">
        <v>719</v>
      </c>
    </row>
    <row r="207" spans="2:8">
      <c r="B207" s="220"/>
      <c r="C207" s="33"/>
      <c r="D207" s="223">
        <f>55.62+39.27-D287</f>
        <v>47.81</v>
      </c>
      <c r="E207" s="224"/>
      <c r="F207" s="224"/>
      <c r="G207" s="33" t="s">
        <v>741</v>
      </c>
    </row>
    <row r="208" spans="2:8">
      <c r="B208" s="220"/>
      <c r="C208" s="33"/>
      <c r="D208" s="223">
        <v>18.27</v>
      </c>
      <c r="E208" s="224"/>
      <c r="F208" s="224"/>
      <c r="G208" s="33" t="s">
        <v>746</v>
      </c>
      <c r="H208" s="164">
        <f>136.55-D208</f>
        <v>118.28000000000002</v>
      </c>
    </row>
    <row r="209" spans="2:7">
      <c r="B209" s="220"/>
      <c r="C209" s="33"/>
      <c r="D209" s="223">
        <v>118.28</v>
      </c>
      <c r="E209" s="224"/>
      <c r="F209" s="224"/>
      <c r="G209" s="33"/>
    </row>
    <row r="210" spans="2:7">
      <c r="B210" s="220"/>
      <c r="C210" s="33"/>
      <c r="D210" s="223"/>
      <c r="E210" s="224"/>
      <c r="F210" s="224"/>
      <c r="G210" s="33"/>
    </row>
    <row r="211" spans="2:7">
      <c r="B211" s="220"/>
      <c r="C211" s="33"/>
      <c r="D211" s="223"/>
      <c r="E211" s="224"/>
      <c r="F211" s="224"/>
      <c r="G211" s="33"/>
    </row>
    <row r="212" spans="2:7">
      <c r="B212" s="220"/>
      <c r="C212" s="33"/>
      <c r="D212" s="223"/>
      <c r="E212" s="224"/>
      <c r="F212" s="224"/>
      <c r="G212" s="33"/>
    </row>
    <row r="213" spans="2:7">
      <c r="B213" s="220"/>
      <c r="C213" s="33"/>
      <c r="D213" s="223"/>
      <c r="E213" s="224"/>
      <c r="F213" s="224"/>
      <c r="G213" s="33"/>
    </row>
    <row r="214" spans="2:7">
      <c r="B214" s="220"/>
      <c r="C214" s="33"/>
      <c r="D214" s="223"/>
      <c r="E214" s="224"/>
      <c r="F214" s="224"/>
      <c r="G214" s="33"/>
    </row>
    <row r="215" spans="2:7">
      <c r="B215" s="220"/>
      <c r="C215" s="33"/>
      <c r="D215" s="223"/>
      <c r="E215" s="224"/>
      <c r="F215" s="224"/>
      <c r="G215" s="33"/>
    </row>
    <row r="216" spans="2:7">
      <c r="B216" s="220"/>
      <c r="C216" s="33"/>
      <c r="D216" s="223"/>
      <c r="E216" s="224"/>
      <c r="F216" s="224"/>
      <c r="G216" s="33"/>
    </row>
    <row r="217" spans="2:7">
      <c r="B217" s="220"/>
      <c r="C217" s="33"/>
      <c r="D217" s="223"/>
      <c r="E217" s="224"/>
      <c r="F217" s="224"/>
      <c r="G217" s="33"/>
    </row>
    <row r="218" spans="2:7">
      <c r="B218" s="220"/>
      <c r="C218" s="33"/>
      <c r="D218" s="223"/>
      <c r="E218" s="224"/>
      <c r="F218" s="224"/>
      <c r="G218" s="33"/>
    </row>
    <row r="219" spans="2:7" ht="15.75" thickBot="1">
      <c r="B219" s="221"/>
      <c r="C219" s="34"/>
      <c r="D219" s="221"/>
      <c r="E219" s="225"/>
      <c r="F219" s="225"/>
      <c r="G219" s="34"/>
    </row>
    <row r="220" spans="2:7" ht="15.75" thickBot="1">
      <c r="B220" s="221">
        <f>SUM(B206:B219)</f>
        <v>35</v>
      </c>
      <c r="C220" s="34" t="s">
        <v>66</v>
      </c>
      <c r="D220" s="221">
        <f>SUM(D206:D219)</f>
        <v>184.36</v>
      </c>
      <c r="E220" s="221">
        <f>SUM(E206:E219)</f>
        <v>0</v>
      </c>
      <c r="F220" s="221">
        <f>SUM(F206:F219)</f>
        <v>3.58</v>
      </c>
      <c r="G220" s="34" t="s">
        <v>66</v>
      </c>
    </row>
    <row r="221" spans="2:7" ht="15.75" thickBot="1">
      <c r="B221" s="5"/>
      <c r="C221" s="3"/>
      <c r="D221" s="5"/>
      <c r="E221" s="5"/>
    </row>
    <row r="222" spans="2:7" ht="14.45" customHeight="1">
      <c r="B222" s="289" t="str">
        <f>'2018'!A31</f>
        <v>Deportes</v>
      </c>
      <c r="C222" s="290"/>
      <c r="D222" s="290"/>
      <c r="E222" s="290"/>
      <c r="F222" s="290"/>
      <c r="G222" s="291"/>
    </row>
    <row r="223" spans="2:7" ht="15" customHeight="1" thickBot="1">
      <c r="B223" s="292"/>
      <c r="C223" s="293"/>
      <c r="D223" s="293"/>
      <c r="E223" s="293"/>
      <c r="F223" s="293"/>
      <c r="G223" s="294"/>
    </row>
    <row r="224" spans="2:7">
      <c r="B224" s="297" t="s">
        <v>10</v>
      </c>
      <c r="C224" s="296"/>
      <c r="D224" s="295" t="s">
        <v>11</v>
      </c>
      <c r="E224" s="295"/>
      <c r="F224" s="295"/>
      <c r="G224" s="296"/>
    </row>
    <row r="225" spans="2:7">
      <c r="B225" s="218" t="s">
        <v>32</v>
      </c>
      <c r="C225" s="60" t="s">
        <v>33</v>
      </c>
      <c r="D225" s="218" t="s">
        <v>68</v>
      </c>
      <c r="E225" s="222" t="s">
        <v>69</v>
      </c>
      <c r="F225" s="222" t="s">
        <v>32</v>
      </c>
      <c r="G225" s="60" t="s">
        <v>33</v>
      </c>
    </row>
    <row r="226" spans="2:7">
      <c r="B226" s="219">
        <v>20</v>
      </c>
      <c r="C226" s="36" t="s">
        <v>50</v>
      </c>
      <c r="D226" s="223">
        <v>19.989999999999998</v>
      </c>
      <c r="E226" s="224"/>
      <c r="F226" s="224"/>
      <c r="G226" s="58" t="s">
        <v>50</v>
      </c>
    </row>
    <row r="227" spans="2:7">
      <c r="B227" s="220"/>
      <c r="C227" s="33" t="s">
        <v>46</v>
      </c>
      <c r="D227" s="223"/>
      <c r="E227" s="224"/>
      <c r="F227" s="224"/>
      <c r="G227" s="33"/>
    </row>
    <row r="228" spans="2:7">
      <c r="B228" s="220"/>
      <c r="C228" s="33"/>
      <c r="D228" s="223"/>
      <c r="E228" s="224"/>
      <c r="F228" s="224"/>
      <c r="G228" s="33"/>
    </row>
    <row r="229" spans="2:7">
      <c r="B229" s="220"/>
      <c r="C229" s="33"/>
      <c r="D229" s="223"/>
      <c r="E229" s="224"/>
      <c r="F229" s="224"/>
      <c r="G229" s="33"/>
    </row>
    <row r="230" spans="2:7">
      <c r="B230" s="220"/>
      <c r="C230" s="33"/>
      <c r="D230" s="223"/>
      <c r="E230" s="224"/>
      <c r="F230" s="224"/>
      <c r="G230" s="33"/>
    </row>
    <row r="231" spans="2:7">
      <c r="B231" s="220"/>
      <c r="C231" s="33"/>
      <c r="D231" s="223"/>
      <c r="E231" s="224"/>
      <c r="F231" s="224"/>
      <c r="G231" s="33"/>
    </row>
    <row r="232" spans="2:7">
      <c r="B232" s="220"/>
      <c r="C232" s="33"/>
      <c r="D232" s="223"/>
      <c r="E232" s="224"/>
      <c r="F232" s="224"/>
      <c r="G232" s="33"/>
    </row>
    <row r="233" spans="2:7">
      <c r="B233" s="220"/>
      <c r="C233" s="33"/>
      <c r="D233" s="223"/>
      <c r="E233" s="224"/>
      <c r="F233" s="224"/>
      <c r="G233" s="33"/>
    </row>
    <row r="234" spans="2:7">
      <c r="B234" s="220"/>
      <c r="C234" s="33"/>
      <c r="D234" s="223"/>
      <c r="E234" s="224"/>
      <c r="F234" s="224"/>
      <c r="G234" s="33"/>
    </row>
    <row r="235" spans="2:7">
      <c r="B235" s="220"/>
      <c r="C235" s="33"/>
      <c r="D235" s="223"/>
      <c r="E235" s="224"/>
      <c r="F235" s="224"/>
      <c r="G235" s="33"/>
    </row>
    <row r="236" spans="2:7">
      <c r="B236" s="220"/>
      <c r="C236" s="33"/>
      <c r="D236" s="223"/>
      <c r="E236" s="224"/>
      <c r="F236" s="224"/>
      <c r="G236" s="33"/>
    </row>
    <row r="237" spans="2:7">
      <c r="B237" s="220"/>
      <c r="C237" s="33"/>
      <c r="D237" s="223"/>
      <c r="E237" s="224"/>
      <c r="F237" s="224"/>
      <c r="G237" s="33"/>
    </row>
    <row r="238" spans="2:7">
      <c r="B238" s="220"/>
      <c r="C238" s="33"/>
      <c r="D238" s="223"/>
      <c r="E238" s="224"/>
      <c r="F238" s="224"/>
      <c r="G238" s="33"/>
    </row>
    <row r="239" spans="2:7" ht="15.75" thickBot="1">
      <c r="B239" s="221"/>
      <c r="C239" s="34"/>
      <c r="D239" s="221"/>
      <c r="E239" s="225"/>
      <c r="F239" s="225"/>
      <c r="G239" s="34"/>
    </row>
    <row r="240" spans="2:7" ht="15.75" thickBot="1">
      <c r="B240" s="221">
        <f>SUM(B226:B239)</f>
        <v>20</v>
      </c>
      <c r="C240" s="34" t="s">
        <v>66</v>
      </c>
      <c r="D240" s="221">
        <f>SUM(D226:D239)</f>
        <v>19.989999999999998</v>
      </c>
      <c r="E240" s="221">
        <f>SUM(E226:E239)</f>
        <v>0</v>
      </c>
      <c r="F240" s="221">
        <f>SUM(F226:F239)</f>
        <v>0</v>
      </c>
      <c r="G240" s="34" t="s">
        <v>66</v>
      </c>
    </row>
    <row r="241" spans="2:7" ht="15.75" thickBot="1">
      <c r="B241" s="5"/>
      <c r="C241" s="3"/>
      <c r="D241" s="5"/>
      <c r="E241" s="5"/>
    </row>
    <row r="242" spans="2:7" ht="14.45" customHeight="1">
      <c r="B242" s="289" t="str">
        <f>'2018'!A32</f>
        <v>Hogar</v>
      </c>
      <c r="C242" s="290"/>
      <c r="D242" s="290"/>
      <c r="E242" s="290"/>
      <c r="F242" s="290"/>
      <c r="G242" s="291"/>
    </row>
    <row r="243" spans="2:7" ht="15" customHeight="1" thickBot="1">
      <c r="B243" s="292"/>
      <c r="C243" s="293"/>
      <c r="D243" s="293"/>
      <c r="E243" s="293"/>
      <c r="F243" s="293"/>
      <c r="G243" s="294"/>
    </row>
    <row r="244" spans="2:7" ht="15" customHeight="1">
      <c r="B244" s="297" t="s">
        <v>10</v>
      </c>
      <c r="C244" s="296"/>
      <c r="D244" s="295" t="s">
        <v>11</v>
      </c>
      <c r="E244" s="295"/>
      <c r="F244" s="295"/>
      <c r="G244" s="296"/>
    </row>
    <row r="245" spans="2:7" ht="15" customHeight="1">
      <c r="B245" s="218" t="s">
        <v>32</v>
      </c>
      <c r="C245" s="60" t="s">
        <v>33</v>
      </c>
      <c r="D245" s="218" t="s">
        <v>68</v>
      </c>
      <c r="E245" s="222" t="s">
        <v>69</v>
      </c>
      <c r="F245" s="222" t="s">
        <v>32</v>
      </c>
      <c r="G245" s="60" t="s">
        <v>393</v>
      </c>
    </row>
    <row r="246" spans="2:7" ht="15" customHeight="1">
      <c r="B246" s="220">
        <v>50</v>
      </c>
      <c r="C246" s="66"/>
      <c r="D246" s="223">
        <v>35</v>
      </c>
      <c r="E246" s="224"/>
      <c r="F246" s="224"/>
      <c r="G246" s="33" t="s">
        <v>727</v>
      </c>
    </row>
    <row r="247" spans="2:7" ht="15" customHeight="1">
      <c r="B247" s="220"/>
      <c r="C247" s="33"/>
      <c r="D247" s="223">
        <f>77.4-D293-D368-D147-D58</f>
        <v>40.630000000000003</v>
      </c>
      <c r="E247" s="224"/>
      <c r="F247" s="224"/>
      <c r="G247" s="33" t="s">
        <v>757</v>
      </c>
    </row>
    <row r="248" spans="2:7">
      <c r="B248" s="220"/>
      <c r="C248" s="33"/>
      <c r="D248" s="223"/>
      <c r="E248" s="224">
        <v>73.14</v>
      </c>
      <c r="F248" s="224"/>
      <c r="G248" s="33" t="s">
        <v>758</v>
      </c>
    </row>
    <row r="249" spans="2:7">
      <c r="B249" s="220"/>
      <c r="C249" s="33"/>
      <c r="D249" s="223"/>
      <c r="E249" s="224"/>
      <c r="F249" s="224"/>
      <c r="G249" s="33"/>
    </row>
    <row r="250" spans="2:7">
      <c r="B250" s="220"/>
      <c r="C250" s="33"/>
      <c r="D250" s="223"/>
      <c r="E250" s="224"/>
      <c r="F250" s="224"/>
      <c r="G250" s="33"/>
    </row>
    <row r="251" spans="2:7">
      <c r="B251" s="220"/>
      <c r="C251" s="33"/>
      <c r="D251" s="223"/>
      <c r="E251" s="224"/>
      <c r="F251" s="224"/>
      <c r="G251" s="33"/>
    </row>
    <row r="252" spans="2:7">
      <c r="B252" s="220"/>
      <c r="C252" s="33"/>
      <c r="D252" s="223"/>
      <c r="E252" s="224"/>
      <c r="F252" s="224"/>
      <c r="G252" s="33"/>
    </row>
    <row r="253" spans="2:7">
      <c r="B253" s="220"/>
      <c r="C253" s="33"/>
      <c r="D253" s="223"/>
      <c r="E253" s="224"/>
      <c r="F253" s="224"/>
      <c r="G253" s="33"/>
    </row>
    <row r="254" spans="2:7">
      <c r="B254" s="220"/>
      <c r="C254" s="33"/>
      <c r="D254" s="223"/>
      <c r="E254" s="224"/>
      <c r="F254" s="224"/>
      <c r="G254" s="33"/>
    </row>
    <row r="255" spans="2:7">
      <c r="B255" s="220"/>
      <c r="C255" s="33"/>
      <c r="D255" s="223"/>
      <c r="E255" s="224"/>
      <c r="F255" s="224"/>
      <c r="G255" s="33"/>
    </row>
    <row r="256" spans="2:7">
      <c r="B256" s="220"/>
      <c r="C256" s="33"/>
      <c r="D256" s="223"/>
      <c r="E256" s="224"/>
      <c r="F256" s="224"/>
      <c r="G256" s="33"/>
    </row>
    <row r="257" spans="2:7">
      <c r="B257" s="220"/>
      <c r="C257" s="33"/>
      <c r="D257" s="223"/>
      <c r="E257" s="224"/>
      <c r="F257" s="224"/>
      <c r="G257" s="33"/>
    </row>
    <row r="258" spans="2:7">
      <c r="B258" s="220"/>
      <c r="C258" s="33"/>
      <c r="D258" s="223"/>
      <c r="E258" s="224"/>
      <c r="F258" s="224"/>
      <c r="G258" s="33"/>
    </row>
    <row r="259" spans="2:7" ht="15.75" thickBot="1">
      <c r="B259" s="221"/>
      <c r="C259" s="34"/>
      <c r="D259" s="221"/>
      <c r="E259" s="225"/>
      <c r="F259" s="225"/>
      <c r="G259" s="34"/>
    </row>
    <row r="260" spans="2:7" ht="15.75" thickBot="1">
      <c r="B260" s="221">
        <f>SUM(B246:B259)</f>
        <v>50</v>
      </c>
      <c r="C260" s="34" t="s">
        <v>66</v>
      </c>
      <c r="D260" s="221">
        <f>SUM(D246:D259)</f>
        <v>75.63</v>
      </c>
      <c r="E260" s="221">
        <f>SUM(E246:E259)</f>
        <v>73.14</v>
      </c>
      <c r="F260" s="221">
        <f>SUM(F246:F259)</f>
        <v>0</v>
      </c>
      <c r="G260" s="34" t="s">
        <v>66</v>
      </c>
    </row>
    <row r="261" spans="2:7" ht="15.75" thickBot="1">
      <c r="B261" s="5"/>
      <c r="C261" s="3"/>
      <c r="D261" s="5"/>
      <c r="E261" s="5"/>
    </row>
    <row r="262" spans="2:7" ht="14.45" customHeight="1">
      <c r="B262" s="289" t="str">
        <f>'2018'!A33</f>
        <v>Formación</v>
      </c>
      <c r="C262" s="290"/>
      <c r="D262" s="290"/>
      <c r="E262" s="290"/>
      <c r="F262" s="290"/>
      <c r="G262" s="291"/>
    </row>
    <row r="263" spans="2:7" ht="15" customHeight="1" thickBot="1">
      <c r="B263" s="292"/>
      <c r="C263" s="293"/>
      <c r="D263" s="293"/>
      <c r="E263" s="293"/>
      <c r="F263" s="293"/>
      <c r="G263" s="294"/>
    </row>
    <row r="264" spans="2:7">
      <c r="B264" s="297" t="s">
        <v>10</v>
      </c>
      <c r="C264" s="296"/>
      <c r="D264" s="295" t="s">
        <v>11</v>
      </c>
      <c r="E264" s="295"/>
      <c r="F264" s="295"/>
      <c r="G264" s="296"/>
    </row>
    <row r="265" spans="2:7">
      <c r="B265" s="218" t="s">
        <v>32</v>
      </c>
      <c r="C265" s="60" t="s">
        <v>33</v>
      </c>
      <c r="D265" s="218" t="s">
        <v>68</v>
      </c>
      <c r="E265" s="222" t="s">
        <v>69</v>
      </c>
      <c r="F265" s="222" t="s">
        <v>32</v>
      </c>
      <c r="G265" s="60" t="s">
        <v>33</v>
      </c>
    </row>
    <row r="266" spans="2:7">
      <c r="B266" s="219">
        <v>50</v>
      </c>
      <c r="C266" s="36"/>
      <c r="D266" s="223"/>
      <c r="E266" s="224"/>
      <c r="F266" s="224"/>
      <c r="G266" s="33"/>
    </row>
    <row r="267" spans="2:7">
      <c r="B267" s="220"/>
      <c r="C267" s="33"/>
      <c r="D267" s="223"/>
      <c r="E267" s="224"/>
      <c r="F267" s="224"/>
      <c r="G267" s="33"/>
    </row>
    <row r="268" spans="2:7">
      <c r="B268" s="220"/>
      <c r="C268" s="33"/>
      <c r="D268" s="223"/>
      <c r="E268" s="224"/>
      <c r="F268" s="224"/>
      <c r="G268" s="33"/>
    </row>
    <row r="269" spans="2:7">
      <c r="B269" s="220"/>
      <c r="C269" s="33"/>
      <c r="D269" s="223"/>
      <c r="E269" s="224"/>
      <c r="F269" s="224"/>
      <c r="G269" s="33"/>
    </row>
    <row r="270" spans="2:7">
      <c r="B270" s="220"/>
      <c r="C270" s="33"/>
      <c r="D270" s="223"/>
      <c r="E270" s="224"/>
      <c r="F270" s="224"/>
      <c r="G270" s="33"/>
    </row>
    <row r="271" spans="2:7">
      <c r="B271" s="220"/>
      <c r="C271" s="33"/>
      <c r="D271" s="223"/>
      <c r="E271" s="224"/>
      <c r="F271" s="224"/>
      <c r="G271" s="33"/>
    </row>
    <row r="272" spans="2:7">
      <c r="B272" s="220"/>
      <c r="C272" s="33"/>
      <c r="D272" s="223"/>
      <c r="E272" s="224"/>
      <c r="F272" s="224"/>
      <c r="G272" s="33"/>
    </row>
    <row r="273" spans="2:7">
      <c r="B273" s="220"/>
      <c r="C273" s="33"/>
      <c r="D273" s="223"/>
      <c r="E273" s="224"/>
      <c r="F273" s="224"/>
      <c r="G273" s="33"/>
    </row>
    <row r="274" spans="2:7">
      <c r="B274" s="220"/>
      <c r="C274" s="33"/>
      <c r="D274" s="223"/>
      <c r="E274" s="224"/>
      <c r="F274" s="224"/>
      <c r="G274" s="33"/>
    </row>
    <row r="275" spans="2:7">
      <c r="B275" s="220"/>
      <c r="C275" s="33"/>
      <c r="D275" s="223"/>
      <c r="E275" s="224"/>
      <c r="F275" s="224"/>
      <c r="G275" s="33"/>
    </row>
    <row r="276" spans="2:7">
      <c r="B276" s="220"/>
      <c r="C276" s="33"/>
      <c r="D276" s="223"/>
      <c r="E276" s="224"/>
      <c r="F276" s="224"/>
      <c r="G276" s="33"/>
    </row>
    <row r="277" spans="2:7">
      <c r="B277" s="220"/>
      <c r="C277" s="33"/>
      <c r="D277" s="223"/>
      <c r="E277" s="224"/>
      <c r="F277" s="224"/>
      <c r="G277" s="33"/>
    </row>
    <row r="278" spans="2:7">
      <c r="B278" s="220"/>
      <c r="C278" s="33"/>
      <c r="D278" s="223"/>
      <c r="E278" s="224"/>
      <c r="F278" s="224"/>
      <c r="G278" s="33"/>
    </row>
    <row r="279" spans="2:7" ht="15.75" thickBot="1">
      <c r="B279" s="221"/>
      <c r="C279" s="34"/>
      <c r="D279" s="221"/>
      <c r="E279" s="225"/>
      <c r="F279" s="225"/>
      <c r="G279" s="34"/>
    </row>
    <row r="280" spans="2:7" ht="15.75" thickBot="1">
      <c r="B280" s="221">
        <f>SUM(B266:B279)</f>
        <v>50</v>
      </c>
      <c r="C280" s="34" t="s">
        <v>66</v>
      </c>
      <c r="D280" s="221">
        <f>SUM(D266:D279)</f>
        <v>0</v>
      </c>
      <c r="E280" s="221">
        <f>SUM(E266:E279)</f>
        <v>0</v>
      </c>
      <c r="F280" s="221">
        <f>SUM(F266:F279)</f>
        <v>0</v>
      </c>
      <c r="G280" s="34" t="s">
        <v>66</v>
      </c>
    </row>
    <row r="281" spans="2:7" ht="15.75" thickBot="1">
      <c r="B281" s="5"/>
      <c r="C281" s="3"/>
      <c r="D281" s="5"/>
      <c r="E281" s="5"/>
    </row>
    <row r="282" spans="2:7" ht="14.45" customHeight="1">
      <c r="B282" s="289" t="str">
        <f>'2018'!A34</f>
        <v>Regalos</v>
      </c>
      <c r="C282" s="290"/>
      <c r="D282" s="290"/>
      <c r="E282" s="290"/>
      <c r="F282" s="290"/>
      <c r="G282" s="291"/>
    </row>
    <row r="283" spans="2:7" ht="15" customHeight="1" thickBot="1">
      <c r="B283" s="292"/>
      <c r="C283" s="293"/>
      <c r="D283" s="293"/>
      <c r="E283" s="293"/>
      <c r="F283" s="293"/>
      <c r="G283" s="294"/>
    </row>
    <row r="284" spans="2:7">
      <c r="B284" s="297" t="s">
        <v>10</v>
      </c>
      <c r="C284" s="296"/>
      <c r="D284" s="295" t="s">
        <v>11</v>
      </c>
      <c r="E284" s="295"/>
      <c r="F284" s="295"/>
      <c r="G284" s="296"/>
    </row>
    <row r="285" spans="2:7">
      <c r="B285" s="218" t="s">
        <v>32</v>
      </c>
      <c r="C285" s="60" t="s">
        <v>33</v>
      </c>
      <c r="D285" s="218" t="s">
        <v>68</v>
      </c>
      <c r="E285" s="222" t="s">
        <v>69</v>
      </c>
      <c r="F285" s="222" t="s">
        <v>32</v>
      </c>
      <c r="G285" s="60" t="s">
        <v>393</v>
      </c>
    </row>
    <row r="286" spans="2:7">
      <c r="B286" s="219">
        <v>95</v>
      </c>
      <c r="C286" s="36" t="s">
        <v>36</v>
      </c>
      <c r="D286" s="223"/>
      <c r="E286" s="224">
        <v>7</v>
      </c>
      <c r="F286" s="224"/>
      <c r="G286" s="33" t="s">
        <v>729</v>
      </c>
    </row>
    <row r="287" spans="2:7">
      <c r="B287" s="220">
        <v>-15</v>
      </c>
      <c r="C287" s="33" t="s">
        <v>21</v>
      </c>
      <c r="D287" s="223">
        <f>((18.9+4.9+5.9)-2.97)+((12.9*2)-5.45)</f>
        <v>47.08</v>
      </c>
      <c r="E287" s="224"/>
      <c r="F287" s="224"/>
      <c r="G287" s="33" t="s">
        <v>742</v>
      </c>
    </row>
    <row r="288" spans="2:7">
      <c r="B288" s="220"/>
      <c r="C288" s="33"/>
      <c r="D288" s="223">
        <f>23.94-3.94</f>
        <v>20</v>
      </c>
      <c r="E288" s="224"/>
      <c r="F288" s="224"/>
      <c r="G288" s="33" t="s">
        <v>743</v>
      </c>
    </row>
    <row r="289" spans="2:7">
      <c r="B289" s="220"/>
      <c r="C289" s="33"/>
      <c r="D289" s="223">
        <v>10</v>
      </c>
      <c r="E289" s="224"/>
      <c r="F289" s="224"/>
      <c r="G289" s="33" t="s">
        <v>745</v>
      </c>
    </row>
    <row r="290" spans="2:7">
      <c r="B290" s="220"/>
      <c r="C290" s="33"/>
      <c r="D290" s="223">
        <v>29.64</v>
      </c>
      <c r="E290" s="224"/>
      <c r="F290" s="224"/>
      <c r="G290" s="33" t="s">
        <v>747</v>
      </c>
    </row>
    <row r="291" spans="2:7">
      <c r="B291" s="220"/>
      <c r="C291" s="33"/>
      <c r="D291" s="223"/>
      <c r="E291" s="224">
        <v>55</v>
      </c>
      <c r="F291" s="224"/>
      <c r="G291" s="33" t="s">
        <v>748</v>
      </c>
    </row>
    <row r="292" spans="2:7">
      <c r="B292" s="220"/>
      <c r="C292" s="33"/>
      <c r="D292" s="223">
        <v>13.48</v>
      </c>
      <c r="E292" s="224"/>
      <c r="F292" s="224"/>
      <c r="G292" s="33" t="s">
        <v>755</v>
      </c>
    </row>
    <row r="293" spans="2:7">
      <c r="B293" s="220"/>
      <c r="C293" s="33"/>
      <c r="D293" s="223">
        <v>15</v>
      </c>
      <c r="E293" s="224"/>
      <c r="F293" s="224"/>
      <c r="G293" s="33" t="s">
        <v>757</v>
      </c>
    </row>
    <row r="294" spans="2:7">
      <c r="B294" s="220"/>
      <c r="C294" s="33"/>
      <c r="D294" s="223"/>
      <c r="E294" s="224"/>
      <c r="F294" s="224"/>
      <c r="G294" s="33"/>
    </row>
    <row r="295" spans="2:7">
      <c r="B295" s="220"/>
      <c r="C295" s="33"/>
      <c r="D295" s="223"/>
      <c r="E295" s="224"/>
      <c r="F295" s="224"/>
      <c r="G295" s="33"/>
    </row>
    <row r="296" spans="2:7">
      <c r="B296" s="220"/>
      <c r="C296" s="33"/>
      <c r="D296" s="223"/>
      <c r="E296" s="224"/>
      <c r="F296" s="224"/>
      <c r="G296" s="33"/>
    </row>
    <row r="297" spans="2:7">
      <c r="B297" s="220"/>
      <c r="C297" s="33"/>
      <c r="D297" s="223"/>
      <c r="E297" s="224"/>
      <c r="F297" s="224"/>
      <c r="G297" s="33"/>
    </row>
    <row r="298" spans="2:7">
      <c r="B298" s="220"/>
      <c r="C298" s="33"/>
      <c r="D298" s="223"/>
      <c r="E298" s="224"/>
      <c r="F298" s="224"/>
      <c r="G298" s="33"/>
    </row>
    <row r="299" spans="2:7" ht="15.75" thickBot="1">
      <c r="B299" s="221"/>
      <c r="C299" s="34"/>
      <c r="D299" s="221"/>
      <c r="E299" s="225"/>
      <c r="F299" s="225"/>
      <c r="G299" s="34"/>
    </row>
    <row r="300" spans="2:7" ht="15.75" thickBot="1">
      <c r="B300" s="221">
        <f>SUM(B286:B299)</f>
        <v>80</v>
      </c>
      <c r="C300" s="34" t="s">
        <v>66</v>
      </c>
      <c r="D300" s="221">
        <f>SUM(D286:D299)</f>
        <v>135.19999999999999</v>
      </c>
      <c r="E300" s="221">
        <f>SUM(E286:E299)</f>
        <v>62</v>
      </c>
      <c r="F300" s="221">
        <f>SUM(F286:F299)</f>
        <v>0</v>
      </c>
      <c r="G300" s="34" t="s">
        <v>66</v>
      </c>
    </row>
    <row r="301" spans="2:7" ht="15.75" thickBot="1">
      <c r="B301" s="5"/>
      <c r="C301" s="3"/>
      <c r="D301" s="5"/>
      <c r="E301" s="5"/>
    </row>
    <row r="302" spans="2:7" ht="14.45" customHeight="1">
      <c r="B302" s="289" t="str">
        <f>'2018'!A35</f>
        <v>Salud</v>
      </c>
      <c r="C302" s="290"/>
      <c r="D302" s="290"/>
      <c r="E302" s="290"/>
      <c r="F302" s="290"/>
      <c r="G302" s="291"/>
    </row>
    <row r="303" spans="2:7" ht="15" customHeight="1" thickBot="1">
      <c r="B303" s="292"/>
      <c r="C303" s="293"/>
      <c r="D303" s="293"/>
      <c r="E303" s="293"/>
      <c r="F303" s="293"/>
      <c r="G303" s="294"/>
    </row>
    <row r="304" spans="2:7">
      <c r="B304" s="297" t="s">
        <v>10</v>
      </c>
      <c r="C304" s="296"/>
      <c r="D304" s="295" t="s">
        <v>11</v>
      </c>
      <c r="E304" s="295"/>
      <c r="F304" s="295"/>
      <c r="G304" s="296"/>
    </row>
    <row r="305" spans="2:7">
      <c r="B305" s="218" t="s">
        <v>32</v>
      </c>
      <c r="C305" s="60" t="s">
        <v>33</v>
      </c>
      <c r="D305" s="218" t="s">
        <v>68</v>
      </c>
      <c r="E305" s="222" t="s">
        <v>69</v>
      </c>
      <c r="F305" s="222" t="s">
        <v>32</v>
      </c>
      <c r="G305" s="60" t="s">
        <v>393</v>
      </c>
    </row>
    <row r="306" spans="2:7">
      <c r="B306" s="219">
        <v>100</v>
      </c>
      <c r="C306" s="36" t="s">
        <v>472</v>
      </c>
      <c r="D306" s="223">
        <v>16.22</v>
      </c>
      <c r="E306" s="224"/>
      <c r="F306" s="224"/>
      <c r="G306" s="33" t="s">
        <v>722</v>
      </c>
    </row>
    <row r="307" spans="2:7">
      <c r="B307" s="220">
        <v>15</v>
      </c>
      <c r="C307" s="66"/>
      <c r="D307" s="223">
        <v>183.79</v>
      </c>
      <c r="E307" s="224"/>
      <c r="F307" s="224"/>
      <c r="G307" s="33" t="s">
        <v>731</v>
      </c>
    </row>
    <row r="308" spans="2:7">
      <c r="B308" s="220">
        <v>72.709999999999994</v>
      </c>
      <c r="C308" s="66" t="s">
        <v>225</v>
      </c>
      <c r="D308" s="223"/>
      <c r="E308" s="224"/>
      <c r="F308" s="224"/>
      <c r="G308" s="33"/>
    </row>
    <row r="309" spans="2:7">
      <c r="B309" s="220"/>
      <c r="C309" s="33"/>
      <c r="D309" s="223"/>
      <c r="E309" s="224"/>
      <c r="F309" s="224"/>
      <c r="G309" s="33"/>
    </row>
    <row r="310" spans="2:7">
      <c r="B310" s="220"/>
      <c r="C310" s="33"/>
      <c r="D310" s="223"/>
      <c r="E310" s="224"/>
      <c r="F310" s="224"/>
      <c r="G310" s="33"/>
    </row>
    <row r="311" spans="2:7">
      <c r="B311" s="220"/>
      <c r="C311" s="33"/>
      <c r="D311" s="223"/>
      <c r="E311" s="224"/>
      <c r="F311" s="224"/>
      <c r="G311" s="33"/>
    </row>
    <row r="312" spans="2:7">
      <c r="B312" s="220"/>
      <c r="C312" s="33"/>
      <c r="D312" s="223"/>
      <c r="E312" s="224"/>
      <c r="F312" s="224"/>
      <c r="G312" s="33"/>
    </row>
    <row r="313" spans="2:7">
      <c r="B313" s="220"/>
      <c r="C313" s="33"/>
      <c r="D313" s="223"/>
      <c r="E313" s="224"/>
      <c r="F313" s="224"/>
      <c r="G313" s="33"/>
    </row>
    <row r="314" spans="2:7">
      <c r="B314" s="220"/>
      <c r="C314" s="33"/>
      <c r="D314" s="223"/>
      <c r="E314" s="224"/>
      <c r="F314" s="224"/>
      <c r="G314" s="33"/>
    </row>
    <row r="315" spans="2:7">
      <c r="B315" s="220"/>
      <c r="C315" s="33"/>
      <c r="D315" s="223"/>
      <c r="E315" s="224"/>
      <c r="F315" s="224"/>
      <c r="G315" s="33"/>
    </row>
    <row r="316" spans="2:7">
      <c r="B316" s="220"/>
      <c r="C316" s="33"/>
      <c r="D316" s="223"/>
      <c r="E316" s="224"/>
      <c r="F316" s="224"/>
      <c r="G316" s="33"/>
    </row>
    <row r="317" spans="2:7">
      <c r="B317" s="220"/>
      <c r="C317" s="33"/>
      <c r="D317" s="223"/>
      <c r="E317" s="224"/>
      <c r="F317" s="224"/>
      <c r="G317" s="33"/>
    </row>
    <row r="318" spans="2:7">
      <c r="B318" s="220"/>
      <c r="C318" s="33"/>
      <c r="D318" s="223"/>
      <c r="E318" s="224"/>
      <c r="F318" s="224"/>
      <c r="G318" s="33"/>
    </row>
    <row r="319" spans="2:7" ht="15.75" thickBot="1">
      <c r="B319" s="221"/>
      <c r="C319" s="34"/>
      <c r="D319" s="221"/>
      <c r="E319" s="225"/>
      <c r="F319" s="225"/>
      <c r="G319" s="34"/>
    </row>
    <row r="320" spans="2:7" ht="15.75" thickBot="1">
      <c r="B320" s="221">
        <f>SUM(B306:B319)</f>
        <v>187.70999999999998</v>
      </c>
      <c r="C320" s="34" t="s">
        <v>66</v>
      </c>
      <c r="D320" s="221">
        <f>SUM(D306:D319)</f>
        <v>200.01</v>
      </c>
      <c r="E320" s="221">
        <f>SUM(E306:E319)</f>
        <v>0</v>
      </c>
      <c r="F320" s="221">
        <f>SUM(F306:F319)</f>
        <v>0</v>
      </c>
      <c r="G320" s="34" t="s">
        <v>66</v>
      </c>
    </row>
    <row r="321" spans="2:7" ht="15.75" thickBot="1"/>
    <row r="322" spans="2:7" ht="14.45" customHeight="1">
      <c r="B322" s="289" t="str">
        <f>'2018'!A36</f>
        <v>Martina</v>
      </c>
      <c r="C322" s="290"/>
      <c r="D322" s="290"/>
      <c r="E322" s="290"/>
      <c r="F322" s="290"/>
      <c r="G322" s="291"/>
    </row>
    <row r="323" spans="2:7" ht="15" customHeight="1" thickBot="1">
      <c r="B323" s="292"/>
      <c r="C323" s="293"/>
      <c r="D323" s="293"/>
      <c r="E323" s="293"/>
      <c r="F323" s="293"/>
      <c r="G323" s="294"/>
    </row>
    <row r="324" spans="2:7">
      <c r="B324" s="297" t="s">
        <v>10</v>
      </c>
      <c r="C324" s="296"/>
      <c r="D324" s="295" t="s">
        <v>11</v>
      </c>
      <c r="E324" s="295"/>
      <c r="F324" s="295"/>
      <c r="G324" s="296"/>
    </row>
    <row r="325" spans="2:7">
      <c r="B325" s="218" t="s">
        <v>32</v>
      </c>
      <c r="C325" s="60" t="s">
        <v>33</v>
      </c>
      <c r="D325" s="218" t="s">
        <v>68</v>
      </c>
      <c r="E325" s="222" t="s">
        <v>69</v>
      </c>
      <c r="F325" s="222" t="s">
        <v>32</v>
      </c>
      <c r="G325" s="60" t="s">
        <v>393</v>
      </c>
    </row>
    <row r="326" spans="2:7">
      <c r="B326" s="219">
        <v>90</v>
      </c>
      <c r="C326" s="36"/>
      <c r="D326" s="223">
        <v>12</v>
      </c>
      <c r="E326" s="224"/>
      <c r="F326" s="224"/>
      <c r="G326" s="33" t="s">
        <v>734</v>
      </c>
    </row>
    <row r="327" spans="2:7">
      <c r="B327" s="220"/>
      <c r="C327" s="33"/>
      <c r="D327" s="223">
        <v>37</v>
      </c>
      <c r="E327" s="224"/>
      <c r="F327" s="224"/>
      <c r="G327" s="33" t="s">
        <v>736</v>
      </c>
    </row>
    <row r="328" spans="2:7">
      <c r="B328" s="220"/>
      <c r="C328" s="33"/>
      <c r="D328" s="223"/>
      <c r="E328" s="224"/>
      <c r="F328" s="224"/>
      <c r="G328" s="33"/>
    </row>
    <row r="329" spans="2:7">
      <c r="B329" s="220"/>
      <c r="C329" s="33"/>
      <c r="D329" s="223"/>
      <c r="E329" s="224"/>
      <c r="F329" s="224"/>
      <c r="G329" s="33"/>
    </row>
    <row r="330" spans="2:7">
      <c r="B330" s="220"/>
      <c r="C330" s="33"/>
      <c r="D330" s="223"/>
      <c r="E330" s="224"/>
      <c r="F330" s="224"/>
      <c r="G330" s="33"/>
    </row>
    <row r="331" spans="2:7">
      <c r="B331" s="220"/>
      <c r="C331" s="33"/>
      <c r="D331" s="223"/>
      <c r="E331" s="224"/>
      <c r="F331" s="224"/>
      <c r="G331" s="33"/>
    </row>
    <row r="332" spans="2:7">
      <c r="B332" s="220"/>
      <c r="C332" s="33"/>
      <c r="D332" s="223"/>
      <c r="E332" s="224"/>
      <c r="F332" s="224"/>
      <c r="G332" s="33"/>
    </row>
    <row r="333" spans="2:7">
      <c r="B333" s="220"/>
      <c r="C333" s="33"/>
      <c r="D333" s="223"/>
      <c r="E333" s="224"/>
      <c r="F333" s="224"/>
      <c r="G333" s="33"/>
    </row>
    <row r="334" spans="2:7">
      <c r="B334" s="220"/>
      <c r="C334" s="33"/>
      <c r="D334" s="223"/>
      <c r="E334" s="224"/>
      <c r="F334" s="224"/>
      <c r="G334" s="33"/>
    </row>
    <row r="335" spans="2:7">
      <c r="B335" s="220"/>
      <c r="C335" s="33"/>
      <c r="D335" s="223"/>
      <c r="E335" s="224"/>
      <c r="F335" s="224"/>
      <c r="G335" s="33"/>
    </row>
    <row r="336" spans="2:7">
      <c r="B336" s="220"/>
      <c r="C336" s="33"/>
      <c r="D336" s="223"/>
      <c r="E336" s="224"/>
      <c r="F336" s="224"/>
      <c r="G336" s="33"/>
    </row>
    <row r="337" spans="2:7">
      <c r="B337" s="220"/>
      <c r="C337" s="33"/>
      <c r="D337" s="223"/>
      <c r="E337" s="224"/>
      <c r="F337" s="224"/>
      <c r="G337" s="33"/>
    </row>
    <row r="338" spans="2:7">
      <c r="B338" s="220"/>
      <c r="C338" s="33"/>
      <c r="D338" s="223"/>
      <c r="E338" s="224"/>
      <c r="F338" s="224"/>
      <c r="G338" s="33"/>
    </row>
    <row r="339" spans="2:7" ht="15.75" thickBot="1">
      <c r="B339" s="221"/>
      <c r="C339" s="34"/>
      <c r="D339" s="221"/>
      <c r="E339" s="225"/>
      <c r="F339" s="225"/>
      <c r="G339" s="34"/>
    </row>
    <row r="340" spans="2:7" ht="15.75" thickBot="1">
      <c r="B340" s="221">
        <f>SUM(B326:B339)</f>
        <v>90</v>
      </c>
      <c r="C340" s="34" t="s">
        <v>66</v>
      </c>
      <c r="D340" s="221">
        <f>SUM(D326:D339)</f>
        <v>49</v>
      </c>
      <c r="E340" s="221">
        <f>SUM(E326:E339)</f>
        <v>0</v>
      </c>
      <c r="F340" s="221">
        <f>SUM(F326:F339)</f>
        <v>0</v>
      </c>
      <c r="G340" s="34" t="s">
        <v>66</v>
      </c>
    </row>
    <row r="341" spans="2:7" ht="15.75" thickBot="1">
      <c r="B341" s="5"/>
      <c r="C341" s="3"/>
      <c r="D341" s="5"/>
      <c r="E341" s="5"/>
    </row>
    <row r="342" spans="2:7" ht="14.45" customHeight="1">
      <c r="B342" s="289" t="str">
        <f>'2018'!A37</f>
        <v>Impuestos</v>
      </c>
      <c r="C342" s="290"/>
      <c r="D342" s="290"/>
      <c r="E342" s="290"/>
      <c r="F342" s="290"/>
      <c r="G342" s="291"/>
    </row>
    <row r="343" spans="2:7" ht="15" customHeight="1" thickBot="1">
      <c r="B343" s="292"/>
      <c r="C343" s="293"/>
      <c r="D343" s="293"/>
      <c r="E343" s="293"/>
      <c r="F343" s="293"/>
      <c r="G343" s="294"/>
    </row>
    <row r="344" spans="2:7">
      <c r="B344" s="297" t="s">
        <v>10</v>
      </c>
      <c r="C344" s="296"/>
      <c r="D344" s="295" t="s">
        <v>11</v>
      </c>
      <c r="E344" s="295"/>
      <c r="F344" s="295"/>
      <c r="G344" s="296"/>
    </row>
    <row r="345" spans="2:7">
      <c r="B345" s="218" t="s">
        <v>32</v>
      </c>
      <c r="C345" s="60" t="s">
        <v>33</v>
      </c>
      <c r="D345" s="218" t="s">
        <v>68</v>
      </c>
      <c r="E345" s="222" t="s">
        <v>69</v>
      </c>
      <c r="F345" s="222" t="s">
        <v>32</v>
      </c>
      <c r="G345" s="60" t="s">
        <v>393</v>
      </c>
    </row>
    <row r="346" spans="2:7">
      <c r="B346" s="219">
        <v>30</v>
      </c>
      <c r="C346" s="36" t="s">
        <v>119</v>
      </c>
      <c r="D346" s="223"/>
      <c r="E346" s="224"/>
      <c r="F346" s="224"/>
      <c r="G346" s="33"/>
    </row>
    <row r="347" spans="2:7">
      <c r="B347" s="220">
        <v>15</v>
      </c>
      <c r="C347" s="33" t="s">
        <v>587</v>
      </c>
      <c r="D347" s="223"/>
      <c r="E347" s="224"/>
      <c r="F347" s="224"/>
      <c r="G347" s="33"/>
    </row>
    <row r="348" spans="2:7">
      <c r="B348" s="220"/>
      <c r="C348" s="33"/>
      <c r="D348" s="223"/>
      <c r="E348" s="224"/>
      <c r="F348" s="224"/>
      <c r="G348" s="33"/>
    </row>
    <row r="349" spans="2:7">
      <c r="B349" s="220"/>
      <c r="C349" s="33"/>
      <c r="D349" s="223"/>
      <c r="E349" s="224"/>
      <c r="F349" s="224"/>
      <c r="G349" s="33"/>
    </row>
    <row r="350" spans="2:7">
      <c r="B350" s="220"/>
      <c r="C350" s="33"/>
      <c r="D350" s="223"/>
      <c r="E350" s="224"/>
      <c r="F350" s="224"/>
      <c r="G350" s="33"/>
    </row>
    <row r="351" spans="2:7">
      <c r="B351" s="220"/>
      <c r="C351" s="33"/>
      <c r="D351" s="223"/>
      <c r="E351" s="224"/>
      <c r="F351" s="224"/>
      <c r="G351" s="33"/>
    </row>
    <row r="352" spans="2:7">
      <c r="B352" s="220"/>
      <c r="C352" s="33"/>
      <c r="D352" s="223"/>
      <c r="E352" s="224"/>
      <c r="F352" s="224"/>
      <c r="G352" s="33"/>
    </row>
    <row r="353" spans="2:7">
      <c r="B353" s="220"/>
      <c r="C353" s="33"/>
      <c r="D353" s="223"/>
      <c r="E353" s="224"/>
      <c r="F353" s="224"/>
      <c r="G353" s="33"/>
    </row>
    <row r="354" spans="2:7">
      <c r="B354" s="220"/>
      <c r="C354" s="33"/>
      <c r="D354" s="223"/>
      <c r="E354" s="224"/>
      <c r="F354" s="224"/>
      <c r="G354" s="33"/>
    </row>
    <row r="355" spans="2:7">
      <c r="B355" s="220"/>
      <c r="C355" s="33"/>
      <c r="D355" s="223"/>
      <c r="E355" s="224"/>
      <c r="F355" s="224"/>
      <c r="G355" s="33"/>
    </row>
    <row r="356" spans="2:7">
      <c r="B356" s="220"/>
      <c r="C356" s="33"/>
      <c r="D356" s="223"/>
      <c r="E356" s="224"/>
      <c r="F356" s="224"/>
      <c r="G356" s="33"/>
    </row>
    <row r="357" spans="2:7">
      <c r="B357" s="220"/>
      <c r="C357" s="33"/>
      <c r="D357" s="223"/>
      <c r="E357" s="224"/>
      <c r="F357" s="224"/>
      <c r="G357" s="33"/>
    </row>
    <row r="358" spans="2:7">
      <c r="B358" s="220"/>
      <c r="C358" s="33"/>
      <c r="D358" s="223"/>
      <c r="E358" s="224"/>
      <c r="F358" s="224"/>
      <c r="G358" s="33"/>
    </row>
    <row r="359" spans="2:7" ht="15.75" thickBot="1">
      <c r="B359" s="221"/>
      <c r="C359" s="34"/>
      <c r="D359" s="221"/>
      <c r="E359" s="225"/>
      <c r="F359" s="225"/>
      <c r="G359" s="34"/>
    </row>
    <row r="360" spans="2:7" ht="15.75" thickBot="1">
      <c r="B360" s="221">
        <f>SUM(B346:B359)</f>
        <v>45</v>
      </c>
      <c r="C360" s="34" t="s">
        <v>66</v>
      </c>
      <c r="D360" s="221">
        <f>SUM(D346:D359)</f>
        <v>0</v>
      </c>
      <c r="E360" s="221">
        <f>SUM(E346:E359)</f>
        <v>0</v>
      </c>
      <c r="F360" s="221">
        <f>SUM(F346:F359)</f>
        <v>0</v>
      </c>
      <c r="G360" s="34" t="s">
        <v>66</v>
      </c>
    </row>
    <row r="361" spans="2:7" ht="15.75" thickBot="1">
      <c r="B361" s="5"/>
      <c r="C361" s="3"/>
      <c r="D361" s="5"/>
      <c r="E361" s="5"/>
    </row>
    <row r="362" spans="2:7" ht="14.45" customHeight="1">
      <c r="B362" s="289" t="str">
        <f>'2018'!A38</f>
        <v>Gastos Curros</v>
      </c>
      <c r="C362" s="290"/>
      <c r="D362" s="290"/>
      <c r="E362" s="290"/>
      <c r="F362" s="290"/>
      <c r="G362" s="291"/>
    </row>
    <row r="363" spans="2:7" ht="15" customHeight="1" thickBot="1">
      <c r="B363" s="292"/>
      <c r="C363" s="293"/>
      <c r="D363" s="293"/>
      <c r="E363" s="293"/>
      <c r="F363" s="293"/>
      <c r="G363" s="294"/>
    </row>
    <row r="364" spans="2:7">
      <c r="B364" s="297" t="s">
        <v>10</v>
      </c>
      <c r="C364" s="296"/>
      <c r="D364" s="295" t="s">
        <v>11</v>
      </c>
      <c r="E364" s="295"/>
      <c r="F364" s="295"/>
      <c r="G364" s="296"/>
    </row>
    <row r="365" spans="2:7">
      <c r="B365" s="218" t="s">
        <v>32</v>
      </c>
      <c r="C365" s="60" t="s">
        <v>33</v>
      </c>
      <c r="D365" s="218" t="s">
        <v>68</v>
      </c>
      <c r="E365" s="222" t="s">
        <v>69</v>
      </c>
      <c r="F365" s="222" t="s">
        <v>32</v>
      </c>
      <c r="G365" s="60" t="s">
        <v>393</v>
      </c>
    </row>
    <row r="366" spans="2:7">
      <c r="B366" s="219">
        <v>70</v>
      </c>
      <c r="C366" s="36" t="s">
        <v>36</v>
      </c>
      <c r="D366" s="223">
        <f>4.5</f>
        <v>4.5</v>
      </c>
      <c r="E366" s="224"/>
      <c r="F366" s="224">
        <f>4.7+4.45+3.7+2.8+4.45+4.7+3.5+4.45+3.4</f>
        <v>36.15</v>
      </c>
      <c r="G366" s="70" t="s">
        <v>91</v>
      </c>
    </row>
    <row r="367" spans="2:7">
      <c r="B367" s="220"/>
      <c r="C367" s="33"/>
      <c r="D367" s="223">
        <v>10.050000000000001</v>
      </c>
      <c r="E367" s="224"/>
      <c r="F367" s="224"/>
      <c r="G367" s="70" t="s">
        <v>723</v>
      </c>
    </row>
    <row r="368" spans="2:7">
      <c r="B368" s="220"/>
      <c r="C368" s="33"/>
      <c r="D368" s="223">
        <v>5</v>
      </c>
      <c r="E368" s="224"/>
      <c r="F368" s="224"/>
      <c r="G368" s="33" t="s">
        <v>757</v>
      </c>
    </row>
    <row r="369" spans="2:7">
      <c r="B369" s="220"/>
      <c r="C369" s="33"/>
      <c r="D369" s="223"/>
      <c r="E369" s="224"/>
      <c r="F369" s="224"/>
      <c r="G369" s="33"/>
    </row>
    <row r="370" spans="2:7">
      <c r="B370" s="220"/>
      <c r="C370" s="33"/>
      <c r="D370" s="223"/>
      <c r="E370" s="224"/>
      <c r="F370" s="224"/>
      <c r="G370" s="33"/>
    </row>
    <row r="371" spans="2:7">
      <c r="B371" s="220"/>
      <c r="C371" s="33"/>
      <c r="D371" s="223"/>
      <c r="E371" s="224"/>
      <c r="F371" s="224"/>
      <c r="G371" s="33"/>
    </row>
    <row r="372" spans="2:7">
      <c r="B372" s="220"/>
      <c r="C372" s="33"/>
      <c r="D372" s="223"/>
      <c r="E372" s="224"/>
      <c r="F372" s="224"/>
      <c r="G372" s="33"/>
    </row>
    <row r="373" spans="2:7">
      <c r="B373" s="220"/>
      <c r="C373" s="33"/>
      <c r="D373" s="223"/>
      <c r="E373" s="224"/>
      <c r="F373" s="224"/>
      <c r="G373" s="33"/>
    </row>
    <row r="374" spans="2:7">
      <c r="B374" s="220"/>
      <c r="C374" s="33"/>
      <c r="D374" s="223"/>
      <c r="E374" s="224"/>
      <c r="F374" s="224"/>
      <c r="G374" s="33"/>
    </row>
    <row r="375" spans="2:7">
      <c r="B375" s="220"/>
      <c r="C375" s="33"/>
      <c r="D375" s="223"/>
      <c r="E375" s="224"/>
      <c r="F375" s="224"/>
      <c r="G375" s="33"/>
    </row>
    <row r="376" spans="2:7">
      <c r="B376" s="220"/>
      <c r="C376" s="33"/>
      <c r="D376" s="223"/>
      <c r="E376" s="224"/>
      <c r="F376" s="224"/>
      <c r="G376" s="33"/>
    </row>
    <row r="377" spans="2:7">
      <c r="B377" s="220"/>
      <c r="C377" s="33"/>
      <c r="D377" s="223"/>
      <c r="E377" s="224"/>
      <c r="F377" s="224"/>
      <c r="G377" s="33"/>
    </row>
    <row r="378" spans="2:7">
      <c r="B378" s="220"/>
      <c r="C378" s="33"/>
      <c r="D378" s="223"/>
      <c r="E378" s="224"/>
      <c r="F378" s="224"/>
      <c r="G378" s="33"/>
    </row>
    <row r="379" spans="2:7" ht="15.75" thickBot="1">
      <c r="B379" s="221"/>
      <c r="C379" s="34"/>
      <c r="D379" s="221"/>
      <c r="E379" s="225"/>
      <c r="F379" s="225"/>
      <c r="G379" s="34"/>
    </row>
    <row r="380" spans="2:7" ht="15.75" thickBot="1">
      <c r="B380" s="221">
        <f>SUM(B366:B379)</f>
        <v>70</v>
      </c>
      <c r="C380" s="34" t="s">
        <v>66</v>
      </c>
      <c r="D380" s="221">
        <f>SUM(D366:D379)</f>
        <v>19.55</v>
      </c>
      <c r="E380" s="221">
        <f>SUM(E366:E379)</f>
        <v>0</v>
      </c>
      <c r="F380" s="221">
        <f>SUM(F366:F379)</f>
        <v>36.15</v>
      </c>
      <c r="G380" s="34" t="s">
        <v>66</v>
      </c>
    </row>
    <row r="381" spans="2:7" ht="15.75" thickBot="1">
      <c r="B381" s="5"/>
      <c r="C381" s="3"/>
      <c r="D381" s="5"/>
      <c r="E381" s="5"/>
    </row>
    <row r="382" spans="2:7" ht="14.45" customHeight="1">
      <c r="B382" s="289" t="str">
        <f>'2018'!A39</f>
        <v>Dreamed Holidays</v>
      </c>
      <c r="C382" s="290"/>
      <c r="D382" s="290"/>
      <c r="E382" s="290"/>
      <c r="F382" s="290"/>
      <c r="G382" s="291"/>
    </row>
    <row r="383" spans="2:7" ht="15" customHeight="1" thickBot="1">
      <c r="B383" s="292"/>
      <c r="C383" s="293"/>
      <c r="D383" s="293"/>
      <c r="E383" s="293"/>
      <c r="F383" s="293"/>
      <c r="G383" s="294"/>
    </row>
    <row r="384" spans="2:7">
      <c r="B384" s="297" t="s">
        <v>10</v>
      </c>
      <c r="C384" s="296"/>
      <c r="D384" s="295" t="s">
        <v>11</v>
      </c>
      <c r="E384" s="295"/>
      <c r="F384" s="295"/>
      <c r="G384" s="296"/>
    </row>
    <row r="385" spans="2:7">
      <c r="B385" s="218" t="s">
        <v>32</v>
      </c>
      <c r="C385" s="60" t="s">
        <v>33</v>
      </c>
      <c r="D385" s="218" t="s">
        <v>68</v>
      </c>
      <c r="E385" s="222" t="s">
        <v>69</v>
      </c>
      <c r="F385" s="222" t="s">
        <v>32</v>
      </c>
      <c r="G385" s="60" t="s">
        <v>33</v>
      </c>
    </row>
    <row r="386" spans="2:7">
      <c r="B386" s="219">
        <v>20</v>
      </c>
      <c r="C386" s="36"/>
      <c r="D386" s="223"/>
      <c r="E386" s="224"/>
      <c r="F386" s="224"/>
      <c r="G386" s="33"/>
    </row>
    <row r="387" spans="2:7">
      <c r="B387" s="220"/>
      <c r="C387" s="33"/>
      <c r="D387" s="223"/>
      <c r="E387" s="224"/>
      <c r="F387" s="224"/>
      <c r="G387" s="33"/>
    </row>
    <row r="388" spans="2:7">
      <c r="B388" s="220"/>
      <c r="C388" s="33"/>
      <c r="D388" s="223"/>
      <c r="E388" s="224"/>
      <c r="F388" s="224"/>
      <c r="G388" s="33"/>
    </row>
    <row r="389" spans="2:7">
      <c r="B389" s="220"/>
      <c r="C389" s="33"/>
      <c r="D389" s="223"/>
      <c r="E389" s="224"/>
      <c r="F389" s="224"/>
      <c r="G389" s="33"/>
    </row>
    <row r="390" spans="2:7">
      <c r="B390" s="220"/>
      <c r="C390" s="33"/>
      <c r="D390" s="223"/>
      <c r="E390" s="224"/>
      <c r="F390" s="224"/>
      <c r="G390" s="33"/>
    </row>
    <row r="391" spans="2:7">
      <c r="B391" s="220"/>
      <c r="C391" s="33"/>
      <c r="D391" s="223"/>
      <c r="E391" s="224"/>
      <c r="F391" s="224"/>
      <c r="G391" s="33"/>
    </row>
    <row r="392" spans="2:7">
      <c r="B392" s="220"/>
      <c r="C392" s="33"/>
      <c r="D392" s="223"/>
      <c r="E392" s="224"/>
      <c r="F392" s="224"/>
      <c r="G392" s="33"/>
    </row>
    <row r="393" spans="2:7">
      <c r="B393" s="220"/>
      <c r="C393" s="33"/>
      <c r="D393" s="223"/>
      <c r="E393" s="224"/>
      <c r="F393" s="224"/>
      <c r="G393" s="33"/>
    </row>
    <row r="394" spans="2:7">
      <c r="B394" s="220"/>
      <c r="C394" s="33"/>
      <c r="D394" s="223"/>
      <c r="E394" s="224"/>
      <c r="F394" s="224"/>
      <c r="G394" s="33"/>
    </row>
    <row r="395" spans="2:7">
      <c r="B395" s="220"/>
      <c r="C395" s="33"/>
      <c r="D395" s="223"/>
      <c r="E395" s="224"/>
      <c r="F395" s="224"/>
      <c r="G395" s="33"/>
    </row>
    <row r="396" spans="2:7">
      <c r="B396" s="220"/>
      <c r="C396" s="33"/>
      <c r="D396" s="223"/>
      <c r="E396" s="224"/>
      <c r="F396" s="224"/>
      <c r="G396" s="33"/>
    </row>
    <row r="397" spans="2:7">
      <c r="B397" s="220"/>
      <c r="C397" s="33"/>
      <c r="D397" s="223"/>
      <c r="E397" s="224"/>
      <c r="F397" s="224"/>
      <c r="G397" s="33"/>
    </row>
    <row r="398" spans="2:7">
      <c r="B398" s="220"/>
      <c r="C398" s="33"/>
      <c r="D398" s="223"/>
      <c r="E398" s="224"/>
      <c r="F398" s="224"/>
      <c r="G398" s="33"/>
    </row>
    <row r="399" spans="2:7" ht="15.75" thickBot="1">
      <c r="B399" s="221"/>
      <c r="C399" s="34"/>
      <c r="D399" s="221"/>
      <c r="E399" s="225"/>
      <c r="F399" s="225"/>
      <c r="G399" s="34"/>
    </row>
    <row r="400" spans="2:7" ht="15.75" thickBot="1">
      <c r="B400" s="221">
        <f>SUM(B386:B399)</f>
        <v>20</v>
      </c>
      <c r="C400" s="34" t="s">
        <v>66</v>
      </c>
      <c r="D400" s="221">
        <f>SUM(D386:D399)</f>
        <v>0</v>
      </c>
      <c r="E400" s="221">
        <f>SUM(E386:E399)</f>
        <v>0</v>
      </c>
      <c r="F400" s="221">
        <f>SUM(F386:F399)</f>
        <v>0</v>
      </c>
      <c r="G400" s="34" t="s">
        <v>66</v>
      </c>
    </row>
    <row r="401" spans="2:7" ht="15.75" thickBot="1">
      <c r="B401" s="5"/>
      <c r="C401" s="3"/>
      <c r="D401" s="5"/>
      <c r="E401" s="5"/>
    </row>
    <row r="402" spans="2:7" ht="14.45" customHeight="1">
      <c r="B402" s="289" t="str">
        <f>'2018'!A40</f>
        <v>Financieros</v>
      </c>
      <c r="C402" s="290"/>
      <c r="D402" s="290"/>
      <c r="E402" s="290"/>
      <c r="F402" s="290"/>
      <c r="G402" s="291"/>
    </row>
    <row r="403" spans="2:7" ht="15" customHeight="1" thickBot="1">
      <c r="B403" s="292"/>
      <c r="C403" s="293"/>
      <c r="D403" s="293"/>
      <c r="E403" s="293"/>
      <c r="F403" s="293"/>
      <c r="G403" s="294"/>
    </row>
    <row r="404" spans="2:7">
      <c r="B404" s="297" t="s">
        <v>10</v>
      </c>
      <c r="C404" s="296"/>
      <c r="D404" s="295" t="s">
        <v>11</v>
      </c>
      <c r="E404" s="295"/>
      <c r="F404" s="295"/>
      <c r="G404" s="296"/>
    </row>
    <row r="405" spans="2:7">
      <c r="B405" s="218" t="s">
        <v>32</v>
      </c>
      <c r="C405" s="60" t="s">
        <v>33</v>
      </c>
      <c r="D405" s="218" t="s">
        <v>68</v>
      </c>
      <c r="E405" s="222" t="s">
        <v>69</v>
      </c>
      <c r="F405" s="222" t="s">
        <v>32</v>
      </c>
      <c r="G405" s="60" t="s">
        <v>33</v>
      </c>
    </row>
    <row r="406" spans="2:7">
      <c r="B406" s="219">
        <v>20</v>
      </c>
      <c r="C406" s="36"/>
      <c r="D406" s="223"/>
      <c r="E406" s="224"/>
      <c r="F406" s="224"/>
      <c r="G406" s="33"/>
    </row>
    <row r="407" spans="2:7">
      <c r="B407" s="220">
        <v>35.619999999999997</v>
      </c>
      <c r="C407" s="33" t="s">
        <v>361</v>
      </c>
      <c r="D407" s="223"/>
      <c r="E407" s="224"/>
      <c r="F407" s="224"/>
      <c r="G407" s="33"/>
    </row>
    <row r="408" spans="2:7">
      <c r="B408" s="220"/>
      <c r="C408" s="33"/>
      <c r="D408" s="223"/>
      <c r="E408" s="224"/>
      <c r="F408" s="224"/>
      <c r="G408" s="33"/>
    </row>
    <row r="409" spans="2:7">
      <c r="B409" s="220"/>
      <c r="C409" s="33"/>
      <c r="D409" s="223"/>
      <c r="E409" s="224"/>
      <c r="F409" s="224"/>
      <c r="G409" s="33"/>
    </row>
    <row r="410" spans="2:7">
      <c r="B410" s="220"/>
      <c r="C410" s="33"/>
      <c r="D410" s="223"/>
      <c r="E410" s="224"/>
      <c r="F410" s="224"/>
      <c r="G410" s="33"/>
    </row>
    <row r="411" spans="2:7">
      <c r="B411" s="220"/>
      <c r="C411" s="33"/>
      <c r="D411" s="223"/>
      <c r="E411" s="224"/>
      <c r="F411" s="224"/>
      <c r="G411" s="33"/>
    </row>
    <row r="412" spans="2:7">
      <c r="B412" s="220"/>
      <c r="C412" s="33"/>
      <c r="D412" s="223"/>
      <c r="E412" s="224"/>
      <c r="F412" s="224"/>
      <c r="G412" s="33"/>
    </row>
    <row r="413" spans="2:7">
      <c r="B413" s="220"/>
      <c r="C413" s="33"/>
      <c r="D413" s="223"/>
      <c r="E413" s="224"/>
      <c r="F413" s="224"/>
      <c r="G413" s="33"/>
    </row>
    <row r="414" spans="2:7">
      <c r="B414" s="220"/>
      <c r="C414" s="33"/>
      <c r="D414" s="223"/>
      <c r="E414" s="224"/>
      <c r="F414" s="224"/>
      <c r="G414" s="33"/>
    </row>
    <row r="415" spans="2:7">
      <c r="B415" s="220"/>
      <c r="C415" s="33"/>
      <c r="D415" s="223"/>
      <c r="E415" s="224"/>
      <c r="F415" s="224"/>
      <c r="G415" s="33"/>
    </row>
    <row r="416" spans="2:7">
      <c r="B416" s="220"/>
      <c r="C416" s="33"/>
      <c r="D416" s="223"/>
      <c r="E416" s="224"/>
      <c r="F416" s="224"/>
      <c r="G416" s="33"/>
    </row>
    <row r="417" spans="1:7">
      <c r="B417" s="220"/>
      <c r="C417" s="33"/>
      <c r="D417" s="223"/>
      <c r="E417" s="224"/>
      <c r="F417" s="224"/>
      <c r="G417" s="33"/>
    </row>
    <row r="418" spans="1:7">
      <c r="B418" s="220"/>
      <c r="C418" s="33"/>
      <c r="D418" s="223"/>
      <c r="E418" s="224"/>
      <c r="F418" s="224"/>
      <c r="G418" s="33"/>
    </row>
    <row r="419" spans="1:7" ht="15.75" thickBot="1">
      <c r="B419" s="221"/>
      <c r="C419" s="34"/>
      <c r="D419" s="221"/>
      <c r="E419" s="225"/>
      <c r="F419" s="225"/>
      <c r="G419" s="34"/>
    </row>
    <row r="420" spans="1:7" ht="15.75" thickBot="1">
      <c r="B420" s="221">
        <f>SUM(B406:B419)</f>
        <v>55.62</v>
      </c>
      <c r="C420" s="34" t="s">
        <v>66</v>
      </c>
      <c r="D420" s="221">
        <f>SUM(D406:D419)</f>
        <v>0</v>
      </c>
      <c r="E420" s="221">
        <f>SUM(E406:E419)</f>
        <v>0</v>
      </c>
      <c r="F420" s="221">
        <f>SUM(F406:F419)</f>
        <v>0</v>
      </c>
      <c r="G420" s="34" t="s">
        <v>66</v>
      </c>
    </row>
    <row r="421" spans="1:7" ht="15.75" thickBot="1">
      <c r="B421" s="5"/>
      <c r="C421" s="3"/>
      <c r="D421" s="5"/>
      <c r="E421" s="5"/>
    </row>
    <row r="422" spans="1:7" ht="14.45" customHeight="1">
      <c r="B422" s="289" t="str">
        <f>'2018'!A41</f>
        <v>Ahorros Colchón</v>
      </c>
      <c r="C422" s="290"/>
      <c r="D422" s="290"/>
      <c r="E422" s="290"/>
      <c r="F422" s="290"/>
      <c r="G422" s="291"/>
    </row>
    <row r="423" spans="1:7" ht="15" customHeight="1" thickBot="1">
      <c r="B423" s="292"/>
      <c r="C423" s="293"/>
      <c r="D423" s="293"/>
      <c r="E423" s="293"/>
      <c r="F423" s="293"/>
      <c r="G423" s="294"/>
    </row>
    <row r="424" spans="1:7">
      <c r="B424" s="297" t="s">
        <v>10</v>
      </c>
      <c r="C424" s="296"/>
      <c r="D424" s="295" t="s">
        <v>11</v>
      </c>
      <c r="E424" s="295"/>
      <c r="F424" s="295"/>
      <c r="G424" s="296"/>
    </row>
    <row r="425" spans="1:7">
      <c r="A425" s="137" t="s">
        <v>702</v>
      </c>
      <c r="B425" s="218" t="s">
        <v>32</v>
      </c>
      <c r="C425" s="60" t="s">
        <v>33</v>
      </c>
      <c r="D425" s="218" t="s">
        <v>68</v>
      </c>
      <c r="E425" s="222" t="s">
        <v>69</v>
      </c>
      <c r="F425" s="222" t="s">
        <v>32</v>
      </c>
      <c r="G425" s="60" t="s">
        <v>33</v>
      </c>
    </row>
    <row r="426" spans="1:7">
      <c r="A426" s="137">
        <f>3900+94.96+35.62+72.71</f>
        <v>4103.29</v>
      </c>
      <c r="B426" s="220">
        <f>'2018'!AQ17 -A426</f>
        <v>17.6899999999996</v>
      </c>
      <c r="C426" s="36" t="s">
        <v>636</v>
      </c>
      <c r="D426" s="223"/>
      <c r="E426" s="224"/>
      <c r="F426" s="224"/>
      <c r="G426" s="33"/>
    </row>
    <row r="427" spans="1:7">
      <c r="B427" s="220"/>
      <c r="C427" s="33"/>
      <c r="D427" s="223"/>
      <c r="E427" s="224"/>
      <c r="F427" s="224"/>
      <c r="G427" s="33"/>
    </row>
    <row r="428" spans="1:7">
      <c r="B428" s="220"/>
      <c r="C428" s="33"/>
      <c r="D428" s="223"/>
      <c r="E428" s="224"/>
      <c r="F428" s="224"/>
      <c r="G428" s="33"/>
    </row>
    <row r="429" spans="1:7">
      <c r="B429" s="220"/>
      <c r="C429" s="33"/>
      <c r="D429" s="223"/>
      <c r="E429" s="224"/>
      <c r="F429" s="224"/>
      <c r="G429" s="33"/>
    </row>
    <row r="430" spans="1:7">
      <c r="B430" s="220"/>
      <c r="C430" s="33"/>
      <c r="D430" s="223"/>
      <c r="E430" s="224"/>
      <c r="F430" s="224"/>
      <c r="G430" s="33"/>
    </row>
    <row r="431" spans="1:7">
      <c r="B431" s="220"/>
      <c r="C431" s="33"/>
      <c r="D431" s="223"/>
      <c r="E431" s="224"/>
      <c r="F431" s="224"/>
      <c r="G431" s="33"/>
    </row>
    <row r="432" spans="1:7">
      <c r="B432" s="220"/>
      <c r="C432" s="33"/>
      <c r="D432" s="223"/>
      <c r="E432" s="224"/>
      <c r="F432" s="224"/>
      <c r="G432" s="33"/>
    </row>
    <row r="433" spans="2:7">
      <c r="B433" s="220"/>
      <c r="C433" s="33"/>
      <c r="D433" s="223"/>
      <c r="E433" s="224"/>
      <c r="F433" s="224"/>
      <c r="G433" s="33"/>
    </row>
    <row r="434" spans="2:7">
      <c r="B434" s="220"/>
      <c r="C434" s="33"/>
      <c r="D434" s="223"/>
      <c r="E434" s="224"/>
      <c r="F434" s="224"/>
      <c r="G434" s="33"/>
    </row>
    <row r="435" spans="2:7">
      <c r="B435" s="220"/>
      <c r="C435" s="33"/>
      <c r="D435" s="223"/>
      <c r="E435" s="224"/>
      <c r="F435" s="224"/>
      <c r="G435" s="33"/>
    </row>
    <row r="436" spans="2:7">
      <c r="B436" s="220"/>
      <c r="C436" s="33"/>
      <c r="D436" s="223"/>
      <c r="E436" s="224"/>
      <c r="F436" s="224"/>
      <c r="G436" s="33"/>
    </row>
    <row r="437" spans="2:7">
      <c r="B437" s="220"/>
      <c r="C437" s="33"/>
      <c r="D437" s="223"/>
      <c r="E437" s="224"/>
      <c r="F437" s="224"/>
      <c r="G437" s="33"/>
    </row>
    <row r="438" spans="2:7">
      <c r="B438" s="220"/>
      <c r="C438" s="33"/>
      <c r="D438" s="223"/>
      <c r="E438" s="224"/>
      <c r="F438" s="224"/>
      <c r="G438" s="33"/>
    </row>
    <row r="439" spans="2:7" ht="15.75" thickBot="1">
      <c r="B439" s="221"/>
      <c r="C439" s="34"/>
      <c r="D439" s="221"/>
      <c r="E439" s="225"/>
      <c r="F439" s="225"/>
      <c r="G439" s="34"/>
    </row>
    <row r="440" spans="2:7" ht="15.75" thickBot="1">
      <c r="B440" s="221">
        <f>SUM(B426:B439)</f>
        <v>17.6899999999996</v>
      </c>
      <c r="C440" s="34" t="s">
        <v>66</v>
      </c>
      <c r="D440" s="221">
        <f>SUM(D426:D439)</f>
        <v>0</v>
      </c>
      <c r="E440" s="221">
        <f>SUM(E426:E439)</f>
        <v>0</v>
      </c>
      <c r="F440" s="221">
        <f>SUM(F426:F439)</f>
        <v>0</v>
      </c>
      <c r="G440" s="34" t="s">
        <v>66</v>
      </c>
    </row>
    <row r="441" spans="2:7" ht="15.75" thickBot="1">
      <c r="B441" s="5"/>
      <c r="C441" s="3"/>
      <c r="D441" s="5"/>
      <c r="E441" s="5"/>
    </row>
    <row r="442" spans="2:7" ht="14.45" customHeight="1">
      <c r="B442" s="289" t="str">
        <f>'2018'!A42</f>
        <v>Dinero Bloqueado</v>
      </c>
      <c r="C442" s="307"/>
      <c r="D442" s="307"/>
      <c r="E442" s="307"/>
      <c r="F442" s="307"/>
      <c r="G442" s="308"/>
    </row>
    <row r="443" spans="2:7" ht="15" customHeight="1" thickBot="1">
      <c r="B443" s="309"/>
      <c r="C443" s="310"/>
      <c r="D443" s="310"/>
      <c r="E443" s="310"/>
      <c r="F443" s="310"/>
      <c r="G443" s="311"/>
    </row>
    <row r="444" spans="2:7">
      <c r="B444" s="297" t="s">
        <v>10</v>
      </c>
      <c r="C444" s="296"/>
      <c r="D444" s="295" t="s">
        <v>11</v>
      </c>
      <c r="E444" s="295"/>
      <c r="F444" s="295"/>
      <c r="G444" s="296"/>
    </row>
    <row r="445" spans="2:7">
      <c r="B445" s="218" t="s">
        <v>32</v>
      </c>
      <c r="C445" s="60" t="s">
        <v>33</v>
      </c>
      <c r="D445" s="218" t="s">
        <v>68</v>
      </c>
      <c r="E445" s="222" t="s">
        <v>69</v>
      </c>
      <c r="F445" s="222" t="s">
        <v>32</v>
      </c>
      <c r="G445" s="60" t="s">
        <v>33</v>
      </c>
    </row>
    <row r="446" spans="2:7">
      <c r="B446" s="219"/>
      <c r="C446" s="36"/>
      <c r="D446" s="223"/>
      <c r="E446" s="224"/>
      <c r="F446" s="224"/>
      <c r="G446" s="33"/>
    </row>
    <row r="447" spans="2:7">
      <c r="B447" s="220"/>
      <c r="C447" s="33"/>
      <c r="D447" s="223"/>
      <c r="E447" s="224"/>
      <c r="F447" s="224"/>
      <c r="G447" s="33"/>
    </row>
    <row r="448" spans="2:7">
      <c r="B448" s="220"/>
      <c r="C448" s="33"/>
      <c r="D448" s="223"/>
      <c r="E448" s="224"/>
      <c r="F448" s="224"/>
      <c r="G448" s="33"/>
    </row>
    <row r="449" spans="2:7">
      <c r="B449" s="220"/>
      <c r="C449" s="33"/>
      <c r="D449" s="223"/>
      <c r="E449" s="224"/>
      <c r="F449" s="224"/>
      <c r="G449" s="33"/>
    </row>
    <row r="450" spans="2:7">
      <c r="B450" s="220"/>
      <c r="C450" s="33"/>
      <c r="D450" s="223"/>
      <c r="E450" s="224"/>
      <c r="F450" s="224"/>
      <c r="G450" s="33"/>
    </row>
    <row r="451" spans="2:7">
      <c r="B451" s="220"/>
      <c r="C451" s="33"/>
      <c r="D451" s="223"/>
      <c r="E451" s="224"/>
      <c r="F451" s="224"/>
      <c r="G451" s="33"/>
    </row>
    <row r="452" spans="2:7">
      <c r="B452" s="220"/>
      <c r="C452" s="33"/>
      <c r="D452" s="223"/>
      <c r="E452" s="224"/>
      <c r="F452" s="224"/>
      <c r="G452" s="33"/>
    </row>
    <row r="453" spans="2:7">
      <c r="B453" s="220"/>
      <c r="C453" s="33"/>
      <c r="D453" s="223"/>
      <c r="E453" s="224"/>
      <c r="F453" s="224"/>
      <c r="G453" s="33"/>
    </row>
    <row r="454" spans="2:7">
      <c r="B454" s="220"/>
      <c r="C454" s="33"/>
      <c r="D454" s="223"/>
      <c r="E454" s="224"/>
      <c r="F454" s="224"/>
      <c r="G454" s="33"/>
    </row>
    <row r="455" spans="2:7">
      <c r="B455" s="220"/>
      <c r="C455" s="33"/>
      <c r="D455" s="223"/>
      <c r="E455" s="224"/>
      <c r="F455" s="224"/>
      <c r="G455" s="33"/>
    </row>
    <row r="456" spans="2:7">
      <c r="B456" s="220"/>
      <c r="C456" s="33"/>
      <c r="D456" s="223"/>
      <c r="E456" s="224"/>
      <c r="F456" s="224"/>
      <c r="G456" s="33"/>
    </row>
    <row r="457" spans="2:7">
      <c r="B457" s="220"/>
      <c r="C457" s="33"/>
      <c r="D457" s="223"/>
      <c r="E457" s="224"/>
      <c r="F457" s="224"/>
      <c r="G457" s="33"/>
    </row>
    <row r="458" spans="2:7">
      <c r="B458" s="220"/>
      <c r="C458" s="33"/>
      <c r="D458" s="223"/>
      <c r="E458" s="224"/>
      <c r="F458" s="224"/>
      <c r="G458" s="33"/>
    </row>
    <row r="459" spans="2:7" ht="15.75" thickBot="1">
      <c r="B459" s="221"/>
      <c r="C459" s="34"/>
      <c r="D459" s="221"/>
      <c r="E459" s="225"/>
      <c r="F459" s="225"/>
      <c r="G459" s="34"/>
    </row>
    <row r="460" spans="2:7" ht="15.75" thickBot="1">
      <c r="B460" s="221">
        <f>SUM(B446:B459)</f>
        <v>0</v>
      </c>
      <c r="C460" s="34" t="s">
        <v>66</v>
      </c>
      <c r="D460" s="221">
        <f>SUM(D446:D459)</f>
        <v>0</v>
      </c>
      <c r="E460" s="221">
        <f>SUM(E446:E459)</f>
        <v>0</v>
      </c>
      <c r="F460" s="221">
        <f>SUM(F446:F459)</f>
        <v>0</v>
      </c>
      <c r="G460" s="34" t="s">
        <v>66</v>
      </c>
    </row>
    <row r="461" spans="2:7" ht="15.75" thickBot="1">
      <c r="B461" s="5"/>
      <c r="C461" s="3"/>
      <c r="D461" s="5"/>
      <c r="E461" s="5"/>
    </row>
    <row r="462" spans="2:7" ht="14.45" customHeight="1">
      <c r="B462" s="289" t="str">
        <f>'2018'!A43</f>
        <v>Cartama Finanazas</v>
      </c>
      <c r="C462" s="307"/>
      <c r="D462" s="307"/>
      <c r="E462" s="307"/>
      <c r="F462" s="307"/>
      <c r="G462" s="308"/>
    </row>
    <row r="463" spans="2:7" ht="15" customHeight="1" thickBot="1">
      <c r="B463" s="309"/>
      <c r="C463" s="310"/>
      <c r="D463" s="310"/>
      <c r="E463" s="310"/>
      <c r="F463" s="310"/>
      <c r="G463" s="311"/>
    </row>
    <row r="464" spans="2:7">
      <c r="B464" s="297" t="s">
        <v>10</v>
      </c>
      <c r="C464" s="296"/>
      <c r="D464" s="295" t="s">
        <v>11</v>
      </c>
      <c r="E464" s="295"/>
      <c r="F464" s="295"/>
      <c r="G464" s="296"/>
    </row>
    <row r="465" spans="1:7">
      <c r="A465" s="137" t="s">
        <v>608</v>
      </c>
      <c r="B465" s="218" t="s">
        <v>32</v>
      </c>
      <c r="C465" s="60" t="s">
        <v>33</v>
      </c>
      <c r="D465" s="218" t="s">
        <v>68</v>
      </c>
      <c r="E465" s="222" t="s">
        <v>69</v>
      </c>
      <c r="F465" s="222" t="s">
        <v>32</v>
      </c>
      <c r="G465" s="60" t="s">
        <v>33</v>
      </c>
    </row>
    <row r="466" spans="1:7" ht="15.75">
      <c r="A466" s="163">
        <f>'10'!A466+B466-E466</f>
        <v>321</v>
      </c>
      <c r="B466" s="220">
        <v>25</v>
      </c>
      <c r="C466" s="33" t="s">
        <v>484</v>
      </c>
      <c r="D466" s="223"/>
      <c r="E466" s="224"/>
      <c r="F466" s="224"/>
      <c r="G466" s="33"/>
    </row>
    <row r="467" spans="1:7" ht="15.75">
      <c r="A467" s="163">
        <f>'10'!A467+'11'!B467</f>
        <v>35</v>
      </c>
      <c r="B467" s="220">
        <v>20</v>
      </c>
      <c r="C467" s="33" t="s">
        <v>609</v>
      </c>
      <c r="D467" s="223"/>
      <c r="E467" s="224"/>
      <c r="F467" s="224"/>
      <c r="G467" s="33"/>
    </row>
    <row r="468" spans="1:7" ht="15.75">
      <c r="A468" s="163">
        <f>'10'!A468+'11'!B468</f>
        <v>10</v>
      </c>
      <c r="B468" s="220">
        <v>5</v>
      </c>
      <c r="C468" s="33" t="s">
        <v>610</v>
      </c>
      <c r="D468" s="223"/>
      <c r="E468" s="224"/>
      <c r="F468" s="224"/>
      <c r="G468" s="33"/>
    </row>
    <row r="469" spans="1:7">
      <c r="B469" s="220"/>
      <c r="C469" s="33"/>
      <c r="D469" s="223"/>
      <c r="E469" s="224"/>
      <c r="F469" s="224"/>
      <c r="G469" s="33"/>
    </row>
    <row r="470" spans="1:7">
      <c r="B470" s="220"/>
      <c r="C470" s="33"/>
      <c r="D470" s="223"/>
      <c r="E470" s="224"/>
      <c r="F470" s="224"/>
      <c r="G470" s="33"/>
    </row>
    <row r="471" spans="1:7">
      <c r="B471" s="220"/>
      <c r="C471" s="33"/>
      <c r="D471" s="223"/>
      <c r="E471" s="224"/>
      <c r="F471" s="224"/>
      <c r="G471" s="33"/>
    </row>
    <row r="472" spans="1:7">
      <c r="B472" s="220"/>
      <c r="C472" s="33"/>
      <c r="D472" s="223"/>
      <c r="E472" s="224"/>
      <c r="F472" s="224"/>
      <c r="G472" s="33"/>
    </row>
    <row r="473" spans="1:7">
      <c r="B473" s="220"/>
      <c r="C473" s="33"/>
      <c r="D473" s="223"/>
      <c r="E473" s="224"/>
      <c r="F473" s="224"/>
      <c r="G473" s="33"/>
    </row>
    <row r="474" spans="1:7">
      <c r="B474" s="220"/>
      <c r="C474" s="33"/>
      <c r="D474" s="223"/>
      <c r="E474" s="224"/>
      <c r="F474" s="224"/>
      <c r="G474" s="33"/>
    </row>
    <row r="475" spans="1:7">
      <c r="B475" s="220"/>
      <c r="C475" s="33"/>
      <c r="D475" s="223"/>
      <c r="E475" s="224"/>
      <c r="F475" s="224"/>
      <c r="G475" s="33"/>
    </row>
    <row r="476" spans="1:7">
      <c r="B476" s="220"/>
      <c r="C476" s="33"/>
      <c r="D476" s="223"/>
      <c r="E476" s="224"/>
      <c r="F476" s="224"/>
      <c r="G476" s="33"/>
    </row>
    <row r="477" spans="1:7">
      <c r="B477" s="220"/>
      <c r="C477" s="33"/>
      <c r="D477" s="223"/>
      <c r="E477" s="224"/>
      <c r="F477" s="224"/>
      <c r="G477" s="33"/>
    </row>
    <row r="478" spans="1:7">
      <c r="B478" s="220"/>
      <c r="C478" s="33"/>
      <c r="D478" s="223"/>
      <c r="E478" s="224"/>
      <c r="F478" s="224"/>
      <c r="G478" s="33"/>
    </row>
    <row r="479" spans="1:7" ht="15.75" thickBot="1">
      <c r="B479" s="221"/>
      <c r="C479" s="34"/>
      <c r="D479" s="221"/>
      <c r="E479" s="225"/>
      <c r="F479" s="225"/>
      <c r="G479" s="34"/>
    </row>
    <row r="480" spans="1:7" ht="15.75" thickBot="1">
      <c r="A480" s="164">
        <f>SUM(A466:A468)</f>
        <v>366</v>
      </c>
      <c r="B480" s="221">
        <f>SUM(B466:B479)</f>
        <v>50</v>
      </c>
      <c r="C480" s="34" t="s">
        <v>66</v>
      </c>
      <c r="D480" s="221">
        <f>SUM(D466:D479)</f>
        <v>0</v>
      </c>
      <c r="E480" s="221">
        <f>SUM(E466:E479)</f>
        <v>0</v>
      </c>
      <c r="F480" s="221">
        <f>SUM(F466:F479)</f>
        <v>0</v>
      </c>
      <c r="G480" s="34" t="s">
        <v>66</v>
      </c>
    </row>
    <row r="481" spans="2:7" ht="15.75" thickBot="1"/>
    <row r="482" spans="2:7" ht="14.45" customHeight="1">
      <c r="B482" s="289" t="str">
        <f>'2018'!A44</f>
        <v>NULO</v>
      </c>
      <c r="C482" s="307"/>
      <c r="D482" s="307"/>
      <c r="E482" s="307"/>
      <c r="F482" s="307"/>
      <c r="G482" s="308"/>
    </row>
    <row r="483" spans="2:7" ht="15" customHeight="1" thickBot="1">
      <c r="B483" s="309"/>
      <c r="C483" s="310"/>
      <c r="D483" s="310"/>
      <c r="E483" s="310"/>
      <c r="F483" s="310"/>
      <c r="G483" s="311"/>
    </row>
    <row r="484" spans="2:7">
      <c r="B484" s="297" t="s">
        <v>10</v>
      </c>
      <c r="C484" s="296"/>
      <c r="D484" s="295" t="s">
        <v>11</v>
      </c>
      <c r="E484" s="295"/>
      <c r="F484" s="295"/>
      <c r="G484" s="296"/>
    </row>
    <row r="485" spans="2:7">
      <c r="B485" s="218" t="s">
        <v>32</v>
      </c>
      <c r="C485" s="60" t="s">
        <v>33</v>
      </c>
      <c r="D485" s="218" t="s">
        <v>68</v>
      </c>
      <c r="E485" s="222" t="s">
        <v>69</v>
      </c>
      <c r="F485" s="222" t="s">
        <v>32</v>
      </c>
      <c r="G485" s="60" t="s">
        <v>33</v>
      </c>
    </row>
    <row r="486" spans="2:7">
      <c r="B486" s="219"/>
      <c r="C486" s="36"/>
      <c r="D486" s="223"/>
      <c r="E486" s="224"/>
      <c r="F486" s="224"/>
      <c r="G486" s="33"/>
    </row>
    <row r="487" spans="2:7">
      <c r="B487" s="220"/>
      <c r="C487" s="33"/>
      <c r="D487" s="223"/>
      <c r="E487" s="224"/>
      <c r="F487" s="224"/>
      <c r="G487" s="33"/>
    </row>
    <row r="488" spans="2:7">
      <c r="B488" s="220"/>
      <c r="C488" s="33"/>
      <c r="D488" s="223"/>
      <c r="E488" s="224"/>
      <c r="F488" s="224"/>
      <c r="G488" s="33"/>
    </row>
    <row r="489" spans="2:7">
      <c r="B489" s="220"/>
      <c r="C489" s="33"/>
      <c r="D489" s="223"/>
      <c r="E489" s="224"/>
      <c r="F489" s="224"/>
      <c r="G489" s="33"/>
    </row>
    <row r="490" spans="2:7">
      <c r="B490" s="220"/>
      <c r="C490" s="33"/>
      <c r="D490" s="223"/>
      <c r="E490" s="224"/>
      <c r="F490" s="224"/>
      <c r="G490" s="33"/>
    </row>
    <row r="491" spans="2:7">
      <c r="B491" s="220"/>
      <c r="C491" s="33"/>
      <c r="D491" s="223"/>
      <c r="E491" s="224"/>
      <c r="F491" s="224"/>
      <c r="G491" s="33"/>
    </row>
    <row r="492" spans="2:7">
      <c r="B492" s="220"/>
      <c r="C492" s="33"/>
      <c r="D492" s="223"/>
      <c r="E492" s="224"/>
      <c r="F492" s="224"/>
      <c r="G492" s="33"/>
    </row>
    <row r="493" spans="2:7">
      <c r="B493" s="220"/>
      <c r="C493" s="33"/>
      <c r="D493" s="223"/>
      <c r="E493" s="224"/>
      <c r="F493" s="224"/>
      <c r="G493" s="33"/>
    </row>
    <row r="494" spans="2:7">
      <c r="B494" s="220"/>
      <c r="C494" s="33"/>
      <c r="D494" s="223"/>
      <c r="E494" s="224"/>
      <c r="F494" s="224"/>
      <c r="G494" s="33"/>
    </row>
    <row r="495" spans="2:7">
      <c r="B495" s="220"/>
      <c r="C495" s="33"/>
      <c r="D495" s="223"/>
      <c r="E495" s="224"/>
      <c r="F495" s="224"/>
      <c r="G495" s="33"/>
    </row>
    <row r="496" spans="2:7">
      <c r="B496" s="220"/>
      <c r="C496" s="33"/>
      <c r="D496" s="223"/>
      <c r="E496" s="224"/>
      <c r="F496" s="224"/>
      <c r="G496" s="33"/>
    </row>
    <row r="497" spans="2:7">
      <c r="B497" s="220"/>
      <c r="C497" s="33"/>
      <c r="D497" s="223"/>
      <c r="E497" s="224"/>
      <c r="F497" s="224"/>
      <c r="G497" s="33"/>
    </row>
    <row r="498" spans="2:7">
      <c r="B498" s="220"/>
      <c r="C498" s="33"/>
      <c r="D498" s="223"/>
      <c r="E498" s="224"/>
      <c r="F498" s="224"/>
      <c r="G498" s="33"/>
    </row>
    <row r="499" spans="2:7" ht="15.75" thickBot="1">
      <c r="B499" s="221"/>
      <c r="C499" s="34"/>
      <c r="D499" s="221"/>
      <c r="E499" s="225"/>
      <c r="F499" s="225"/>
      <c r="G499" s="34"/>
    </row>
    <row r="500" spans="2:7" ht="15.75" thickBot="1">
      <c r="B500" s="221">
        <f>SUM(B486:B499)</f>
        <v>0</v>
      </c>
      <c r="C500" s="34" t="s">
        <v>66</v>
      </c>
      <c r="D500" s="221">
        <f>SUM(D486:D499)</f>
        <v>0</v>
      </c>
      <c r="E500" s="221">
        <f>SUM(E486:E499)</f>
        <v>0</v>
      </c>
      <c r="F500" s="221">
        <f>SUM(F486:F499)</f>
        <v>0</v>
      </c>
      <c r="G500" s="34" t="s">
        <v>66</v>
      </c>
    </row>
    <row r="501" spans="2:7" ht="15.75" thickBot="1">
      <c r="B501" s="5"/>
      <c r="C501" s="3"/>
      <c r="D501" s="5"/>
      <c r="E501" s="5"/>
    </row>
    <row r="502" spans="2:7" ht="14.45" customHeight="1">
      <c r="B502" s="289" t="str">
        <f>'2018'!A45</f>
        <v>OTROS</v>
      </c>
      <c r="C502" s="307"/>
      <c r="D502" s="307"/>
      <c r="E502" s="307"/>
      <c r="F502" s="307"/>
      <c r="G502" s="308"/>
    </row>
    <row r="503" spans="2:7" ht="15" customHeight="1" thickBot="1">
      <c r="B503" s="309"/>
      <c r="C503" s="310"/>
      <c r="D503" s="310"/>
      <c r="E503" s="310"/>
      <c r="F503" s="310"/>
      <c r="G503" s="311"/>
    </row>
    <row r="504" spans="2:7">
      <c r="B504" s="297" t="s">
        <v>10</v>
      </c>
      <c r="C504" s="296"/>
      <c r="D504" s="295" t="s">
        <v>11</v>
      </c>
      <c r="E504" s="295"/>
      <c r="F504" s="295"/>
      <c r="G504" s="296"/>
    </row>
    <row r="505" spans="2:7">
      <c r="B505" s="218" t="s">
        <v>32</v>
      </c>
      <c r="C505" s="60" t="s">
        <v>33</v>
      </c>
      <c r="D505" s="218" t="s">
        <v>68</v>
      </c>
      <c r="E505" s="222" t="s">
        <v>69</v>
      </c>
      <c r="F505" s="222" t="s">
        <v>32</v>
      </c>
      <c r="G505" s="60" t="s">
        <v>33</v>
      </c>
    </row>
    <row r="506" spans="2:7">
      <c r="B506" s="219"/>
      <c r="C506" s="36"/>
      <c r="D506" s="223"/>
      <c r="E506" s="224"/>
      <c r="F506" s="224"/>
      <c r="G506" s="33"/>
    </row>
    <row r="507" spans="2:7">
      <c r="B507" s="220"/>
      <c r="C507" s="33"/>
      <c r="D507" s="223"/>
      <c r="E507" s="224"/>
      <c r="F507" s="224"/>
      <c r="G507" s="33"/>
    </row>
    <row r="508" spans="2:7">
      <c r="B508" s="220"/>
      <c r="C508" s="33"/>
      <c r="D508" s="223"/>
      <c r="E508" s="224"/>
      <c r="F508" s="224"/>
      <c r="G508" s="33"/>
    </row>
    <row r="509" spans="2:7">
      <c r="B509" s="220"/>
      <c r="C509" s="33"/>
      <c r="D509" s="223"/>
      <c r="E509" s="224"/>
      <c r="F509" s="224"/>
      <c r="G509" s="33"/>
    </row>
    <row r="510" spans="2:7">
      <c r="B510" s="220"/>
      <c r="C510" s="33"/>
      <c r="D510" s="223"/>
      <c r="E510" s="224"/>
      <c r="F510" s="224"/>
      <c r="G510" s="33"/>
    </row>
    <row r="511" spans="2:7">
      <c r="B511" s="220"/>
      <c r="C511" s="33"/>
      <c r="D511" s="223"/>
      <c r="E511" s="224"/>
      <c r="F511" s="224"/>
      <c r="G511" s="33"/>
    </row>
    <row r="512" spans="2:7">
      <c r="B512" s="220"/>
      <c r="C512" s="33"/>
      <c r="D512" s="223"/>
      <c r="E512" s="224"/>
      <c r="F512" s="224"/>
      <c r="G512" s="33"/>
    </row>
    <row r="513" spans="2:7">
      <c r="B513" s="220"/>
      <c r="C513" s="33"/>
      <c r="D513" s="223"/>
      <c r="E513" s="224"/>
      <c r="F513" s="224"/>
      <c r="G513" s="33"/>
    </row>
    <row r="514" spans="2:7">
      <c r="B514" s="220"/>
      <c r="C514" s="33"/>
      <c r="D514" s="223"/>
      <c r="E514" s="224"/>
      <c r="F514" s="224"/>
      <c r="G514" s="33"/>
    </row>
    <row r="515" spans="2:7">
      <c r="B515" s="220"/>
      <c r="C515" s="33"/>
      <c r="D515" s="223"/>
      <c r="E515" s="224"/>
      <c r="F515" s="224"/>
      <c r="G515" s="33"/>
    </row>
    <row r="516" spans="2:7">
      <c r="B516" s="220"/>
      <c r="C516" s="33"/>
      <c r="D516" s="223"/>
      <c r="E516" s="224"/>
      <c r="F516" s="224"/>
      <c r="G516" s="33"/>
    </row>
    <row r="517" spans="2:7">
      <c r="B517" s="220"/>
      <c r="C517" s="33"/>
      <c r="D517" s="223"/>
      <c r="E517" s="224"/>
      <c r="F517" s="224"/>
      <c r="G517" s="33"/>
    </row>
    <row r="518" spans="2:7">
      <c r="B518" s="220"/>
      <c r="C518" s="33"/>
      <c r="D518" s="223"/>
      <c r="E518" s="224"/>
      <c r="F518" s="224"/>
      <c r="G518" s="33"/>
    </row>
    <row r="519" spans="2:7" ht="15.75" thickBot="1">
      <c r="B519" s="221"/>
      <c r="C519" s="34"/>
      <c r="D519" s="221"/>
      <c r="E519" s="225"/>
      <c r="F519" s="225"/>
      <c r="G519" s="34"/>
    </row>
    <row r="520" spans="2:7" ht="15.75" thickBot="1">
      <c r="B520" s="221">
        <f>SUM(B506:B519)</f>
        <v>0</v>
      </c>
      <c r="C520" s="34" t="s">
        <v>66</v>
      </c>
      <c r="D520" s="221">
        <f>SUM(D506:D519)</f>
        <v>0</v>
      </c>
      <c r="E520" s="221">
        <f>SUM(E506:E519)</f>
        <v>0</v>
      </c>
      <c r="F520" s="221">
        <f>SUM(F506:F519)</f>
        <v>0</v>
      </c>
      <c r="G520" s="34" t="s">
        <v>66</v>
      </c>
    </row>
  </sheetData>
  <mergeCells count="111"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B00-000000000000}"/>
    <hyperlink ref="I22" location="Trimestre!C39:F40" display="TELÉFONO" xr:uid="{00000000-0004-0000-0B00-000001000000}"/>
    <hyperlink ref="I22:L23" location="'2018'!AQ7:AT7" display="INGRESOS" xr:uid="{00000000-0004-0000-0B00-000002000000}"/>
    <hyperlink ref="B2" location="Trimestre!C25:F26" display="HIPOTECA" xr:uid="{00000000-0004-0000-0B00-000003000000}"/>
    <hyperlink ref="B2:G3" location="'2018'!AQ20:AT20" display="'2018'!AQ20:AT20" xr:uid="{00000000-0004-0000-0B00-000004000000}"/>
    <hyperlink ref="B22" location="Trimestre!C25:F26" display="HIPOTECA" xr:uid="{00000000-0004-0000-0B00-000005000000}"/>
    <hyperlink ref="B22:G23" location="'2018'!AQ21:AT21" display="'2018'!AQ21:AT21" xr:uid="{00000000-0004-0000-0B00-000006000000}"/>
    <hyperlink ref="B42" location="Trimestre!C25:F26" display="HIPOTECA" xr:uid="{00000000-0004-0000-0B00-000007000000}"/>
    <hyperlink ref="B42:G43" location="'2018'!AQ22:AT22" display="'2018'!AQ22:AT22" xr:uid="{00000000-0004-0000-0B00-000008000000}"/>
    <hyperlink ref="B62" location="Trimestre!C25:F26" display="HIPOTECA" xr:uid="{00000000-0004-0000-0B00-000009000000}"/>
    <hyperlink ref="B62:G63" location="'2018'!AQ23:AT23" display="'2018'!AQ23:AT23" xr:uid="{00000000-0004-0000-0B00-00000A000000}"/>
    <hyperlink ref="B82" location="Trimestre!C25:F26" display="HIPOTECA" xr:uid="{00000000-0004-0000-0B00-00000B000000}"/>
    <hyperlink ref="B82:G83" location="'2018'!AQ24:AT24" display="'2018'!AQ24:AT24" xr:uid="{00000000-0004-0000-0B00-00000C000000}"/>
    <hyperlink ref="B102" location="Trimestre!C25:F26" display="HIPOTECA" xr:uid="{00000000-0004-0000-0B00-00000D000000}"/>
    <hyperlink ref="B102:G103" location="'2018'!AQ25:AT25" display="'2018'!AQ25:AT25" xr:uid="{00000000-0004-0000-0B00-00000E000000}"/>
    <hyperlink ref="B122" location="Trimestre!C25:F26" display="HIPOTECA" xr:uid="{00000000-0004-0000-0B00-00000F000000}"/>
    <hyperlink ref="B122:G123" location="'2018'!AQ26:AT26" display="'2018'!AQ26:AT26" xr:uid="{00000000-0004-0000-0B00-000010000000}"/>
    <hyperlink ref="B142" location="Trimestre!C25:F26" display="HIPOTECA" xr:uid="{00000000-0004-0000-0B00-000011000000}"/>
    <hyperlink ref="B142:G143" location="'2018'!AQ27:AT27" display="'2018'!AQ27:AT27" xr:uid="{00000000-0004-0000-0B00-000012000000}"/>
    <hyperlink ref="B162" location="Trimestre!C25:F26" display="HIPOTECA" xr:uid="{00000000-0004-0000-0B00-000013000000}"/>
    <hyperlink ref="B162:G163" location="'2018'!AQ28:AT28" display="'2018'!AQ28:AT28" xr:uid="{00000000-0004-0000-0B00-000014000000}"/>
    <hyperlink ref="B182" location="Trimestre!C25:F26" display="HIPOTECA" xr:uid="{00000000-0004-0000-0B00-000015000000}"/>
    <hyperlink ref="B182:G183" location="'2018'!AQ29:AT29" display="'2018'!AQ29:AT29" xr:uid="{00000000-0004-0000-0B00-000016000000}"/>
    <hyperlink ref="B202" location="Trimestre!C25:F26" display="HIPOTECA" xr:uid="{00000000-0004-0000-0B00-000017000000}"/>
    <hyperlink ref="B202:G203" location="'2018'!AQ30:AT30" display="'2018'!AQ30:AT30" xr:uid="{00000000-0004-0000-0B00-000018000000}"/>
    <hyperlink ref="B222" location="Trimestre!C25:F26" display="HIPOTECA" xr:uid="{00000000-0004-0000-0B00-000019000000}"/>
    <hyperlink ref="B222:G223" location="'2018'!AQ31:AT31" display="'2018'!AQ31:AT31" xr:uid="{00000000-0004-0000-0B00-00001A000000}"/>
    <hyperlink ref="B242" location="Trimestre!C25:F26" display="HIPOTECA" xr:uid="{00000000-0004-0000-0B00-00001B000000}"/>
    <hyperlink ref="B242:G243" location="'2018'!AQ32:AT32" display="'2018'!AQ32:AT32" xr:uid="{00000000-0004-0000-0B00-00001C000000}"/>
    <hyperlink ref="B262" location="Trimestre!C25:F26" display="HIPOTECA" xr:uid="{00000000-0004-0000-0B00-00001D000000}"/>
    <hyperlink ref="B262:G263" location="'2018'!AQ33:AT33" display="'2018'!AQ33:AT33" xr:uid="{00000000-0004-0000-0B00-00001E000000}"/>
    <hyperlink ref="B282" location="Trimestre!C25:F26" display="HIPOTECA" xr:uid="{00000000-0004-0000-0B00-00001F000000}"/>
    <hyperlink ref="B282:G283" location="'2018'!AQ34:AT34" display="'2018'!AQ34:AT34" xr:uid="{00000000-0004-0000-0B00-000020000000}"/>
    <hyperlink ref="B302" location="Trimestre!C25:F26" display="HIPOTECA" xr:uid="{00000000-0004-0000-0B00-000021000000}"/>
    <hyperlink ref="B302:G303" location="'2018'!AQ35:AT35" display="'2018'!AQ35:AT35" xr:uid="{00000000-0004-0000-0B00-000022000000}"/>
    <hyperlink ref="B322" location="Trimestre!C25:F26" display="HIPOTECA" xr:uid="{00000000-0004-0000-0B00-000023000000}"/>
    <hyperlink ref="B322:G323" location="'2018'!AQ36:AT36" display="'2018'!AQ36:AT36" xr:uid="{00000000-0004-0000-0B00-000024000000}"/>
    <hyperlink ref="B342" location="Trimestre!C25:F26" display="HIPOTECA" xr:uid="{00000000-0004-0000-0B00-000025000000}"/>
    <hyperlink ref="B342:G343" location="'2018'!AQ37:AT37" display="'2018'!AQ37:AT37" xr:uid="{00000000-0004-0000-0B00-000026000000}"/>
    <hyperlink ref="B362" location="Trimestre!C25:F26" display="HIPOTECA" xr:uid="{00000000-0004-0000-0B00-000027000000}"/>
    <hyperlink ref="B362:G363" location="'2018'!AQ38:AT38" display="'2018'!AQ38:AT38" xr:uid="{00000000-0004-0000-0B00-000028000000}"/>
    <hyperlink ref="B382" location="Trimestre!C25:F26" display="HIPOTECA" xr:uid="{00000000-0004-0000-0B00-000029000000}"/>
    <hyperlink ref="B382:G383" location="'2018'!AQ39:AT39" display="'2018'!AQ39:AT39" xr:uid="{00000000-0004-0000-0B00-00002A000000}"/>
    <hyperlink ref="B402" location="Trimestre!C25:F26" display="HIPOTECA" xr:uid="{00000000-0004-0000-0B00-00002B000000}"/>
    <hyperlink ref="B402:G403" location="'2018'!AQ40:AT40" display="'2018'!AQ40:AT40" xr:uid="{00000000-0004-0000-0B00-00002C000000}"/>
    <hyperlink ref="B422" location="Trimestre!C25:F26" display="HIPOTECA" xr:uid="{00000000-0004-0000-0B00-00002D000000}"/>
    <hyperlink ref="B422:G423" location="'2018'!AQ41:AT41" display="'2018'!AQ41:AT41" xr:uid="{00000000-0004-0000-0B00-00002E000000}"/>
    <hyperlink ref="B442" location="Trimestre!C25:F26" display="HIPOTECA" xr:uid="{00000000-0004-0000-0B00-00002F000000}"/>
    <hyperlink ref="B442:G443" location="'2018'!AQ42:AT42" display="'2018'!AQ42:AT42" xr:uid="{00000000-0004-0000-0B00-000030000000}"/>
    <hyperlink ref="B462" location="Trimestre!C25:F26" display="HIPOTECA" xr:uid="{00000000-0004-0000-0B00-000031000000}"/>
    <hyperlink ref="B462:G463" location="'2018'!AQ43:AT43" display="'2018'!AQ43:AT43" xr:uid="{00000000-0004-0000-0B00-000032000000}"/>
    <hyperlink ref="B482" location="Trimestre!C25:F26" display="HIPOTECA" xr:uid="{00000000-0004-0000-0B00-000033000000}"/>
    <hyperlink ref="B482:G483" location="'2018'!AQ44:AT44" display="'2018'!AQ44:AT44" xr:uid="{00000000-0004-0000-0B00-000034000000}"/>
    <hyperlink ref="B502" location="Trimestre!C25:F26" display="HIPOTECA" xr:uid="{00000000-0004-0000-0B00-000035000000}"/>
    <hyperlink ref="B502:G503" location="'2018'!AQ45:AT45" display="'2018'!AQ45:AT45" xr:uid="{00000000-0004-0000-0B00-000036000000}"/>
    <hyperlink ref="I2:L3" location="'2018'!AQ4:AT4" display="SALDO REAL" xr:uid="{00000000-0004-0000-0B00-000037000000}"/>
  </hyperlink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V520"/>
  <sheetViews>
    <sheetView tabSelected="1" topLeftCell="A362" workbookViewId="0">
      <selection activeCell="G372" sqref="G372"/>
    </sheetView>
  </sheetViews>
  <sheetFormatPr defaultColWidth="11.42578125" defaultRowHeight="15"/>
  <cols>
    <col min="1" max="1" width="11.42578125" style="137"/>
    <col min="2" max="2" width="10" style="164" customWidth="1"/>
    <col min="3" max="3" width="33.28515625" style="137" customWidth="1"/>
    <col min="4" max="6" width="10" style="164" customWidth="1"/>
    <col min="7" max="7" width="33.28515625" style="137" customWidth="1"/>
    <col min="8" max="9" width="11.42578125" style="137"/>
    <col min="10" max="10" width="31.28515625" style="137" customWidth="1"/>
    <col min="11" max="12" width="11.42578125" style="164"/>
    <col min="13" max="16384" width="11.42578125" style="137"/>
  </cols>
  <sheetData>
    <row r="1" spans="1:22" ht="16.5" thickBot="1">
      <c r="A1" s="1"/>
      <c r="B1" s="163" t="s">
        <v>633</v>
      </c>
      <c r="C1" s="1"/>
      <c r="D1" s="163"/>
      <c r="E1" s="163"/>
      <c r="F1" s="163"/>
      <c r="G1" s="1"/>
      <c r="H1" s="30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89" t="str">
        <f>'2018'!A20</f>
        <v>Cártama Gastos</v>
      </c>
      <c r="C2" s="290"/>
      <c r="D2" s="290"/>
      <c r="E2" s="290"/>
      <c r="F2" s="290"/>
      <c r="G2" s="291"/>
      <c r="H2" s="1"/>
      <c r="I2" s="302" t="s">
        <v>4</v>
      </c>
      <c r="J2" s="290"/>
      <c r="K2" s="290"/>
      <c r="L2" s="291"/>
      <c r="M2" s="1"/>
      <c r="N2" s="1"/>
      <c r="R2" s="3"/>
    </row>
    <row r="3" spans="1:22" ht="16.5" thickBot="1">
      <c r="A3" s="1"/>
      <c r="B3" s="292"/>
      <c r="C3" s="293"/>
      <c r="D3" s="293"/>
      <c r="E3" s="293"/>
      <c r="F3" s="293"/>
      <c r="G3" s="294"/>
      <c r="H3" s="1"/>
      <c r="I3" s="292"/>
      <c r="J3" s="293"/>
      <c r="K3" s="293"/>
      <c r="L3" s="294"/>
      <c r="M3" s="1">
        <v>318.27999999999997</v>
      </c>
      <c r="N3" s="1" t="s">
        <v>760</v>
      </c>
      <c r="R3" s="3"/>
    </row>
    <row r="4" spans="1:22" ht="15.75">
      <c r="A4" s="1"/>
      <c r="B4" s="297" t="s">
        <v>10</v>
      </c>
      <c r="C4" s="296"/>
      <c r="D4" s="295" t="s">
        <v>11</v>
      </c>
      <c r="E4" s="295"/>
      <c r="F4" s="295"/>
      <c r="G4" s="296"/>
      <c r="H4" s="1"/>
      <c r="I4" s="88" t="s">
        <v>70</v>
      </c>
      <c r="J4" s="156" t="s">
        <v>71</v>
      </c>
      <c r="K4" s="316" t="s">
        <v>72</v>
      </c>
      <c r="L4" s="317"/>
      <c r="M4" s="1">
        <f>22.5+46.5+10.4+35</f>
        <v>114.4</v>
      </c>
      <c r="N4" s="1" t="s">
        <v>761</v>
      </c>
      <c r="R4" s="3"/>
    </row>
    <row r="5" spans="1:22" ht="15.75">
      <c r="A5" s="1" t="s">
        <v>608</v>
      </c>
      <c r="B5" s="218" t="s">
        <v>32</v>
      </c>
      <c r="C5" s="60" t="s">
        <v>33</v>
      </c>
      <c r="D5" s="218" t="s">
        <v>68</v>
      </c>
      <c r="E5" s="222" t="s">
        <v>69</v>
      </c>
      <c r="F5" s="222" t="s">
        <v>32</v>
      </c>
      <c r="G5" s="60" t="s">
        <v>33</v>
      </c>
      <c r="H5" s="163"/>
      <c r="I5" s="157" t="s">
        <v>73</v>
      </c>
      <c r="J5" s="158" t="s">
        <v>74</v>
      </c>
      <c r="K5" s="314">
        <f>2581.3-73.14-485.64</f>
        <v>2022.5200000000004</v>
      </c>
      <c r="L5" s="315"/>
      <c r="M5" s="1">
        <f>600.04-M4-M3</f>
        <v>167.36</v>
      </c>
      <c r="N5" s="1" t="s">
        <v>754</v>
      </c>
      <c r="R5" s="3"/>
    </row>
    <row r="6" spans="1:22" ht="15.75">
      <c r="A6" s="163">
        <f>'11'!A6+B6-E6</f>
        <v>405.59</v>
      </c>
      <c r="B6" s="219">
        <v>399.59</v>
      </c>
      <c r="C6" s="36" t="s">
        <v>583</v>
      </c>
      <c r="D6" s="223"/>
      <c r="E6" s="224"/>
      <c r="F6" s="224"/>
      <c r="G6" s="33" t="s">
        <v>35</v>
      </c>
      <c r="H6" s="163"/>
      <c r="I6" s="159" t="s">
        <v>73</v>
      </c>
      <c r="J6" s="158" t="s">
        <v>75</v>
      </c>
      <c r="K6" s="312">
        <v>550.05999999999995</v>
      </c>
      <c r="L6" s="313"/>
      <c r="M6" s="1" t="s">
        <v>394</v>
      </c>
      <c r="N6" s="1"/>
      <c r="R6" s="3"/>
    </row>
    <row r="7" spans="1:22" ht="15.75">
      <c r="A7" s="163">
        <f>'11'!A7+B7-E7</f>
        <v>238.32999999999998</v>
      </c>
      <c r="B7" s="220">
        <v>70.180000000000007</v>
      </c>
      <c r="C7" s="33" t="s">
        <v>652</v>
      </c>
      <c r="D7" s="223"/>
      <c r="E7" s="224"/>
      <c r="F7" s="224"/>
      <c r="G7" s="33" t="s">
        <v>106</v>
      </c>
      <c r="H7" s="82"/>
      <c r="I7" s="159" t="s">
        <v>76</v>
      </c>
      <c r="J7" s="158" t="s">
        <v>77</v>
      </c>
      <c r="K7" s="312">
        <f>5476.11-77.4</f>
        <v>5398.71</v>
      </c>
      <c r="L7" s="313"/>
      <c r="M7" s="1"/>
      <c r="N7" s="1"/>
      <c r="R7" s="3"/>
    </row>
    <row r="8" spans="1:22" ht="15.75">
      <c r="A8" s="163">
        <f>'11'!A8+B8-E8</f>
        <v>0</v>
      </c>
      <c r="B8" s="220">
        <v>0</v>
      </c>
      <c r="C8" s="33" t="s">
        <v>38</v>
      </c>
      <c r="D8" s="223"/>
      <c r="F8" s="224"/>
      <c r="G8" s="33" t="s">
        <v>38</v>
      </c>
      <c r="H8" s="1"/>
      <c r="I8" s="159" t="s">
        <v>76</v>
      </c>
      <c r="J8" s="158" t="s">
        <v>78</v>
      </c>
      <c r="K8" s="312">
        <v>7000</v>
      </c>
      <c r="L8" s="313"/>
      <c r="M8" s="1"/>
      <c r="N8" s="1"/>
      <c r="R8" s="3"/>
    </row>
    <row r="9" spans="1:22" ht="15.75">
      <c r="A9" s="163">
        <f>'11'!A9+B9-E9</f>
        <v>0</v>
      </c>
      <c r="B9" s="220">
        <v>34.53</v>
      </c>
      <c r="C9" s="33" t="s">
        <v>40</v>
      </c>
      <c r="D9" s="223"/>
      <c r="E9" s="224">
        <v>34.53</v>
      </c>
      <c r="F9" s="224"/>
      <c r="G9" s="33" t="s">
        <v>40</v>
      </c>
      <c r="H9" s="1"/>
      <c r="I9" s="159" t="s">
        <v>76</v>
      </c>
      <c r="J9" s="158" t="s">
        <v>267</v>
      </c>
      <c r="K9" s="312">
        <v>695.39</v>
      </c>
      <c r="L9" s="313"/>
      <c r="M9" s="1"/>
      <c r="N9" s="1"/>
      <c r="R9" s="3"/>
    </row>
    <row r="10" spans="1:22" ht="15.75">
      <c r="A10" s="163">
        <f>'11'!A10+B10-E10</f>
        <v>0</v>
      </c>
      <c r="B10" s="220">
        <v>12</v>
      </c>
      <c r="C10" s="33" t="s">
        <v>39</v>
      </c>
      <c r="D10" s="223"/>
      <c r="E10" s="224">
        <v>12</v>
      </c>
      <c r="F10" s="224"/>
      <c r="G10" s="33" t="s">
        <v>39</v>
      </c>
      <c r="H10" s="1"/>
      <c r="I10" s="159" t="s">
        <v>76</v>
      </c>
      <c r="J10" s="158" t="s">
        <v>115</v>
      </c>
      <c r="K10" s="312">
        <v>1800.04</v>
      </c>
      <c r="L10" s="313"/>
      <c r="M10" s="1" t="s">
        <v>265</v>
      </c>
      <c r="N10" s="1"/>
      <c r="R10" s="3"/>
    </row>
    <row r="11" spans="1:22" ht="15.75">
      <c r="A11" s="163">
        <f>'11'!A11+B11-E11</f>
        <v>30.23</v>
      </c>
      <c r="B11" s="220">
        <v>30.23</v>
      </c>
      <c r="C11" s="33" t="s">
        <v>37</v>
      </c>
      <c r="D11" s="223"/>
      <c r="E11" s="224"/>
      <c r="F11" s="224"/>
      <c r="G11" s="33" t="s">
        <v>37</v>
      </c>
      <c r="H11" s="1"/>
      <c r="I11" s="159" t="s">
        <v>93</v>
      </c>
      <c r="J11" s="158" t="s">
        <v>94</v>
      </c>
      <c r="K11" s="312">
        <f>345+30-3.4-21</f>
        <v>350.6</v>
      </c>
      <c r="L11" s="313"/>
      <c r="M11" s="1"/>
      <c r="N11" s="1"/>
      <c r="R11" s="3"/>
    </row>
    <row r="12" spans="1:22" ht="15.75">
      <c r="A12" s="163">
        <f>'11'!A12+B12-E12</f>
        <v>38.04000000000002</v>
      </c>
      <c r="B12" s="220">
        <v>25</v>
      </c>
      <c r="C12" s="33" t="s">
        <v>690</v>
      </c>
      <c r="D12" s="223"/>
      <c r="E12" s="224"/>
      <c r="F12" s="224"/>
      <c r="G12" s="33"/>
      <c r="H12" s="1"/>
      <c r="I12" s="159" t="s">
        <v>303</v>
      </c>
      <c r="J12" s="158" t="s">
        <v>304</v>
      </c>
      <c r="K12" s="312">
        <v>5092.08</v>
      </c>
      <c r="L12" s="313"/>
      <c r="M12" s="140"/>
      <c r="N12" s="1"/>
      <c r="R12" s="3"/>
    </row>
    <row r="13" spans="1:22" ht="15.75">
      <c r="A13" s="163">
        <f>'11'!A13+B13-E13</f>
        <v>63</v>
      </c>
      <c r="B13" s="220">
        <v>7</v>
      </c>
      <c r="C13" s="33" t="s">
        <v>653</v>
      </c>
      <c r="D13" s="223"/>
      <c r="E13" s="224"/>
      <c r="F13" s="224"/>
      <c r="G13" s="33"/>
      <c r="H13" s="1"/>
      <c r="I13" s="159"/>
      <c r="J13" s="158"/>
      <c r="K13" s="312"/>
      <c r="L13" s="313"/>
      <c r="M13" s="1"/>
      <c r="N13" s="1"/>
      <c r="R13" s="3"/>
    </row>
    <row r="14" spans="1:22" ht="15.75">
      <c r="A14" s="163"/>
      <c r="B14" s="220"/>
      <c r="C14" s="33"/>
      <c r="D14" s="223"/>
      <c r="E14" s="224"/>
      <c r="F14" s="224"/>
      <c r="G14" s="33"/>
      <c r="H14" s="1"/>
      <c r="I14" s="159"/>
      <c r="J14" s="158"/>
      <c r="K14" s="312"/>
      <c r="L14" s="313"/>
      <c r="M14" s="1"/>
      <c r="N14" s="1"/>
      <c r="R14" s="3"/>
    </row>
    <row r="15" spans="1:22" ht="15.75">
      <c r="A15" s="163"/>
      <c r="B15" s="220"/>
      <c r="C15" s="33"/>
      <c r="D15" s="223"/>
      <c r="E15" s="224"/>
      <c r="F15" s="224"/>
      <c r="G15" s="33"/>
      <c r="H15" s="1"/>
      <c r="I15" s="159"/>
      <c r="J15" s="158"/>
      <c r="K15" s="312"/>
      <c r="L15" s="313"/>
      <c r="M15" s="1"/>
      <c r="N15" s="1"/>
      <c r="R15" s="3"/>
    </row>
    <row r="16" spans="1:22" ht="15.75">
      <c r="A16" s="163"/>
      <c r="B16" s="220"/>
      <c r="C16" s="33"/>
      <c r="D16" s="223"/>
      <c r="E16" s="224"/>
      <c r="F16" s="224"/>
      <c r="G16" s="33"/>
      <c r="H16" s="1"/>
      <c r="I16" s="159"/>
      <c r="J16" s="158"/>
      <c r="K16" s="312"/>
      <c r="L16" s="313"/>
      <c r="M16" s="1"/>
      <c r="N16" s="1"/>
      <c r="R16" s="3"/>
    </row>
    <row r="17" spans="1:18" ht="15.75">
      <c r="A17" s="163"/>
      <c r="B17" s="220"/>
      <c r="C17" s="33"/>
      <c r="D17" s="223"/>
      <c r="E17" s="224"/>
      <c r="F17" s="224"/>
      <c r="G17" s="33"/>
      <c r="H17" s="1"/>
      <c r="I17" s="159"/>
      <c r="J17" s="158"/>
      <c r="K17" s="312"/>
      <c r="L17" s="313"/>
      <c r="M17" s="1"/>
      <c r="N17" s="1"/>
      <c r="R17" s="3"/>
    </row>
    <row r="18" spans="1:18" ht="16.5" thickBot="1">
      <c r="A18" s="163"/>
      <c r="B18" s="220"/>
      <c r="C18" s="33"/>
      <c r="D18" s="223"/>
      <c r="E18" s="224"/>
      <c r="F18" s="224"/>
      <c r="G18" s="33"/>
      <c r="H18" s="1"/>
      <c r="I18" s="160"/>
      <c r="J18" s="161"/>
      <c r="K18" s="318"/>
      <c r="L18" s="319"/>
      <c r="M18" s="1"/>
      <c r="N18" s="1"/>
      <c r="R18" s="3"/>
    </row>
    <row r="19" spans="1:18" ht="16.5" thickBot="1">
      <c r="A19" s="163"/>
      <c r="B19" s="221"/>
      <c r="C19" s="34"/>
      <c r="D19" s="221"/>
      <c r="E19" s="225"/>
      <c r="F19" s="225"/>
      <c r="G19" s="34"/>
      <c r="H19" s="1"/>
      <c r="I19" s="63" t="s">
        <v>83</v>
      </c>
      <c r="J19" s="37"/>
      <c r="K19" s="318">
        <f>SUM(K5:K18)</f>
        <v>22909.4</v>
      </c>
      <c r="L19" s="319"/>
      <c r="M19" s="1"/>
      <c r="N19" s="1"/>
      <c r="R19" s="3"/>
    </row>
    <row r="20" spans="1:18" ht="16.5" thickBot="1">
      <c r="A20" s="163">
        <f>SUM(A6:A15)</f>
        <v>775.19</v>
      </c>
      <c r="B20" s="221">
        <f>SUM(B6:B19)</f>
        <v>578.53</v>
      </c>
      <c r="C20" s="34" t="s">
        <v>66</v>
      </c>
      <c r="D20" s="221">
        <f>SUM(D6:D19)</f>
        <v>0</v>
      </c>
      <c r="E20" s="221">
        <f>SUM(E6:E19)</f>
        <v>46.53</v>
      </c>
      <c r="F20" s="221">
        <f>SUM(F6:F19)</f>
        <v>0</v>
      </c>
      <c r="G20" s="34" t="s">
        <v>66</v>
      </c>
      <c r="H20" s="1"/>
      <c r="I20" s="137" t="s">
        <v>116</v>
      </c>
      <c r="L20" s="164">
        <f>K19-K10-K12</f>
        <v>16017.28</v>
      </c>
      <c r="M20" s="1"/>
      <c r="R20" s="3"/>
    </row>
    <row r="21" spans="1:18" ht="16.5" thickBot="1">
      <c r="A21" s="1"/>
      <c r="B21" s="163"/>
      <c r="C21" s="1"/>
      <c r="D21" s="163"/>
      <c r="E21" s="163"/>
      <c r="F21" s="163"/>
      <c r="G21" s="1"/>
      <c r="H21" s="1"/>
      <c r="M21" s="1"/>
      <c r="R21" s="3"/>
    </row>
    <row r="22" spans="1:18" ht="15.6" customHeight="1">
      <c r="A22" s="1"/>
      <c r="B22" s="289" t="str">
        <f>'2018'!A21</f>
        <v>Waterloo</v>
      </c>
      <c r="C22" s="290"/>
      <c r="D22" s="290"/>
      <c r="E22" s="290"/>
      <c r="F22" s="290"/>
      <c r="G22" s="291"/>
      <c r="H22" s="1"/>
      <c r="I22" s="302" t="s">
        <v>6</v>
      </c>
      <c r="J22" s="290"/>
      <c r="K22" s="290"/>
      <c r="L22" s="291"/>
      <c r="M22" s="1"/>
      <c r="R22" s="3"/>
    </row>
    <row r="23" spans="1:18" ht="16.149999999999999" customHeight="1" thickBot="1">
      <c r="A23" s="1"/>
      <c r="B23" s="292"/>
      <c r="C23" s="293"/>
      <c r="D23" s="293"/>
      <c r="E23" s="293"/>
      <c r="F23" s="293"/>
      <c r="G23" s="294"/>
      <c r="H23" s="1"/>
      <c r="I23" s="292"/>
      <c r="J23" s="293"/>
      <c r="K23" s="293"/>
      <c r="L23" s="294"/>
      <c r="M23" s="1"/>
      <c r="R23" s="3"/>
    </row>
    <row r="24" spans="1:18" ht="15.75">
      <c r="A24" s="1"/>
      <c r="B24" s="297" t="s">
        <v>10</v>
      </c>
      <c r="C24" s="296"/>
      <c r="D24" s="295" t="s">
        <v>11</v>
      </c>
      <c r="E24" s="295"/>
      <c r="F24" s="295"/>
      <c r="G24" s="296"/>
      <c r="H24" s="1"/>
      <c r="I24" s="88" t="s">
        <v>33</v>
      </c>
      <c r="J24" s="32" t="s">
        <v>133</v>
      </c>
      <c r="K24" s="316" t="s">
        <v>134</v>
      </c>
      <c r="L24" s="317"/>
      <c r="M24" s="1"/>
      <c r="R24" s="3"/>
    </row>
    <row r="25" spans="1:18" ht="15.75">
      <c r="A25" s="1" t="s">
        <v>608</v>
      </c>
      <c r="B25" s="218" t="s">
        <v>32</v>
      </c>
      <c r="C25" s="60" t="s">
        <v>33</v>
      </c>
      <c r="D25" s="218" t="s">
        <v>68</v>
      </c>
      <c r="E25" s="222" t="s">
        <v>69</v>
      </c>
      <c r="F25" s="222" t="s">
        <v>32</v>
      </c>
      <c r="G25" s="60" t="s">
        <v>33</v>
      </c>
      <c r="H25" s="1"/>
      <c r="I25" s="150">
        <v>2</v>
      </c>
      <c r="J25" s="3" t="s">
        <v>655</v>
      </c>
      <c r="K25" s="314">
        <v>269.67</v>
      </c>
      <c r="L25" s="315"/>
      <c r="M25" s="1"/>
      <c r="R25" s="3"/>
    </row>
    <row r="26" spans="1:18" ht="15.75">
      <c r="A26" s="163">
        <f>'11'!A26+B26-D26</f>
        <v>0</v>
      </c>
      <c r="B26" s="219">
        <v>900</v>
      </c>
      <c r="C26" s="66" t="s">
        <v>42</v>
      </c>
      <c r="D26" s="223">
        <v>900</v>
      </c>
      <c r="E26" s="224"/>
      <c r="F26" s="224"/>
      <c r="G26" s="33" t="s">
        <v>42</v>
      </c>
      <c r="H26" s="1"/>
      <c r="I26" s="151">
        <v>1</v>
      </c>
      <c r="J26" s="35" t="s">
        <v>768</v>
      </c>
      <c r="K26" s="312">
        <v>186.99</v>
      </c>
      <c r="L26" s="313"/>
      <c r="M26" s="1"/>
      <c r="R26" s="3"/>
    </row>
    <row r="27" spans="1:18" ht="15.75">
      <c r="A27" s="163">
        <f>'11'!A27+B27-D27</f>
        <v>179</v>
      </c>
      <c r="B27" s="220">
        <v>170</v>
      </c>
      <c r="C27" s="66" t="s">
        <v>44</v>
      </c>
      <c r="D27" s="223"/>
      <c r="E27" s="224"/>
      <c r="F27" s="224"/>
      <c r="G27" s="33" t="s">
        <v>44</v>
      </c>
      <c r="H27" s="1"/>
      <c r="I27" s="151">
        <v>5</v>
      </c>
      <c r="J27" s="35" t="s">
        <v>780</v>
      </c>
      <c r="K27" s="312">
        <v>318.27999999999997</v>
      </c>
      <c r="L27" s="313"/>
      <c r="M27" s="1"/>
      <c r="R27" s="3"/>
    </row>
    <row r="28" spans="1:18" ht="15.75">
      <c r="A28" s="163">
        <f>'11'!A28+B28-D28</f>
        <v>143.06</v>
      </c>
      <c r="B28" s="220">
        <v>40</v>
      </c>
      <c r="C28" s="66" t="s">
        <v>45</v>
      </c>
      <c r="D28" s="223"/>
      <c r="E28" s="224"/>
      <c r="F28" s="224"/>
      <c r="G28" s="33" t="s">
        <v>45</v>
      </c>
      <c r="H28" s="1"/>
      <c r="I28" s="151">
        <v>2</v>
      </c>
      <c r="J28" s="35" t="s">
        <v>763</v>
      </c>
      <c r="K28" s="312">
        <v>128</v>
      </c>
      <c r="L28" s="313"/>
      <c r="M28" s="1"/>
      <c r="R28" s="3"/>
    </row>
    <row r="29" spans="1:18" ht="15.75">
      <c r="A29" s="163">
        <f>'11'!A29+B29-D29</f>
        <v>19.13</v>
      </c>
      <c r="B29" s="220">
        <v>18</v>
      </c>
      <c r="C29" s="66" t="s">
        <v>41</v>
      </c>
      <c r="D29" s="223"/>
      <c r="E29" s="224"/>
      <c r="F29" s="224"/>
      <c r="G29" s="33" t="s">
        <v>41</v>
      </c>
      <c r="H29" s="1"/>
      <c r="I29" s="151">
        <v>8</v>
      </c>
      <c r="J29" s="35" t="s">
        <v>764</v>
      </c>
      <c r="K29" s="312">
        <v>584.53</v>
      </c>
      <c r="L29" s="313"/>
      <c r="M29" s="1"/>
      <c r="R29" s="3"/>
    </row>
    <row r="30" spans="1:18" ht="15.75">
      <c r="A30" s="163">
        <f>'11'!A30+B30-D30</f>
        <v>593.55999999999995</v>
      </c>
      <c r="B30" s="220">
        <v>0</v>
      </c>
      <c r="C30" s="66" t="s">
        <v>46</v>
      </c>
      <c r="D30" s="223"/>
      <c r="E30" s="224"/>
      <c r="F30" s="224"/>
      <c r="G30" s="33"/>
      <c r="H30" s="1"/>
      <c r="I30" s="151"/>
      <c r="J30" s="35"/>
      <c r="K30" s="312"/>
      <c r="L30" s="313"/>
      <c r="M30" s="1"/>
      <c r="R30" s="3"/>
    </row>
    <row r="31" spans="1:18" ht="15.75">
      <c r="A31" s="163"/>
      <c r="B31" s="220"/>
      <c r="C31" s="33"/>
      <c r="D31" s="223"/>
      <c r="E31" s="224"/>
      <c r="F31" s="224"/>
      <c r="G31" s="33"/>
      <c r="H31" s="1"/>
      <c r="I31" s="151"/>
      <c r="J31" s="35"/>
      <c r="K31" s="312"/>
      <c r="L31" s="313"/>
      <c r="M31" s="1"/>
      <c r="R31" s="3"/>
    </row>
    <row r="32" spans="1:18" ht="15.75">
      <c r="A32" s="163"/>
      <c r="B32" s="220"/>
      <c r="C32" s="33"/>
      <c r="D32" s="223"/>
      <c r="E32" s="224"/>
      <c r="F32" s="224"/>
      <c r="G32" s="33"/>
      <c r="H32" s="1"/>
      <c r="I32" s="151"/>
      <c r="J32" s="35"/>
      <c r="K32" s="312"/>
      <c r="L32" s="313"/>
      <c r="M32" s="1"/>
      <c r="R32" s="3"/>
    </row>
    <row r="33" spans="1:18" ht="15.75">
      <c r="A33" s="163"/>
      <c r="B33" s="220"/>
      <c r="C33" s="33"/>
      <c r="D33" s="223"/>
      <c r="E33" s="224"/>
      <c r="F33" s="224"/>
      <c r="G33" s="33"/>
      <c r="H33" s="1"/>
      <c r="I33" s="151"/>
      <c r="J33" s="35"/>
      <c r="K33" s="312"/>
      <c r="L33" s="313"/>
      <c r="M33" s="1"/>
      <c r="R33" s="3"/>
    </row>
    <row r="34" spans="1:18" ht="15.75">
      <c r="A34" s="163"/>
      <c r="B34" s="220"/>
      <c r="C34" s="33"/>
      <c r="D34" s="223"/>
      <c r="E34" s="224"/>
      <c r="F34" s="224"/>
      <c r="G34" s="33"/>
      <c r="H34" s="1"/>
      <c r="I34" s="151"/>
      <c r="J34" s="35"/>
      <c r="K34" s="312"/>
      <c r="L34" s="313"/>
      <c r="M34" s="1"/>
      <c r="R34" s="3"/>
    </row>
    <row r="35" spans="1:18" ht="15.75">
      <c r="A35" s="163"/>
      <c r="B35" s="220"/>
      <c r="C35" s="33"/>
      <c r="D35" s="223"/>
      <c r="E35" s="224"/>
      <c r="F35" s="224"/>
      <c r="G35" s="33"/>
      <c r="H35" s="1"/>
      <c r="I35" s="151"/>
      <c r="J35" s="35"/>
      <c r="K35" s="312"/>
      <c r="L35" s="313"/>
      <c r="M35" s="1"/>
      <c r="R35" s="3"/>
    </row>
    <row r="36" spans="1:18" ht="15.75">
      <c r="A36" s="1"/>
      <c r="B36" s="220"/>
      <c r="C36" s="33"/>
      <c r="D36" s="223"/>
      <c r="E36" s="224"/>
      <c r="F36" s="224"/>
      <c r="G36" s="33"/>
      <c r="H36" s="1"/>
      <c r="I36" s="151"/>
      <c r="J36" s="35"/>
      <c r="K36" s="312"/>
      <c r="L36" s="313"/>
      <c r="M36" s="1"/>
      <c r="R36" s="3"/>
    </row>
    <row r="37" spans="1:18" ht="15.75">
      <c r="A37" s="1"/>
      <c r="B37" s="220"/>
      <c r="C37" s="33"/>
      <c r="D37" s="223"/>
      <c r="E37" s="224"/>
      <c r="F37" s="224"/>
      <c r="G37" s="33"/>
      <c r="H37" s="1"/>
      <c r="I37" s="151"/>
      <c r="J37" s="35"/>
      <c r="K37" s="312"/>
      <c r="L37" s="313"/>
      <c r="M37" s="1"/>
      <c r="R37" s="3"/>
    </row>
    <row r="38" spans="1:18" ht="16.5" thickBot="1">
      <c r="A38" s="1"/>
      <c r="B38" s="220"/>
      <c r="C38" s="33"/>
      <c r="D38" s="223"/>
      <c r="E38" s="224"/>
      <c r="F38" s="224"/>
      <c r="G38" s="33"/>
      <c r="H38" s="1"/>
      <c r="I38" s="152"/>
      <c r="J38" s="37"/>
      <c r="K38" s="318"/>
      <c r="L38" s="319"/>
      <c r="M38" s="1"/>
      <c r="R38" s="3"/>
    </row>
    <row r="39" spans="1:18" ht="16.5" thickBot="1">
      <c r="A39" s="1"/>
      <c r="B39" s="221"/>
      <c r="C39" s="34"/>
      <c r="D39" s="221"/>
      <c r="E39" s="225"/>
      <c r="F39" s="225"/>
      <c r="G39" s="34"/>
      <c r="H39" s="1"/>
      <c r="M39" s="1"/>
      <c r="R39" s="3"/>
    </row>
    <row r="40" spans="1:18" ht="16.5" thickBot="1">
      <c r="A40" s="163">
        <f>SUM(A26:A35)</f>
        <v>934.75</v>
      </c>
      <c r="B40" s="221">
        <f>SUM(B26:B39)</f>
        <v>1128</v>
      </c>
      <c r="C40" s="34" t="s">
        <v>66</v>
      </c>
      <c r="D40" s="221">
        <f>SUM(D26:D39)</f>
        <v>900</v>
      </c>
      <c r="E40" s="221">
        <f>SUM(E26:E39)</f>
        <v>0</v>
      </c>
      <c r="F40" s="221">
        <f>SUM(F26:F39)</f>
        <v>0</v>
      </c>
      <c r="G40" s="34" t="s">
        <v>66</v>
      </c>
      <c r="H40" s="1"/>
      <c r="M40" s="1"/>
      <c r="R40" s="3"/>
    </row>
    <row r="41" spans="1:18" ht="16.5" thickBot="1">
      <c r="A41" s="1"/>
      <c r="B41" s="163"/>
      <c r="C41" s="1"/>
      <c r="D41" s="163"/>
      <c r="E41" s="163"/>
      <c r="F41" s="163"/>
      <c r="G41" s="1"/>
      <c r="H41" s="1"/>
      <c r="M41" s="1"/>
      <c r="R41" s="3"/>
    </row>
    <row r="42" spans="1:18" ht="15.6" customHeight="1">
      <c r="A42" s="1"/>
      <c r="B42" s="289" t="str">
        <f>'2018'!A22</f>
        <v>Comida+Limpieza</v>
      </c>
      <c r="C42" s="290"/>
      <c r="D42" s="290"/>
      <c r="E42" s="290"/>
      <c r="F42" s="290"/>
      <c r="G42" s="291"/>
      <c r="H42" s="1"/>
      <c r="M42" s="1"/>
      <c r="R42" s="3"/>
    </row>
    <row r="43" spans="1:18" ht="16.149999999999999" customHeight="1" thickBot="1">
      <c r="A43" s="1"/>
      <c r="B43" s="292"/>
      <c r="C43" s="293"/>
      <c r="D43" s="293"/>
      <c r="E43" s="293"/>
      <c r="F43" s="293"/>
      <c r="G43" s="294"/>
      <c r="H43" s="1"/>
      <c r="M43" s="1"/>
      <c r="R43" s="3"/>
    </row>
    <row r="44" spans="1:18" ht="15.75">
      <c r="A44" s="1"/>
      <c r="B44" s="297" t="s">
        <v>10</v>
      </c>
      <c r="C44" s="296"/>
      <c r="D44" s="295" t="s">
        <v>11</v>
      </c>
      <c r="E44" s="295"/>
      <c r="F44" s="295"/>
      <c r="G44" s="296"/>
      <c r="H44" s="1"/>
      <c r="M44" s="1"/>
      <c r="R44" s="3"/>
    </row>
    <row r="45" spans="1:18" ht="15.75">
      <c r="A45" s="1"/>
      <c r="B45" s="218" t="s">
        <v>32</v>
      </c>
      <c r="C45" s="60" t="s">
        <v>33</v>
      </c>
      <c r="D45" s="218" t="s">
        <v>68</v>
      </c>
      <c r="E45" s="222" t="s">
        <v>69</v>
      </c>
      <c r="F45" s="222" t="s">
        <v>32</v>
      </c>
      <c r="G45" s="60" t="s">
        <v>393</v>
      </c>
      <c r="H45" s="1"/>
      <c r="M45" s="1"/>
      <c r="R45" s="3"/>
    </row>
    <row r="46" spans="1:18" ht="15.75">
      <c r="A46" s="1"/>
      <c r="B46" s="219">
        <v>442</v>
      </c>
      <c r="C46" s="36"/>
      <c r="D46" s="223">
        <f>86.28</f>
        <v>86.28</v>
      </c>
      <c r="E46" s="224"/>
      <c r="F46" s="224"/>
      <c r="G46" s="69" t="s">
        <v>774</v>
      </c>
      <c r="H46" s="1"/>
      <c r="M46" s="1"/>
      <c r="R46" s="3"/>
    </row>
    <row r="47" spans="1:18" ht="15.75">
      <c r="A47" s="1"/>
      <c r="B47" s="220">
        <v>28</v>
      </c>
      <c r="C47" s="33" t="s">
        <v>110</v>
      </c>
      <c r="D47" s="223">
        <f>22.16</f>
        <v>22.16</v>
      </c>
      <c r="E47" s="224"/>
      <c r="F47" s="224"/>
      <c r="G47" s="33" t="s">
        <v>775</v>
      </c>
      <c r="H47" s="1"/>
      <c r="M47" s="1"/>
      <c r="R47" s="3"/>
    </row>
    <row r="48" spans="1:18" ht="15.75">
      <c r="A48" s="1"/>
      <c r="B48" s="220"/>
      <c r="C48" s="33"/>
      <c r="D48" s="223">
        <v>71.94</v>
      </c>
      <c r="E48" s="224"/>
      <c r="F48" s="224"/>
      <c r="G48" s="33" t="s">
        <v>776</v>
      </c>
      <c r="H48" s="1"/>
      <c r="M48" s="1"/>
      <c r="R48" s="3"/>
    </row>
    <row r="49" spans="1:18" ht="15.75">
      <c r="A49" s="1"/>
      <c r="B49" s="220"/>
      <c r="C49" s="33"/>
      <c r="D49" s="223">
        <f>21.75-D146</f>
        <v>16.87</v>
      </c>
      <c r="E49" s="224"/>
      <c r="F49" s="224"/>
      <c r="G49" s="33" t="s">
        <v>777</v>
      </c>
      <c r="H49" s="1"/>
      <c r="M49" s="1"/>
      <c r="R49" s="3"/>
    </row>
    <row r="50" spans="1:18" ht="15.75">
      <c r="A50" s="1"/>
      <c r="B50" s="220"/>
      <c r="C50" s="33"/>
      <c r="D50" s="223">
        <v>23.56</v>
      </c>
      <c r="E50" s="224"/>
      <c r="F50" s="224"/>
      <c r="G50" s="33" t="s">
        <v>778</v>
      </c>
      <c r="H50" s="1"/>
      <c r="M50" s="1"/>
      <c r="R50" s="3"/>
    </row>
    <row r="51" spans="1:18" ht="15.75">
      <c r="A51" s="1"/>
      <c r="B51" s="220"/>
      <c r="C51" s="33"/>
      <c r="D51" s="223">
        <f>51.06-D147</f>
        <v>19.96</v>
      </c>
      <c r="E51" s="224"/>
      <c r="F51" s="224"/>
      <c r="G51" s="33" t="s">
        <v>785</v>
      </c>
      <c r="H51" s="1"/>
      <c r="M51" s="1"/>
      <c r="R51" s="3"/>
    </row>
    <row r="52" spans="1:18" ht="15.75">
      <c r="A52" s="1"/>
      <c r="B52" s="220"/>
      <c r="C52" s="33"/>
      <c r="D52" s="223"/>
      <c r="E52" s="224"/>
      <c r="F52" s="224"/>
      <c r="G52" s="33"/>
      <c r="H52" s="1"/>
      <c r="M52" s="1"/>
      <c r="R52" s="3"/>
    </row>
    <row r="53" spans="1:18" ht="15.75">
      <c r="A53" s="1"/>
      <c r="B53" s="220"/>
      <c r="C53" s="33"/>
      <c r="D53" s="223"/>
      <c r="E53" s="224"/>
      <c r="F53" s="224"/>
      <c r="G53" s="33"/>
      <c r="H53" s="1"/>
      <c r="M53" s="1"/>
      <c r="R53" s="3"/>
    </row>
    <row r="54" spans="1:18" ht="15.75">
      <c r="A54" s="1"/>
      <c r="B54" s="220"/>
      <c r="C54" s="33"/>
      <c r="D54" s="223"/>
      <c r="E54" s="224"/>
      <c r="F54" s="224"/>
      <c r="G54" s="33"/>
      <c r="H54" s="1"/>
      <c r="M54" s="1"/>
      <c r="R54" s="3"/>
    </row>
    <row r="55" spans="1:18" ht="15.75">
      <c r="A55" s="1"/>
      <c r="B55" s="220"/>
      <c r="C55" s="33"/>
      <c r="D55" s="223"/>
      <c r="E55" s="224"/>
      <c r="F55" s="224"/>
      <c r="G55" s="33"/>
      <c r="H55" s="1"/>
      <c r="M55" s="1"/>
      <c r="R55" s="3"/>
    </row>
    <row r="56" spans="1:18" ht="15.75">
      <c r="A56" s="1"/>
      <c r="B56" s="220"/>
      <c r="C56" s="33"/>
      <c r="D56" s="223"/>
      <c r="E56" s="224"/>
      <c r="F56" s="224"/>
      <c r="G56" s="33"/>
      <c r="H56" s="1"/>
      <c r="M56" s="1"/>
      <c r="R56" s="3"/>
    </row>
    <row r="57" spans="1:18" ht="15.75">
      <c r="A57" s="1"/>
      <c r="B57" s="220"/>
      <c r="C57" s="33"/>
      <c r="D57" s="223"/>
      <c r="E57" s="224"/>
      <c r="F57" s="224"/>
      <c r="G57" s="33"/>
      <c r="H57" s="1"/>
      <c r="M57" s="1"/>
      <c r="R57" s="3"/>
    </row>
    <row r="58" spans="1:18" ht="15.75">
      <c r="A58" s="1"/>
      <c r="B58" s="220"/>
      <c r="C58" s="33"/>
      <c r="D58" s="223"/>
      <c r="E58" s="224"/>
      <c r="F58" s="224"/>
      <c r="G58" s="33"/>
      <c r="H58" s="1"/>
      <c r="M58" s="1"/>
      <c r="R58" s="3"/>
    </row>
    <row r="59" spans="1:18" ht="16.5" thickBot="1">
      <c r="A59" s="1"/>
      <c r="B59" s="221"/>
      <c r="C59" s="34"/>
      <c r="D59" s="221"/>
      <c r="E59" s="225"/>
      <c r="F59" s="225"/>
      <c r="G59" s="34"/>
      <c r="H59" s="1"/>
      <c r="M59" s="1"/>
      <c r="R59" s="3"/>
    </row>
    <row r="60" spans="1:18" ht="16.5" thickBot="1">
      <c r="A60" s="1"/>
      <c r="B60" s="221">
        <f>SUM(B46:B59)</f>
        <v>470</v>
      </c>
      <c r="C60" s="34" t="s">
        <v>66</v>
      </c>
      <c r="D60" s="221">
        <f>SUM(D46:D59)</f>
        <v>240.77</v>
      </c>
      <c r="E60" s="221">
        <f>SUM(E46:E59)</f>
        <v>0</v>
      </c>
      <c r="F60" s="221">
        <f>SUM(F46:F59)</f>
        <v>0</v>
      </c>
      <c r="G60" s="34" t="s">
        <v>66</v>
      </c>
      <c r="H60" s="1"/>
      <c r="M60" s="1"/>
      <c r="R60" s="3"/>
    </row>
    <row r="61" spans="1:18" ht="16.5" thickBot="1">
      <c r="A61" s="1"/>
      <c r="B61" s="163"/>
      <c r="C61" s="1"/>
      <c r="D61" s="163"/>
      <c r="E61" s="163"/>
      <c r="F61" s="163"/>
      <c r="G61" s="1"/>
      <c r="H61" s="1"/>
      <c r="M61" s="1"/>
      <c r="R61" s="3"/>
    </row>
    <row r="62" spans="1:18" ht="15.6" customHeight="1">
      <c r="A62" s="1"/>
      <c r="B62" s="289" t="str">
        <f>'2018'!A23</f>
        <v>Ocio</v>
      </c>
      <c r="C62" s="290"/>
      <c r="D62" s="290"/>
      <c r="E62" s="290"/>
      <c r="F62" s="290"/>
      <c r="G62" s="291"/>
      <c r="H62" s="1"/>
      <c r="M62" s="1"/>
      <c r="R62" s="3"/>
    </row>
    <row r="63" spans="1:18" ht="16.149999999999999" customHeight="1" thickBot="1">
      <c r="A63" s="1"/>
      <c r="B63" s="292"/>
      <c r="C63" s="293"/>
      <c r="D63" s="293"/>
      <c r="E63" s="293"/>
      <c r="F63" s="293"/>
      <c r="G63" s="294"/>
      <c r="H63" s="1"/>
      <c r="M63" s="1"/>
      <c r="R63" s="3"/>
    </row>
    <row r="64" spans="1:18" ht="15.75">
      <c r="A64" s="1"/>
      <c r="B64" s="297" t="s">
        <v>10</v>
      </c>
      <c r="C64" s="296"/>
      <c r="D64" s="295" t="s">
        <v>11</v>
      </c>
      <c r="E64" s="295"/>
      <c r="F64" s="295"/>
      <c r="G64" s="296"/>
      <c r="H64" s="1"/>
      <c r="M64" s="1"/>
      <c r="R64" s="3"/>
    </row>
    <row r="65" spans="1:18" ht="15.75">
      <c r="A65" s="1"/>
      <c r="B65" s="218" t="s">
        <v>32</v>
      </c>
      <c r="C65" s="60" t="s">
        <v>33</v>
      </c>
      <c r="D65" s="218" t="s">
        <v>68</v>
      </c>
      <c r="E65" s="222" t="s">
        <v>69</v>
      </c>
      <c r="F65" s="222" t="s">
        <v>32</v>
      </c>
      <c r="G65" s="60" t="s">
        <v>393</v>
      </c>
      <c r="H65" s="1"/>
      <c r="M65" s="1"/>
      <c r="R65" s="3"/>
    </row>
    <row r="66" spans="1:18" ht="15.75">
      <c r="A66" s="1"/>
      <c r="B66" s="219">
        <v>150</v>
      </c>
      <c r="C66" s="36" t="s">
        <v>36</v>
      </c>
      <c r="D66" s="223">
        <v>66.400000000000006</v>
      </c>
      <c r="E66" s="224"/>
      <c r="F66" s="224"/>
      <c r="G66" s="36" t="s">
        <v>781</v>
      </c>
      <c r="H66" s="1"/>
      <c r="M66" s="1"/>
      <c r="R66" s="3"/>
    </row>
    <row r="67" spans="1:18" ht="15.75">
      <c r="A67" s="1"/>
      <c r="B67" s="220">
        <v>5</v>
      </c>
      <c r="C67" s="33"/>
      <c r="D67" s="223"/>
      <c r="E67" s="224"/>
      <c r="F67" s="224">
        <v>11.34</v>
      </c>
      <c r="G67" s="70" t="s">
        <v>770</v>
      </c>
      <c r="H67" s="1"/>
      <c r="M67" s="1"/>
      <c r="R67" s="3"/>
    </row>
    <row r="68" spans="1:18" ht="15.75">
      <c r="A68" s="1"/>
      <c r="B68" s="220"/>
      <c r="C68" s="33"/>
      <c r="D68" s="223"/>
      <c r="E68" s="224"/>
      <c r="F68" s="224">
        <v>18</v>
      </c>
      <c r="G68" s="33" t="s">
        <v>769</v>
      </c>
      <c r="H68" s="1"/>
      <c r="M68" s="1"/>
      <c r="R68" s="3"/>
    </row>
    <row r="69" spans="1:18" ht="15.75">
      <c r="A69" s="1"/>
      <c r="B69" s="220"/>
      <c r="C69" s="33"/>
      <c r="D69" s="223"/>
      <c r="E69" s="224"/>
      <c r="F69" s="224"/>
      <c r="G69" s="33"/>
      <c r="H69" s="1"/>
      <c r="M69" s="1"/>
      <c r="R69" s="3"/>
    </row>
    <row r="70" spans="1:18" ht="15.75">
      <c r="A70" s="1"/>
      <c r="B70" s="220"/>
      <c r="C70" s="33"/>
      <c r="D70" s="223"/>
      <c r="E70" s="224"/>
      <c r="F70" s="224"/>
      <c r="G70" s="33"/>
      <c r="H70" s="1"/>
      <c r="M70" s="1"/>
      <c r="R70" s="3"/>
    </row>
    <row r="71" spans="1:18" ht="15.75">
      <c r="A71" s="1"/>
      <c r="B71" s="220"/>
      <c r="C71" s="33"/>
      <c r="D71" s="223"/>
      <c r="E71" s="224"/>
      <c r="F71" s="224"/>
      <c r="G71" s="33"/>
      <c r="H71" s="1"/>
      <c r="M71" s="1"/>
      <c r="R71" s="3"/>
    </row>
    <row r="72" spans="1:18" ht="15.75">
      <c r="A72" s="1"/>
      <c r="B72" s="220"/>
      <c r="C72" s="33"/>
      <c r="D72" s="223"/>
      <c r="E72" s="224"/>
      <c r="F72" s="224"/>
      <c r="G72" s="33"/>
      <c r="H72" s="1"/>
      <c r="M72" s="1"/>
      <c r="R72" s="3"/>
    </row>
    <row r="73" spans="1:18" ht="15.75">
      <c r="A73" s="1"/>
      <c r="B73" s="220"/>
      <c r="C73" s="33"/>
      <c r="D73" s="223"/>
      <c r="E73" s="224"/>
      <c r="F73" s="224"/>
      <c r="G73" s="33"/>
      <c r="H73" s="1"/>
      <c r="M73" s="1"/>
      <c r="R73" s="3"/>
    </row>
    <row r="74" spans="1:18" ht="15.75">
      <c r="A74" s="1"/>
      <c r="B74" s="220"/>
      <c r="C74" s="33"/>
      <c r="D74" s="223"/>
      <c r="E74" s="224"/>
      <c r="F74" s="224"/>
      <c r="G74" s="33"/>
      <c r="H74" s="1"/>
      <c r="M74" s="1"/>
      <c r="R74" s="3"/>
    </row>
    <row r="75" spans="1:18" ht="15.75">
      <c r="A75" s="1"/>
      <c r="B75" s="220"/>
      <c r="C75" s="33"/>
      <c r="D75" s="223"/>
      <c r="E75" s="224"/>
      <c r="F75" s="224"/>
      <c r="G75" s="33"/>
      <c r="H75" s="1"/>
      <c r="M75" s="1"/>
      <c r="R75" s="3"/>
    </row>
    <row r="76" spans="1:18" ht="15.75">
      <c r="A76" s="1"/>
      <c r="B76" s="220"/>
      <c r="C76" s="33"/>
      <c r="D76" s="223"/>
      <c r="E76" s="224"/>
      <c r="F76" s="224"/>
      <c r="G76" s="33"/>
      <c r="H76" s="1"/>
      <c r="M76" s="1"/>
      <c r="R76" s="3"/>
    </row>
    <row r="77" spans="1:18" ht="15.75">
      <c r="A77" s="1"/>
      <c r="B77" s="220"/>
      <c r="C77" s="33"/>
      <c r="D77" s="223"/>
      <c r="E77" s="224"/>
      <c r="F77" s="224"/>
      <c r="G77" s="33"/>
      <c r="H77" s="1"/>
      <c r="M77" s="1"/>
      <c r="R77" s="3"/>
    </row>
    <row r="78" spans="1:18" ht="15.75">
      <c r="A78" s="1"/>
      <c r="B78" s="220"/>
      <c r="C78" s="33"/>
      <c r="D78" s="223"/>
      <c r="E78" s="224"/>
      <c r="F78" s="224"/>
      <c r="G78" s="33"/>
      <c r="H78" s="1"/>
      <c r="M78" s="1"/>
      <c r="R78" s="3"/>
    </row>
    <row r="79" spans="1:18" ht="16.5" thickBot="1">
      <c r="A79" s="1"/>
      <c r="B79" s="221"/>
      <c r="C79" s="34"/>
      <c r="D79" s="221"/>
      <c r="E79" s="225"/>
      <c r="F79" s="225"/>
      <c r="G79" s="34"/>
      <c r="H79" s="1"/>
      <c r="M79" s="1"/>
      <c r="R79" s="3"/>
    </row>
    <row r="80" spans="1:18" ht="16.5" thickBot="1">
      <c r="A80" s="1"/>
      <c r="B80" s="221">
        <f>SUM(B66:B79)</f>
        <v>155</v>
      </c>
      <c r="C80" s="34" t="s">
        <v>66</v>
      </c>
      <c r="D80" s="221">
        <f>SUM(D66:D79)</f>
        <v>66.400000000000006</v>
      </c>
      <c r="E80" s="221">
        <f>SUM(E66:E79)</f>
        <v>0</v>
      </c>
      <c r="F80" s="221">
        <f>SUM(F66:F79)</f>
        <v>29.34</v>
      </c>
      <c r="G80" s="34" t="s">
        <v>66</v>
      </c>
      <c r="H80" s="1"/>
      <c r="M80" s="1"/>
      <c r="R80" s="3"/>
    </row>
    <row r="81" spans="1:18" ht="16.5" thickBot="1">
      <c r="A81" s="1"/>
      <c r="B81" s="163"/>
      <c r="C81" s="1"/>
      <c r="D81" s="163"/>
      <c r="E81" s="163"/>
      <c r="F81" s="163"/>
      <c r="G81" s="1"/>
      <c r="H81" s="1"/>
      <c r="M81" s="1"/>
      <c r="R81" s="3"/>
    </row>
    <row r="82" spans="1:18" ht="15.6" customHeight="1">
      <c r="A82" s="1"/>
      <c r="B82" s="289" t="str">
        <f>'2018'!A24</f>
        <v>Transportes</v>
      </c>
      <c r="C82" s="290"/>
      <c r="D82" s="290"/>
      <c r="E82" s="290"/>
      <c r="F82" s="290"/>
      <c r="G82" s="291"/>
      <c r="H82" s="1"/>
      <c r="M82" s="1"/>
      <c r="R82" s="3"/>
    </row>
    <row r="83" spans="1:18" ht="16.149999999999999" customHeight="1" thickBot="1">
      <c r="A83" s="1"/>
      <c r="B83" s="292"/>
      <c r="C83" s="293"/>
      <c r="D83" s="293"/>
      <c r="E83" s="293"/>
      <c r="F83" s="293"/>
      <c r="G83" s="294"/>
      <c r="H83" s="1"/>
      <c r="M83" s="1"/>
      <c r="R83" s="3"/>
    </row>
    <row r="84" spans="1:18" ht="15.75">
      <c r="A84" s="1"/>
      <c r="B84" s="297" t="s">
        <v>10</v>
      </c>
      <c r="C84" s="296"/>
      <c r="D84" s="295" t="s">
        <v>11</v>
      </c>
      <c r="E84" s="295"/>
      <c r="F84" s="295"/>
      <c r="G84" s="296"/>
      <c r="H84" s="1"/>
      <c r="M84" s="1"/>
      <c r="R84" s="3"/>
    </row>
    <row r="85" spans="1:18" ht="15.75">
      <c r="A85" s="1"/>
      <c r="B85" s="218" t="s">
        <v>32</v>
      </c>
      <c r="C85" s="60" t="s">
        <v>33</v>
      </c>
      <c r="D85" s="218" t="s">
        <v>68</v>
      </c>
      <c r="E85" s="222" t="s">
        <v>69</v>
      </c>
      <c r="F85" s="222" t="s">
        <v>32</v>
      </c>
      <c r="G85" s="60" t="s">
        <v>393</v>
      </c>
      <c r="H85" s="1"/>
      <c r="M85" s="1"/>
      <c r="R85" s="3"/>
    </row>
    <row r="86" spans="1:18" ht="15.75">
      <c r="A86" s="1"/>
      <c r="B86" s="219">
        <v>175</v>
      </c>
      <c r="C86" s="36" t="s">
        <v>658</v>
      </c>
      <c r="D86" s="223">
        <v>45.01</v>
      </c>
      <c r="E86" s="224"/>
      <c r="F86" s="224"/>
      <c r="G86" s="33" t="s">
        <v>772</v>
      </c>
      <c r="H86" s="1"/>
      <c r="M86" s="1"/>
      <c r="R86" s="3"/>
    </row>
    <row r="87" spans="1:18" ht="15.75">
      <c r="A87" s="1"/>
      <c r="B87" s="220"/>
      <c r="C87" s="33"/>
      <c r="D87" s="223">
        <v>14.4</v>
      </c>
      <c r="E87" s="224"/>
      <c r="F87" s="224"/>
      <c r="G87" s="33" t="s">
        <v>771</v>
      </c>
      <c r="H87" s="1"/>
      <c r="M87" s="1"/>
      <c r="R87" s="3"/>
    </row>
    <row r="88" spans="1:18" ht="15.75">
      <c r="A88" s="1"/>
      <c r="B88" s="220"/>
      <c r="C88" s="33"/>
      <c r="D88" s="223"/>
      <c r="E88" s="224"/>
      <c r="F88" s="224"/>
      <c r="G88" s="33"/>
      <c r="H88" s="1"/>
      <c r="M88" s="1"/>
      <c r="R88" s="3"/>
    </row>
    <row r="89" spans="1:18" ht="15.75">
      <c r="A89" s="1"/>
      <c r="B89" s="220"/>
      <c r="C89" s="33"/>
      <c r="D89" s="223"/>
      <c r="E89" s="224"/>
      <c r="F89" s="224"/>
      <c r="G89" s="33"/>
      <c r="H89" s="1"/>
      <c r="M89" s="1"/>
      <c r="R89" s="3"/>
    </row>
    <row r="90" spans="1:18" ht="15.75">
      <c r="A90" s="1"/>
      <c r="B90" s="220"/>
      <c r="C90" s="33"/>
      <c r="D90" s="223"/>
      <c r="E90" s="224"/>
      <c r="F90" s="224"/>
      <c r="G90" s="33"/>
      <c r="H90" s="1"/>
      <c r="M90" s="1"/>
      <c r="R90" s="3"/>
    </row>
    <row r="91" spans="1:18" ht="15.75">
      <c r="A91" s="1"/>
      <c r="B91" s="220"/>
      <c r="C91" s="33"/>
      <c r="D91" s="223"/>
      <c r="E91" s="224"/>
      <c r="F91" s="224"/>
      <c r="G91" s="33"/>
      <c r="H91" s="1"/>
      <c r="M91" s="1"/>
      <c r="R91" s="3"/>
    </row>
    <row r="92" spans="1:18" ht="15.75">
      <c r="A92" s="1"/>
      <c r="B92" s="220"/>
      <c r="C92" s="33"/>
      <c r="D92" s="223"/>
      <c r="E92" s="224"/>
      <c r="F92" s="224"/>
      <c r="G92" s="33"/>
      <c r="H92" s="1"/>
      <c r="M92" s="1"/>
      <c r="R92" s="3"/>
    </row>
    <row r="93" spans="1:18" ht="15.75">
      <c r="A93" s="1"/>
      <c r="B93" s="220"/>
      <c r="C93" s="33"/>
      <c r="D93" s="223"/>
      <c r="E93" s="224"/>
      <c r="F93" s="224"/>
      <c r="G93" s="33"/>
      <c r="H93" s="1"/>
      <c r="M93" s="1"/>
      <c r="R93" s="3"/>
    </row>
    <row r="94" spans="1:18" ht="15.75">
      <c r="A94" s="1"/>
      <c r="B94" s="220"/>
      <c r="C94" s="33"/>
      <c r="D94" s="223"/>
      <c r="E94" s="224"/>
      <c r="F94" s="224"/>
      <c r="G94" s="33"/>
      <c r="H94" s="1"/>
      <c r="M94" s="1"/>
      <c r="R94" s="3"/>
    </row>
    <row r="95" spans="1:18" ht="15.75">
      <c r="A95" s="1"/>
      <c r="B95" s="220"/>
      <c r="C95" s="33"/>
      <c r="D95" s="223"/>
      <c r="E95" s="224"/>
      <c r="F95" s="224"/>
      <c r="G95" s="33"/>
      <c r="H95" s="1"/>
      <c r="M95" s="1"/>
      <c r="R95" s="3"/>
    </row>
    <row r="96" spans="1:18" ht="15.75">
      <c r="A96" s="1"/>
      <c r="B96" s="220"/>
      <c r="C96" s="33"/>
      <c r="D96" s="223"/>
      <c r="E96" s="224"/>
      <c r="F96" s="224"/>
      <c r="G96" s="33"/>
      <c r="H96" s="1"/>
      <c r="M96" s="1"/>
      <c r="R96" s="3"/>
    </row>
    <row r="97" spans="1:18" ht="15.75">
      <c r="A97" s="1"/>
      <c r="B97" s="220"/>
      <c r="C97" s="33"/>
      <c r="D97" s="223"/>
      <c r="E97" s="224"/>
      <c r="F97" s="224"/>
      <c r="G97" s="33"/>
      <c r="H97" s="1"/>
      <c r="M97" s="1"/>
      <c r="R97" s="3"/>
    </row>
    <row r="98" spans="1:18" ht="15.75">
      <c r="A98" s="1"/>
      <c r="B98" s="220"/>
      <c r="C98" s="33"/>
      <c r="D98" s="223"/>
      <c r="E98" s="224"/>
      <c r="F98" s="224"/>
      <c r="G98" s="33"/>
      <c r="H98" s="1"/>
      <c r="M98" s="1"/>
      <c r="R98" s="3"/>
    </row>
    <row r="99" spans="1:18" ht="16.5" thickBot="1">
      <c r="A99" s="1"/>
      <c r="B99" s="221"/>
      <c r="C99" s="34"/>
      <c r="D99" s="221"/>
      <c r="E99" s="225"/>
      <c r="F99" s="225"/>
      <c r="G99" s="34"/>
      <c r="H99" s="1"/>
      <c r="M99" s="1"/>
      <c r="R99" s="3"/>
    </row>
    <row r="100" spans="1:18" ht="16.5" thickBot="1">
      <c r="A100" s="1"/>
      <c r="B100" s="221">
        <f>SUM(B86:B99)</f>
        <v>175</v>
      </c>
      <c r="C100" s="34" t="s">
        <v>66</v>
      </c>
      <c r="D100" s="221">
        <f>SUM(D86:D99)</f>
        <v>59.41</v>
      </c>
      <c r="E100" s="221">
        <f>SUM(E86:E99)</f>
        <v>0</v>
      </c>
      <c r="F100" s="221">
        <f>SUM(F86:F99)</f>
        <v>0</v>
      </c>
      <c r="G100" s="34" t="s">
        <v>66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289" t="str">
        <f>'2018'!A25</f>
        <v>Coche</v>
      </c>
      <c r="C102" s="290"/>
      <c r="D102" s="290"/>
      <c r="E102" s="290"/>
      <c r="F102" s="290"/>
      <c r="G102" s="291"/>
      <c r="H102" s="1"/>
      <c r="M102" s="1"/>
      <c r="R102" s="3"/>
    </row>
    <row r="103" spans="1:18" ht="16.149999999999999" customHeight="1" thickBot="1">
      <c r="A103" s="1"/>
      <c r="B103" s="292"/>
      <c r="C103" s="293"/>
      <c r="D103" s="293"/>
      <c r="E103" s="293"/>
      <c r="F103" s="293"/>
      <c r="G103" s="294"/>
      <c r="H103" s="1"/>
      <c r="M103" s="1"/>
      <c r="R103" s="3"/>
    </row>
    <row r="104" spans="1:18" ht="15.75">
      <c r="A104" s="1"/>
      <c r="B104" s="297" t="s">
        <v>10</v>
      </c>
      <c r="C104" s="296"/>
      <c r="D104" s="295" t="s">
        <v>11</v>
      </c>
      <c r="E104" s="295"/>
      <c r="F104" s="295"/>
      <c r="G104" s="296"/>
      <c r="H104" s="1"/>
      <c r="M104" s="1"/>
      <c r="R104" s="3"/>
    </row>
    <row r="105" spans="1:18" ht="15.75">
      <c r="A105" s="137" t="s">
        <v>608</v>
      </c>
      <c r="B105" s="218" t="s">
        <v>32</v>
      </c>
      <c r="C105" s="60" t="s">
        <v>33</v>
      </c>
      <c r="D105" s="218" t="s">
        <v>68</v>
      </c>
      <c r="E105" s="222" t="s">
        <v>69</v>
      </c>
      <c r="F105" s="222" t="s">
        <v>32</v>
      </c>
      <c r="G105" s="60" t="s">
        <v>33</v>
      </c>
      <c r="H105" s="1"/>
      <c r="M105" s="1"/>
      <c r="R105" s="3"/>
    </row>
    <row r="106" spans="1:18" ht="15.75">
      <c r="A106" s="163">
        <f>'11'!A106+B106-D106</f>
        <v>0</v>
      </c>
      <c r="B106" s="219">
        <v>258.47000000000003</v>
      </c>
      <c r="C106" s="35" t="s">
        <v>55</v>
      </c>
      <c r="D106" s="223">
        <v>258.47000000000003</v>
      </c>
      <c r="E106" s="224"/>
      <c r="F106" s="224"/>
      <c r="G106" s="70" t="s">
        <v>55</v>
      </c>
      <c r="H106" s="1"/>
      <c r="M106" s="1"/>
      <c r="R106" s="3"/>
    </row>
    <row r="107" spans="1:18" ht="15.75">
      <c r="A107" s="163">
        <f>'11'!A107+B107-D107</f>
        <v>1.3900000000000148</v>
      </c>
      <c r="B107" s="220">
        <v>69</v>
      </c>
      <c r="C107" s="35" t="s">
        <v>56</v>
      </c>
      <c r="D107" s="223">
        <v>68.91</v>
      </c>
      <c r="E107" s="224"/>
      <c r="F107" s="224"/>
      <c r="G107" s="70" t="s">
        <v>56</v>
      </c>
      <c r="H107" s="1"/>
      <c r="M107" s="1"/>
      <c r="R107" s="3"/>
    </row>
    <row r="108" spans="1:18" ht="15.75">
      <c r="A108" s="163">
        <f>'11'!A108+B108-D108</f>
        <v>197.09999999999991</v>
      </c>
      <c r="B108" s="220">
        <v>50</v>
      </c>
      <c r="C108" s="35" t="s">
        <v>616</v>
      </c>
      <c r="D108" s="223"/>
      <c r="E108" s="224"/>
      <c r="F108" s="224"/>
      <c r="G108" s="73" t="s">
        <v>88</v>
      </c>
      <c r="H108" s="1"/>
      <c r="M108" s="1"/>
      <c r="R108" s="3"/>
    </row>
    <row r="109" spans="1:18" ht="15.75">
      <c r="A109" s="163">
        <f>'11'!A109+B109-D109</f>
        <v>2782.0300000000007</v>
      </c>
      <c r="B109" s="220">
        <v>27.53</v>
      </c>
      <c r="C109" s="35" t="s">
        <v>672</v>
      </c>
      <c r="D109" s="223"/>
      <c r="E109" s="224"/>
      <c r="F109" s="224"/>
      <c r="G109" s="70"/>
      <c r="H109" s="1"/>
      <c r="M109" s="1"/>
      <c r="R109" s="3"/>
    </row>
    <row r="110" spans="1:18" ht="15.75">
      <c r="B110" s="220"/>
      <c r="C110" s="35"/>
      <c r="D110" s="223"/>
      <c r="E110" s="224"/>
      <c r="F110" s="224"/>
      <c r="G110" s="70"/>
      <c r="H110" s="1"/>
      <c r="M110" s="1"/>
      <c r="R110" s="3"/>
    </row>
    <row r="111" spans="1:18" ht="15.75">
      <c r="B111" s="220"/>
      <c r="C111" s="66"/>
      <c r="D111" s="223"/>
      <c r="E111" s="224"/>
      <c r="F111" s="224"/>
      <c r="G111" s="73"/>
      <c r="H111" s="1"/>
      <c r="M111" s="1"/>
      <c r="R111" s="3"/>
    </row>
    <row r="112" spans="1:18" ht="15.75">
      <c r="B112" s="220"/>
      <c r="C112" s="71"/>
      <c r="D112" s="223"/>
      <c r="E112" s="224"/>
      <c r="F112" s="224"/>
      <c r="G112" s="70"/>
      <c r="H112" s="1"/>
      <c r="M112" s="1"/>
      <c r="R112" s="3"/>
    </row>
    <row r="113" spans="1:18" ht="15.75">
      <c r="B113" s="220"/>
      <c r="C113" s="72"/>
      <c r="D113" s="223"/>
      <c r="E113" s="224"/>
      <c r="F113" s="224"/>
      <c r="G113" s="70"/>
      <c r="H113" s="1"/>
      <c r="M113" s="1"/>
      <c r="R113" s="3"/>
    </row>
    <row r="114" spans="1:18" ht="15.75">
      <c r="B114" s="220"/>
      <c r="C114" s="71"/>
      <c r="D114" s="223"/>
      <c r="E114" s="224"/>
      <c r="F114" s="224"/>
      <c r="G114" s="70"/>
      <c r="H114" s="1"/>
      <c r="M114" s="1"/>
      <c r="R114" s="3"/>
    </row>
    <row r="115" spans="1:18" ht="15.75">
      <c r="B115" s="220"/>
      <c r="C115" s="66"/>
      <c r="D115" s="223"/>
      <c r="E115" s="224"/>
      <c r="F115" s="224"/>
      <c r="G115" s="33"/>
      <c r="H115" s="1"/>
      <c r="M115" s="1"/>
      <c r="R115" s="3"/>
    </row>
    <row r="116" spans="1:18" ht="15.75">
      <c r="B116" s="220"/>
      <c r="C116" s="35"/>
      <c r="D116" s="223"/>
      <c r="E116" s="224"/>
      <c r="F116" s="224"/>
      <c r="G116" s="33"/>
      <c r="H116" s="1"/>
      <c r="M116" s="1"/>
      <c r="R116" s="3"/>
    </row>
    <row r="117" spans="1:18" ht="15.75">
      <c r="B117" s="220"/>
      <c r="C117" s="35"/>
      <c r="D117" s="223"/>
      <c r="E117" s="224"/>
      <c r="F117" s="224"/>
      <c r="G117" s="33"/>
      <c r="H117" s="1"/>
      <c r="M117" s="1"/>
      <c r="R117" s="3"/>
    </row>
    <row r="118" spans="1:18" ht="15.75">
      <c r="B118" s="220"/>
      <c r="C118" s="35"/>
      <c r="D118" s="223"/>
      <c r="E118" s="224"/>
      <c r="F118" s="224"/>
      <c r="G118" s="33"/>
      <c r="H118" s="1"/>
      <c r="M118" s="1"/>
      <c r="R118" s="3"/>
    </row>
    <row r="119" spans="1:18" ht="16.5" thickBot="1">
      <c r="B119" s="221"/>
      <c r="C119" s="37"/>
      <c r="D119" s="221"/>
      <c r="E119" s="225"/>
      <c r="F119" s="225"/>
      <c r="G119" s="34"/>
      <c r="H119" s="1"/>
      <c r="M119" s="1"/>
      <c r="R119" s="3"/>
    </row>
    <row r="120" spans="1:18" ht="16.5" thickBot="1">
      <c r="A120" s="164">
        <f>SUM(A106:A108)</f>
        <v>198.48999999999992</v>
      </c>
      <c r="B120" s="221">
        <f>SUM(B106:B119)</f>
        <v>405</v>
      </c>
      <c r="C120" s="34" t="s">
        <v>66</v>
      </c>
      <c r="D120" s="221">
        <f>SUM(D106:D119)</f>
        <v>327.38</v>
      </c>
      <c r="E120" s="221">
        <f>SUM(E106:E119)</f>
        <v>0</v>
      </c>
      <c r="F120" s="221">
        <f>SUM(F106:F119)</f>
        <v>0</v>
      </c>
      <c r="G120" s="34" t="s">
        <v>66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289" t="str">
        <f>'2018'!A26</f>
        <v>Teléfono</v>
      </c>
      <c r="C122" s="290"/>
      <c r="D122" s="290"/>
      <c r="E122" s="290"/>
      <c r="F122" s="290"/>
      <c r="G122" s="291"/>
      <c r="H122" s="1"/>
      <c r="M122" s="1"/>
      <c r="R122" s="3"/>
    </row>
    <row r="123" spans="1:18" ht="16.149999999999999" customHeight="1" thickBot="1">
      <c r="A123" s="1"/>
      <c r="B123" s="292"/>
      <c r="C123" s="293"/>
      <c r="D123" s="293"/>
      <c r="E123" s="293"/>
      <c r="F123" s="293"/>
      <c r="G123" s="294"/>
      <c r="H123" s="1"/>
      <c r="M123" s="1"/>
      <c r="R123" s="3"/>
    </row>
    <row r="124" spans="1:18" ht="15.75">
      <c r="A124" s="1"/>
      <c r="B124" s="297" t="s">
        <v>10</v>
      </c>
      <c r="C124" s="296"/>
      <c r="D124" s="295" t="s">
        <v>11</v>
      </c>
      <c r="E124" s="295"/>
      <c r="F124" s="295"/>
      <c r="G124" s="296"/>
      <c r="H124" s="1"/>
      <c r="M124" s="1"/>
      <c r="R124" s="3"/>
    </row>
    <row r="125" spans="1:18" ht="15.75">
      <c r="A125" s="1"/>
      <c r="B125" s="218" t="s">
        <v>32</v>
      </c>
      <c r="C125" s="60" t="s">
        <v>33</v>
      </c>
      <c r="D125" s="218" t="s">
        <v>68</v>
      </c>
      <c r="E125" s="222" t="s">
        <v>69</v>
      </c>
      <c r="F125" s="222" t="s">
        <v>32</v>
      </c>
      <c r="G125" s="60" t="s">
        <v>33</v>
      </c>
      <c r="H125" s="1"/>
      <c r="M125" s="1"/>
      <c r="R125" s="3"/>
    </row>
    <row r="126" spans="1:18" ht="15.75">
      <c r="A126" s="1"/>
      <c r="B126" s="219">
        <v>27.5</v>
      </c>
      <c r="C126" s="36" t="s">
        <v>57</v>
      </c>
      <c r="D126" s="223"/>
      <c r="E126" s="224"/>
      <c r="F126" s="224"/>
      <c r="G126" s="33" t="s">
        <v>57</v>
      </c>
      <c r="H126" s="1"/>
      <c r="M126" s="1"/>
      <c r="R126" s="3"/>
    </row>
    <row r="127" spans="1:18" ht="15.75">
      <c r="A127" s="1"/>
      <c r="B127" s="220">
        <v>12.5</v>
      </c>
      <c r="C127" s="33" t="s">
        <v>58</v>
      </c>
      <c r="D127" s="223"/>
      <c r="E127" s="224"/>
      <c r="F127" s="224"/>
      <c r="G127" s="33" t="s">
        <v>199</v>
      </c>
      <c r="H127" s="1"/>
      <c r="M127" s="1"/>
      <c r="R127" s="3"/>
    </row>
    <row r="128" spans="1:18" ht="15.75">
      <c r="A128" s="1"/>
      <c r="B128" s="220">
        <v>8</v>
      </c>
      <c r="C128" s="33" t="s">
        <v>337</v>
      </c>
      <c r="D128" s="223"/>
      <c r="E128" s="224"/>
      <c r="F128" s="224"/>
      <c r="G128" s="33" t="s">
        <v>219</v>
      </c>
      <c r="H128" s="1"/>
      <c r="M128" s="1"/>
      <c r="R128" s="3"/>
    </row>
    <row r="129" spans="1:18" ht="15.75">
      <c r="A129" s="1"/>
      <c r="B129" s="220"/>
      <c r="C129" s="33"/>
      <c r="D129" s="223"/>
      <c r="E129" s="224">
        <v>8</v>
      </c>
      <c r="F129" s="224"/>
      <c r="G129" s="33" t="s">
        <v>337</v>
      </c>
      <c r="H129" s="1"/>
      <c r="M129" s="1"/>
      <c r="R129" s="3"/>
    </row>
    <row r="130" spans="1:18" ht="15.75">
      <c r="A130" s="1"/>
      <c r="B130" s="220"/>
      <c r="C130" s="33"/>
      <c r="D130" s="223"/>
      <c r="E130" s="224"/>
      <c r="F130" s="224"/>
      <c r="G130" s="33"/>
      <c r="H130" s="1"/>
      <c r="M130" s="1"/>
      <c r="R130" s="3"/>
    </row>
    <row r="131" spans="1:18" ht="15.75">
      <c r="A131" s="1"/>
      <c r="B131" s="220"/>
      <c r="C131" s="33"/>
      <c r="D131" s="223"/>
      <c r="E131" s="224"/>
      <c r="F131" s="224"/>
      <c r="G131" s="33"/>
      <c r="H131" s="1"/>
      <c r="M131" s="1"/>
      <c r="R131" s="3"/>
    </row>
    <row r="132" spans="1:18" ht="15.75">
      <c r="A132" s="1"/>
      <c r="B132" s="220"/>
      <c r="C132" s="33"/>
      <c r="D132" s="223"/>
      <c r="E132" s="224"/>
      <c r="F132" s="224"/>
      <c r="G132" s="33"/>
      <c r="H132" s="1"/>
      <c r="M132" s="1"/>
      <c r="R132" s="3"/>
    </row>
    <row r="133" spans="1:18" ht="15.75">
      <c r="A133" s="1"/>
      <c r="B133" s="220"/>
      <c r="C133" s="33"/>
      <c r="D133" s="223"/>
      <c r="E133" s="224"/>
      <c r="F133" s="224"/>
      <c r="G133" s="33"/>
      <c r="H133" s="1"/>
      <c r="M133" s="1"/>
      <c r="R133" s="3"/>
    </row>
    <row r="134" spans="1:18" ht="15.75">
      <c r="A134" s="1"/>
      <c r="B134" s="220"/>
      <c r="C134" s="33"/>
      <c r="D134" s="223"/>
      <c r="E134" s="224"/>
      <c r="F134" s="224"/>
      <c r="G134" s="33"/>
      <c r="H134" s="1"/>
      <c r="M134" s="1"/>
      <c r="R134" s="3"/>
    </row>
    <row r="135" spans="1:18" ht="15.75">
      <c r="A135" s="1"/>
      <c r="B135" s="220"/>
      <c r="C135" s="33"/>
      <c r="D135" s="223"/>
      <c r="E135" s="224"/>
      <c r="F135" s="224"/>
      <c r="G135" s="33"/>
      <c r="H135" s="1"/>
      <c r="M135" s="1"/>
      <c r="R135" s="3"/>
    </row>
    <row r="136" spans="1:18" ht="15.75">
      <c r="A136" s="1"/>
      <c r="B136" s="220"/>
      <c r="C136" s="33"/>
      <c r="D136" s="223"/>
      <c r="E136" s="224"/>
      <c r="F136" s="224"/>
      <c r="G136" s="33"/>
      <c r="H136" s="1"/>
      <c r="M136" s="1"/>
      <c r="R136" s="3"/>
    </row>
    <row r="137" spans="1:18" ht="15.75">
      <c r="A137" s="1"/>
      <c r="B137" s="220"/>
      <c r="C137" s="33"/>
      <c r="D137" s="223"/>
      <c r="E137" s="224"/>
      <c r="F137" s="224"/>
      <c r="G137" s="33"/>
      <c r="H137" s="1"/>
      <c r="M137" s="1"/>
      <c r="R137" s="3"/>
    </row>
    <row r="138" spans="1:18" ht="15.75">
      <c r="A138" s="1"/>
      <c r="B138" s="220"/>
      <c r="C138" s="33"/>
      <c r="D138" s="223"/>
      <c r="E138" s="224"/>
      <c r="F138" s="224"/>
      <c r="G138" s="33"/>
      <c r="H138" s="1"/>
      <c r="M138" s="1"/>
      <c r="R138" s="3"/>
    </row>
    <row r="139" spans="1:18" ht="16.5" thickBot="1">
      <c r="A139" s="1"/>
      <c r="B139" s="221"/>
      <c r="C139" s="34"/>
      <c r="D139" s="221"/>
      <c r="E139" s="225"/>
      <c r="F139" s="225"/>
      <c r="G139" s="34"/>
      <c r="H139" s="1"/>
      <c r="M139" s="1"/>
      <c r="R139" s="3"/>
    </row>
    <row r="140" spans="1:18" ht="16.5" thickBot="1">
      <c r="A140" s="1"/>
      <c r="B140" s="221">
        <f>SUM(B126:B139)</f>
        <v>48</v>
      </c>
      <c r="C140" s="34" t="s">
        <v>66</v>
      </c>
      <c r="D140" s="221">
        <f>SUM(D126:D139)</f>
        <v>0</v>
      </c>
      <c r="E140" s="221">
        <f>SUM(E126:E139)</f>
        <v>8</v>
      </c>
      <c r="F140" s="221">
        <f>SUM(F126:F139)</f>
        <v>0</v>
      </c>
      <c r="G140" s="34" t="s">
        <v>66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289" t="str">
        <f>'2018'!A27</f>
        <v>Gatos</v>
      </c>
      <c r="C142" s="290"/>
      <c r="D142" s="290"/>
      <c r="E142" s="290"/>
      <c r="F142" s="290"/>
      <c r="G142" s="291"/>
      <c r="H142" s="1"/>
      <c r="M142" s="1"/>
      <c r="R142" s="3"/>
    </row>
    <row r="143" spans="1:18" ht="16.149999999999999" customHeight="1" thickBot="1">
      <c r="A143" s="1"/>
      <c r="B143" s="292"/>
      <c r="C143" s="293"/>
      <c r="D143" s="293"/>
      <c r="E143" s="293"/>
      <c r="F143" s="293"/>
      <c r="G143" s="294"/>
      <c r="H143" s="1"/>
      <c r="M143" s="1"/>
      <c r="R143" s="3"/>
    </row>
    <row r="144" spans="1:18" ht="15.75">
      <c r="A144" s="1"/>
      <c r="B144" s="297" t="s">
        <v>10</v>
      </c>
      <c r="C144" s="296"/>
      <c r="D144" s="295" t="s">
        <v>11</v>
      </c>
      <c r="E144" s="295"/>
      <c r="F144" s="295"/>
      <c r="G144" s="296"/>
      <c r="H144" s="1"/>
      <c r="M144" s="1"/>
      <c r="R144" s="3"/>
    </row>
    <row r="145" spans="1:22" ht="15.75">
      <c r="A145" s="1"/>
      <c r="B145" s="218" t="s">
        <v>32</v>
      </c>
      <c r="C145" s="60" t="s">
        <v>33</v>
      </c>
      <c r="D145" s="218" t="s">
        <v>68</v>
      </c>
      <c r="E145" s="222" t="s">
        <v>69</v>
      </c>
      <c r="F145" s="222" t="s">
        <v>32</v>
      </c>
      <c r="G145" s="60" t="s">
        <v>393</v>
      </c>
      <c r="H145" s="1"/>
      <c r="M145" s="1"/>
      <c r="R145" s="3"/>
    </row>
    <row r="146" spans="1:22" ht="15.75">
      <c r="A146" s="1"/>
      <c r="B146" s="219">
        <v>50</v>
      </c>
      <c r="C146" s="36" t="s">
        <v>487</v>
      </c>
      <c r="D146" s="223">
        <f>4.88</f>
        <v>4.88</v>
      </c>
      <c r="E146" s="224"/>
      <c r="F146" s="224"/>
      <c r="G146" s="33" t="s">
        <v>777</v>
      </c>
      <c r="H146" s="1"/>
      <c r="M146" s="1"/>
      <c r="R146" s="3"/>
    </row>
    <row r="147" spans="1:22" ht="15.75">
      <c r="A147" s="1"/>
      <c r="B147" s="220"/>
      <c r="C147" s="33"/>
      <c r="D147" s="223">
        <f>14.43+16.67</f>
        <v>31.1</v>
      </c>
      <c r="E147" s="224"/>
      <c r="F147" s="224"/>
      <c r="G147" s="33" t="s">
        <v>785</v>
      </c>
      <c r="H147" s="1"/>
      <c r="M147" s="1"/>
      <c r="R147" s="3"/>
    </row>
    <row r="148" spans="1:22" ht="15.75">
      <c r="A148" s="1"/>
      <c r="B148" s="220"/>
      <c r="C148" s="33"/>
      <c r="D148" s="223">
        <v>30.85</v>
      </c>
      <c r="E148" s="224"/>
      <c r="F148" s="224"/>
      <c r="G148" s="33" t="s">
        <v>786</v>
      </c>
      <c r="H148" s="1"/>
      <c r="M148" s="1"/>
      <c r="R148" s="3"/>
    </row>
    <row r="149" spans="1:22" ht="15.75">
      <c r="A149" s="1"/>
      <c r="B149" s="220"/>
      <c r="C149" s="33"/>
      <c r="D149" s="223"/>
      <c r="E149" s="224"/>
      <c r="F149" s="224"/>
      <c r="G149" s="33"/>
      <c r="H149" s="1"/>
      <c r="M149" s="1"/>
      <c r="R149" s="3"/>
    </row>
    <row r="150" spans="1:22" ht="15.75">
      <c r="A150" s="1"/>
      <c r="B150" s="220"/>
      <c r="C150" s="33"/>
      <c r="D150" s="223"/>
      <c r="E150" s="224"/>
      <c r="F150" s="224"/>
      <c r="G150" s="33"/>
      <c r="H150" s="1"/>
      <c r="M150" s="1"/>
      <c r="R150" s="3"/>
    </row>
    <row r="151" spans="1:22" ht="15.75">
      <c r="A151" s="1"/>
      <c r="B151" s="220"/>
      <c r="C151" s="33"/>
      <c r="D151" s="223"/>
      <c r="E151" s="224"/>
      <c r="F151" s="224"/>
      <c r="G151" s="33"/>
      <c r="H151" s="1"/>
      <c r="M151" s="1"/>
      <c r="R151" s="3"/>
    </row>
    <row r="152" spans="1:22" ht="15.75">
      <c r="A152" s="1"/>
      <c r="B152" s="220"/>
      <c r="C152" s="33"/>
      <c r="D152" s="223"/>
      <c r="E152" s="224"/>
      <c r="F152" s="224"/>
      <c r="G152" s="33"/>
      <c r="H152" s="1"/>
      <c r="M152" s="1"/>
      <c r="R152" s="3"/>
    </row>
    <row r="153" spans="1:22" ht="15.75">
      <c r="A153" s="1"/>
      <c r="B153" s="220"/>
      <c r="C153" s="33"/>
      <c r="D153" s="223"/>
      <c r="E153" s="224"/>
      <c r="F153" s="224"/>
      <c r="G153" s="33"/>
      <c r="H153" s="1"/>
      <c r="M153" s="1"/>
      <c r="R153" s="3"/>
    </row>
    <row r="154" spans="1:22" ht="15.75">
      <c r="A154" s="1"/>
      <c r="B154" s="220"/>
      <c r="C154" s="33"/>
      <c r="D154" s="223"/>
      <c r="E154" s="224"/>
      <c r="F154" s="224"/>
      <c r="G154" s="33"/>
      <c r="H154" s="1"/>
      <c r="M154" s="1"/>
      <c r="R154" s="3"/>
    </row>
    <row r="155" spans="1:22" ht="15.75">
      <c r="A155" s="1"/>
      <c r="B155" s="220"/>
      <c r="C155" s="33"/>
      <c r="D155" s="223"/>
      <c r="E155" s="224"/>
      <c r="F155" s="224"/>
      <c r="G155" s="33"/>
      <c r="H155" s="1"/>
      <c r="M155" s="1"/>
      <c r="R155" s="3"/>
    </row>
    <row r="156" spans="1:22" ht="15.75">
      <c r="A156" s="1"/>
      <c r="B156" s="220"/>
      <c r="C156" s="33"/>
      <c r="D156" s="223"/>
      <c r="E156" s="224"/>
      <c r="F156" s="224"/>
      <c r="G156" s="33"/>
      <c r="H156" s="1"/>
      <c r="M156" s="1"/>
      <c r="R156" s="3"/>
    </row>
    <row r="157" spans="1:22" ht="15.75">
      <c r="A157" s="1"/>
      <c r="B157" s="220"/>
      <c r="C157" s="33"/>
      <c r="D157" s="223"/>
      <c r="E157" s="224"/>
      <c r="F157" s="224"/>
      <c r="G157" s="33"/>
      <c r="H157" s="1"/>
      <c r="M157" s="1"/>
      <c r="R157" s="3"/>
    </row>
    <row r="158" spans="1:22" ht="15.75">
      <c r="A158" s="1"/>
      <c r="B158" s="220"/>
      <c r="C158" s="33"/>
      <c r="D158" s="223"/>
      <c r="E158" s="224"/>
      <c r="F158" s="224"/>
      <c r="G158" s="33"/>
      <c r="H158" s="1"/>
      <c r="M158" s="1"/>
      <c r="R158" s="3"/>
    </row>
    <row r="159" spans="1:22" ht="16.5" thickBot="1">
      <c r="A159" s="1"/>
      <c r="B159" s="221"/>
      <c r="C159" s="34"/>
      <c r="D159" s="221"/>
      <c r="E159" s="225"/>
      <c r="F159" s="225"/>
      <c r="G159" s="34"/>
      <c r="H159" s="1"/>
      <c r="M159" s="1"/>
      <c r="R159" s="3"/>
    </row>
    <row r="160" spans="1:22" ht="16.5" thickBot="1">
      <c r="A160" s="1"/>
      <c r="B160" s="221">
        <f>SUM(B146:B159)</f>
        <v>50</v>
      </c>
      <c r="C160" s="34" t="s">
        <v>66</v>
      </c>
      <c r="D160" s="221">
        <f>SUM(D146:D159)</f>
        <v>66.830000000000013</v>
      </c>
      <c r="E160" s="221">
        <f>SUM(E146:E159)</f>
        <v>0</v>
      </c>
      <c r="F160" s="221">
        <f>SUM(F146:F159)</f>
        <v>0</v>
      </c>
      <c r="G160" s="34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63"/>
      <c r="C161" s="1"/>
      <c r="D161" s="163"/>
      <c r="E161" s="163"/>
      <c r="F161" s="163"/>
      <c r="G161" s="1"/>
      <c r="H161" s="1"/>
      <c r="I161" s="1"/>
      <c r="J161" s="1"/>
      <c r="K161" s="163"/>
      <c r="L161" s="163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89" t="str">
        <f>'2018'!A28</f>
        <v>Vacaciones</v>
      </c>
      <c r="C162" s="290"/>
      <c r="D162" s="290"/>
      <c r="E162" s="290"/>
      <c r="F162" s="290"/>
      <c r="G162" s="291"/>
      <c r="H162" s="1"/>
      <c r="I162" s="1"/>
      <c r="J162" s="1"/>
      <c r="K162" s="163"/>
      <c r="L162" s="163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92"/>
      <c r="C163" s="293"/>
      <c r="D163" s="293"/>
      <c r="E163" s="293"/>
      <c r="F163" s="293"/>
      <c r="G163" s="294"/>
      <c r="H163" s="1"/>
      <c r="I163" s="1"/>
      <c r="J163" s="1"/>
      <c r="K163" s="163"/>
      <c r="L163" s="163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97" t="s">
        <v>10</v>
      </c>
      <c r="C164" s="296"/>
      <c r="D164" s="295" t="s">
        <v>11</v>
      </c>
      <c r="E164" s="295"/>
      <c r="F164" s="295"/>
      <c r="G164" s="296"/>
      <c r="H164" s="1"/>
      <c r="I164" s="1"/>
      <c r="J164" s="1"/>
      <c r="K164" s="163"/>
      <c r="L164" s="163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218" t="s">
        <v>32</v>
      </c>
      <c r="C165" s="60" t="s">
        <v>33</v>
      </c>
      <c r="D165" s="218" t="s">
        <v>68</v>
      </c>
      <c r="E165" s="222" t="s">
        <v>69</v>
      </c>
      <c r="F165" s="222" t="s">
        <v>32</v>
      </c>
      <c r="G165" s="60" t="s">
        <v>33</v>
      </c>
      <c r="H165" s="1"/>
      <c r="I165" s="1"/>
      <c r="J165" s="1"/>
      <c r="K165" s="163"/>
      <c r="L165" s="163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219">
        <v>200</v>
      </c>
      <c r="C166" s="36" t="s">
        <v>36</v>
      </c>
      <c r="D166" s="223"/>
      <c r="E166" s="224"/>
      <c r="F166" s="224"/>
      <c r="G166" s="33"/>
      <c r="H166" s="1"/>
      <c r="I166" s="1"/>
      <c r="J166" s="1"/>
      <c r="K166" s="163"/>
      <c r="L166" s="163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220">
        <v>318.27999999999997</v>
      </c>
      <c r="C167" s="33" t="s">
        <v>762</v>
      </c>
      <c r="D167" s="223"/>
      <c r="E167" s="224"/>
      <c r="F167" s="224"/>
      <c r="G167" s="33"/>
      <c r="H167" s="1"/>
      <c r="I167" s="1"/>
      <c r="J167" s="1"/>
      <c r="K167" s="163"/>
      <c r="L167" s="163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220"/>
      <c r="C168" s="33"/>
      <c r="D168" s="223"/>
      <c r="E168" s="224"/>
      <c r="F168" s="224"/>
      <c r="G168" s="33"/>
      <c r="H168" s="1"/>
      <c r="I168" s="1"/>
      <c r="J168" s="1"/>
      <c r="K168" s="163"/>
      <c r="L168" s="163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220"/>
      <c r="C169" s="33"/>
      <c r="D169" s="223"/>
      <c r="E169" s="224"/>
      <c r="F169" s="224"/>
      <c r="G169" s="33"/>
      <c r="H169" s="1"/>
      <c r="I169" s="1"/>
      <c r="J169" s="1"/>
      <c r="K169" s="163"/>
      <c r="L169" s="163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220"/>
      <c r="C170" s="33"/>
      <c r="D170" s="223"/>
      <c r="E170" s="224"/>
      <c r="F170" s="224"/>
      <c r="G170" s="33"/>
      <c r="H170" s="1"/>
      <c r="I170" s="1"/>
      <c r="J170" s="1"/>
      <c r="K170" s="163"/>
      <c r="L170" s="163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220"/>
      <c r="C171" s="33"/>
      <c r="D171" s="223"/>
      <c r="E171" s="224"/>
      <c r="F171" s="224"/>
      <c r="G171" s="33"/>
      <c r="H171" s="1"/>
      <c r="I171" s="1"/>
      <c r="J171" s="1"/>
      <c r="K171" s="163"/>
      <c r="L171" s="163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220"/>
      <c r="C172" s="33"/>
      <c r="D172" s="223"/>
      <c r="E172" s="224"/>
      <c r="F172" s="224"/>
      <c r="G172" s="33"/>
      <c r="H172" s="1"/>
      <c r="I172" s="1"/>
      <c r="J172" s="1"/>
      <c r="K172" s="163"/>
      <c r="L172" s="163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220"/>
      <c r="C173" s="33"/>
      <c r="D173" s="223"/>
      <c r="E173" s="224"/>
      <c r="F173" s="224"/>
      <c r="G173" s="33"/>
      <c r="H173" s="1"/>
      <c r="I173" s="1"/>
      <c r="J173" s="1"/>
      <c r="K173" s="163"/>
      <c r="L173" s="163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220"/>
      <c r="C174" s="33"/>
      <c r="D174" s="223"/>
      <c r="E174" s="224"/>
      <c r="F174" s="224"/>
      <c r="G174" s="33"/>
      <c r="H174" s="1"/>
      <c r="I174" s="1"/>
      <c r="J174" s="1"/>
      <c r="K174" s="163"/>
      <c r="L174" s="163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220"/>
      <c r="C175" s="33"/>
      <c r="D175" s="223"/>
      <c r="E175" s="224"/>
      <c r="F175" s="224"/>
      <c r="G175" s="33"/>
      <c r="H175" s="1"/>
      <c r="I175" s="1"/>
      <c r="J175" s="1"/>
      <c r="K175" s="163"/>
      <c r="L175" s="163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220"/>
      <c r="C176" s="33"/>
      <c r="D176" s="223"/>
      <c r="E176" s="224"/>
      <c r="F176" s="224"/>
      <c r="G176" s="33"/>
      <c r="H176" s="1"/>
      <c r="I176" s="1"/>
      <c r="J176" s="1"/>
      <c r="K176" s="163"/>
      <c r="L176" s="163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220"/>
      <c r="C177" s="33"/>
      <c r="D177" s="223"/>
      <c r="E177" s="224"/>
      <c r="F177" s="224"/>
      <c r="G177" s="33"/>
      <c r="H177" s="1"/>
      <c r="I177" s="1"/>
      <c r="J177" s="1"/>
      <c r="K177" s="163"/>
      <c r="L177" s="163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220"/>
      <c r="C178" s="33"/>
      <c r="D178" s="223"/>
      <c r="E178" s="224"/>
      <c r="F178" s="224"/>
      <c r="G178" s="33"/>
      <c r="H178" s="1"/>
      <c r="I178" s="1"/>
      <c r="J178" s="1"/>
      <c r="K178" s="163"/>
      <c r="L178" s="163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221"/>
      <c r="C179" s="34"/>
      <c r="D179" s="221"/>
      <c r="E179" s="225"/>
      <c r="F179" s="225"/>
      <c r="G179" s="34"/>
      <c r="H179" s="1"/>
      <c r="I179" s="1"/>
      <c r="J179" s="1"/>
      <c r="K179" s="163"/>
      <c r="L179" s="163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221">
        <f>SUM(B166:B179)</f>
        <v>518.28</v>
      </c>
      <c r="C180" s="34" t="s">
        <v>66</v>
      </c>
      <c r="D180" s="221">
        <f>SUM(D166:D179)</f>
        <v>0</v>
      </c>
      <c r="E180" s="221">
        <f>SUM(E166:E179)</f>
        <v>0</v>
      </c>
      <c r="F180" s="221">
        <f>SUM(F166:F179)</f>
        <v>0</v>
      </c>
      <c r="G180" s="34" t="s">
        <v>66</v>
      </c>
      <c r="H180" s="1"/>
      <c r="I180" s="1"/>
      <c r="J180" s="1"/>
      <c r="K180" s="163"/>
      <c r="L180" s="163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63"/>
      <c r="G181" s="1"/>
      <c r="H181" s="1"/>
      <c r="I181" s="1"/>
      <c r="J181" s="1"/>
      <c r="K181" s="163"/>
      <c r="L181" s="163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89" t="str">
        <f>'2018'!A29</f>
        <v>Ropa</v>
      </c>
      <c r="C182" s="290"/>
      <c r="D182" s="290"/>
      <c r="E182" s="290"/>
      <c r="F182" s="290"/>
      <c r="G182" s="291"/>
      <c r="H182" s="1"/>
      <c r="I182" s="1"/>
      <c r="J182" s="1"/>
      <c r="K182" s="163"/>
      <c r="L182" s="163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92"/>
      <c r="C183" s="293"/>
      <c r="D183" s="293"/>
      <c r="E183" s="293"/>
      <c r="F183" s="293"/>
      <c r="G183" s="294"/>
      <c r="H183" s="1"/>
      <c r="I183" s="1"/>
      <c r="J183" s="1"/>
      <c r="K183" s="163"/>
      <c r="L183" s="163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97" t="s">
        <v>10</v>
      </c>
      <c r="C184" s="296"/>
      <c r="D184" s="295" t="s">
        <v>11</v>
      </c>
      <c r="E184" s="295"/>
      <c r="F184" s="295"/>
      <c r="G184" s="296"/>
      <c r="H184" s="1"/>
      <c r="I184" s="1"/>
      <c r="J184" s="1"/>
      <c r="K184" s="163"/>
      <c r="L184" s="163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218" t="s">
        <v>32</v>
      </c>
      <c r="C185" s="60" t="s">
        <v>33</v>
      </c>
      <c r="D185" s="218" t="s">
        <v>68</v>
      </c>
      <c r="E185" s="222" t="s">
        <v>69</v>
      </c>
      <c r="F185" s="222" t="s">
        <v>32</v>
      </c>
      <c r="G185" s="60" t="s">
        <v>393</v>
      </c>
      <c r="H185" s="1"/>
      <c r="I185" s="1"/>
      <c r="J185" s="1"/>
      <c r="K185" s="163"/>
      <c r="L185" s="163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219">
        <v>70</v>
      </c>
      <c r="C186" s="36" t="s">
        <v>506</v>
      </c>
      <c r="D186" s="223">
        <v>19.989999999999998</v>
      </c>
      <c r="E186" s="224"/>
      <c r="F186" s="224"/>
      <c r="G186" s="33" t="s">
        <v>783</v>
      </c>
      <c r="H186" s="1"/>
      <c r="I186" s="1"/>
      <c r="J186" s="1"/>
      <c r="K186" s="163"/>
      <c r="L186" s="163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220"/>
      <c r="C187" s="33"/>
      <c r="D187" s="223">
        <v>13</v>
      </c>
      <c r="E187" s="224"/>
      <c r="F187" s="224"/>
      <c r="G187" s="33" t="s">
        <v>784</v>
      </c>
      <c r="H187" s="1"/>
      <c r="I187" s="1"/>
      <c r="J187" s="1"/>
      <c r="K187" s="163"/>
      <c r="L187" s="163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220"/>
      <c r="C188" s="33"/>
      <c r="D188" s="223"/>
      <c r="E188" s="224"/>
      <c r="F188" s="224"/>
      <c r="G188" s="33"/>
    </row>
    <row r="189" spans="1:22">
      <c r="B189" s="220"/>
      <c r="C189" s="33"/>
      <c r="D189" s="223"/>
      <c r="E189" s="224"/>
      <c r="F189" s="224"/>
      <c r="G189" s="33"/>
    </row>
    <row r="190" spans="1:22">
      <c r="B190" s="220"/>
      <c r="C190" s="33"/>
      <c r="D190" s="223"/>
      <c r="E190" s="224"/>
      <c r="F190" s="224"/>
      <c r="G190" s="33"/>
    </row>
    <row r="191" spans="1:22">
      <c r="B191" s="220"/>
      <c r="C191" s="33"/>
      <c r="D191" s="223"/>
      <c r="E191" s="224"/>
      <c r="F191" s="224"/>
      <c r="G191" s="33"/>
    </row>
    <row r="192" spans="1:22">
      <c r="B192" s="220"/>
      <c r="C192" s="33"/>
      <c r="D192" s="223"/>
      <c r="E192" s="224"/>
      <c r="F192" s="224"/>
      <c r="G192" s="33"/>
    </row>
    <row r="193" spans="2:7">
      <c r="B193" s="220"/>
      <c r="C193" s="33"/>
      <c r="D193" s="223"/>
      <c r="E193" s="224"/>
      <c r="F193" s="224"/>
      <c r="G193" s="33"/>
    </row>
    <row r="194" spans="2:7">
      <c r="B194" s="220"/>
      <c r="C194" s="33"/>
      <c r="D194" s="223"/>
      <c r="E194" s="224"/>
      <c r="F194" s="224"/>
      <c r="G194" s="33"/>
    </row>
    <row r="195" spans="2:7">
      <c r="B195" s="220"/>
      <c r="C195" s="33"/>
      <c r="D195" s="223"/>
      <c r="E195" s="224"/>
      <c r="F195" s="224"/>
      <c r="G195" s="33"/>
    </row>
    <row r="196" spans="2:7">
      <c r="B196" s="220"/>
      <c r="C196" s="33"/>
      <c r="D196" s="223"/>
      <c r="E196" s="224"/>
      <c r="F196" s="224"/>
      <c r="G196" s="33"/>
    </row>
    <row r="197" spans="2:7">
      <c r="B197" s="220"/>
      <c r="C197" s="33"/>
      <c r="D197" s="223"/>
      <c r="E197" s="224"/>
      <c r="F197" s="224"/>
      <c r="G197" s="33"/>
    </row>
    <row r="198" spans="2:7">
      <c r="B198" s="220"/>
      <c r="C198" s="33"/>
      <c r="D198" s="223"/>
      <c r="E198" s="224"/>
      <c r="F198" s="224"/>
      <c r="G198" s="33"/>
    </row>
    <row r="199" spans="2:7" ht="15.75" thickBot="1">
      <c r="B199" s="221"/>
      <c r="C199" s="34"/>
      <c r="D199" s="221"/>
      <c r="E199" s="225"/>
      <c r="F199" s="225"/>
      <c r="G199" s="34"/>
    </row>
    <row r="200" spans="2:7" ht="15.75" thickBot="1">
      <c r="B200" s="221">
        <f>SUM(B186:B199)</f>
        <v>70</v>
      </c>
      <c r="C200" s="34" t="s">
        <v>66</v>
      </c>
      <c r="D200" s="221">
        <f>SUM(D186:D199)</f>
        <v>32.989999999999995</v>
      </c>
      <c r="E200" s="221">
        <f>SUM(E186:E199)</f>
        <v>0</v>
      </c>
      <c r="F200" s="221">
        <f>SUM(F186:F199)</f>
        <v>0</v>
      </c>
      <c r="G200" s="34" t="s">
        <v>66</v>
      </c>
    </row>
    <row r="201" spans="2:7" ht="15.75" thickBot="1">
      <c r="B201" s="5"/>
      <c r="C201" s="3"/>
      <c r="D201" s="5"/>
      <c r="E201" s="5"/>
    </row>
    <row r="202" spans="2:7" ht="14.45" customHeight="1">
      <c r="B202" s="289" t="str">
        <f>'2018'!A30</f>
        <v>Belleza</v>
      </c>
      <c r="C202" s="290"/>
      <c r="D202" s="290"/>
      <c r="E202" s="290"/>
      <c r="F202" s="290"/>
      <c r="G202" s="291"/>
    </row>
    <row r="203" spans="2:7" ht="15" customHeight="1" thickBot="1">
      <c r="B203" s="292"/>
      <c r="C203" s="293"/>
      <c r="D203" s="293"/>
      <c r="E203" s="293"/>
      <c r="F203" s="293"/>
      <c r="G203" s="294"/>
    </row>
    <row r="204" spans="2:7">
      <c r="B204" s="297" t="s">
        <v>10</v>
      </c>
      <c r="C204" s="296"/>
      <c r="D204" s="295" t="s">
        <v>11</v>
      </c>
      <c r="E204" s="295"/>
      <c r="F204" s="295"/>
      <c r="G204" s="296"/>
    </row>
    <row r="205" spans="2:7">
      <c r="B205" s="218" t="s">
        <v>32</v>
      </c>
      <c r="C205" s="60" t="s">
        <v>33</v>
      </c>
      <c r="D205" s="218" t="s">
        <v>68</v>
      </c>
      <c r="E205" s="222" t="s">
        <v>69</v>
      </c>
      <c r="F205" s="222" t="s">
        <v>32</v>
      </c>
      <c r="G205" s="60" t="s">
        <v>393</v>
      </c>
    </row>
    <row r="206" spans="2:7">
      <c r="B206" s="219">
        <v>35</v>
      </c>
      <c r="C206" s="36"/>
      <c r="D206" s="223"/>
      <c r="E206" s="224"/>
      <c r="F206" s="224"/>
      <c r="G206" s="33"/>
    </row>
    <row r="207" spans="2:7">
      <c r="B207" s="220"/>
      <c r="C207" s="33" t="s">
        <v>759</v>
      </c>
      <c r="D207" s="223"/>
      <c r="E207" s="224"/>
      <c r="F207" s="224"/>
      <c r="G207" s="33"/>
    </row>
    <row r="208" spans="2:7">
      <c r="B208" s="220"/>
      <c r="C208" s="33"/>
      <c r="D208" s="223"/>
      <c r="E208" s="224"/>
      <c r="F208" s="224"/>
      <c r="G208" s="33"/>
    </row>
    <row r="209" spans="2:7">
      <c r="B209" s="220"/>
      <c r="C209" s="33"/>
      <c r="D209" s="223"/>
      <c r="E209" s="224"/>
      <c r="F209" s="224"/>
      <c r="G209" s="33"/>
    </row>
    <row r="210" spans="2:7">
      <c r="B210" s="220"/>
      <c r="C210" s="33"/>
      <c r="D210" s="223"/>
      <c r="E210" s="224"/>
      <c r="F210" s="224"/>
      <c r="G210" s="33"/>
    </row>
    <row r="211" spans="2:7">
      <c r="B211" s="220"/>
      <c r="C211" s="33"/>
      <c r="D211" s="223"/>
      <c r="E211" s="224"/>
      <c r="F211" s="224"/>
      <c r="G211" s="33"/>
    </row>
    <row r="212" spans="2:7">
      <c r="B212" s="220"/>
      <c r="C212" s="33"/>
      <c r="D212" s="223"/>
      <c r="E212" s="224"/>
      <c r="F212" s="224"/>
      <c r="G212" s="33"/>
    </row>
    <row r="213" spans="2:7">
      <c r="B213" s="220"/>
      <c r="C213" s="33"/>
      <c r="D213" s="223"/>
      <c r="E213" s="224"/>
      <c r="F213" s="224"/>
      <c r="G213" s="33"/>
    </row>
    <row r="214" spans="2:7">
      <c r="B214" s="220"/>
      <c r="C214" s="33"/>
      <c r="D214" s="223"/>
      <c r="E214" s="224"/>
      <c r="F214" s="224"/>
      <c r="G214" s="33"/>
    </row>
    <row r="215" spans="2:7">
      <c r="B215" s="220"/>
      <c r="C215" s="33"/>
      <c r="D215" s="223"/>
      <c r="E215" s="224"/>
      <c r="F215" s="224"/>
      <c r="G215" s="33"/>
    </row>
    <row r="216" spans="2:7">
      <c r="B216" s="220"/>
      <c r="C216" s="33"/>
      <c r="D216" s="223"/>
      <c r="E216" s="224"/>
      <c r="F216" s="224"/>
      <c r="G216" s="33"/>
    </row>
    <row r="217" spans="2:7">
      <c r="B217" s="220"/>
      <c r="C217" s="33"/>
      <c r="D217" s="223"/>
      <c r="E217" s="224"/>
      <c r="F217" s="224"/>
      <c r="G217" s="33"/>
    </row>
    <row r="218" spans="2:7">
      <c r="B218" s="220"/>
      <c r="C218" s="33"/>
      <c r="D218" s="223"/>
      <c r="E218" s="224"/>
      <c r="F218" s="224"/>
      <c r="G218" s="33"/>
    </row>
    <row r="219" spans="2:7" ht="15.75" thickBot="1">
      <c r="B219" s="221"/>
      <c r="C219" s="34"/>
      <c r="D219" s="221"/>
      <c r="E219" s="225"/>
      <c r="F219" s="225"/>
      <c r="G219" s="34"/>
    </row>
    <row r="220" spans="2:7" ht="15.75" thickBot="1">
      <c r="B220" s="221">
        <f>SUM(B206:B219)</f>
        <v>35</v>
      </c>
      <c r="C220" s="34" t="s">
        <v>66</v>
      </c>
      <c r="D220" s="221">
        <f>SUM(D206:D219)</f>
        <v>0</v>
      </c>
      <c r="E220" s="221">
        <f>SUM(E206:E219)</f>
        <v>0</v>
      </c>
      <c r="F220" s="221">
        <f>SUM(F206:F219)</f>
        <v>0</v>
      </c>
      <c r="G220" s="34" t="s">
        <v>66</v>
      </c>
    </row>
    <row r="221" spans="2:7" ht="15.75" thickBot="1">
      <c r="B221" s="5"/>
      <c r="C221" s="3"/>
      <c r="D221" s="5"/>
      <c r="E221" s="5"/>
    </row>
    <row r="222" spans="2:7" ht="14.45" customHeight="1">
      <c r="B222" s="289" t="str">
        <f>'2018'!A31</f>
        <v>Deportes</v>
      </c>
      <c r="C222" s="290"/>
      <c r="D222" s="290"/>
      <c r="E222" s="290"/>
      <c r="F222" s="290"/>
      <c r="G222" s="291"/>
    </row>
    <row r="223" spans="2:7" ht="15" customHeight="1" thickBot="1">
      <c r="B223" s="292"/>
      <c r="C223" s="293"/>
      <c r="D223" s="293"/>
      <c r="E223" s="293"/>
      <c r="F223" s="293"/>
      <c r="G223" s="294"/>
    </row>
    <row r="224" spans="2:7">
      <c r="B224" s="297" t="s">
        <v>10</v>
      </c>
      <c r="C224" s="296"/>
      <c r="D224" s="295" t="s">
        <v>11</v>
      </c>
      <c r="E224" s="295"/>
      <c r="F224" s="295"/>
      <c r="G224" s="296"/>
    </row>
    <row r="225" spans="2:7">
      <c r="B225" s="218" t="s">
        <v>32</v>
      </c>
      <c r="C225" s="60" t="s">
        <v>33</v>
      </c>
      <c r="D225" s="218" t="s">
        <v>68</v>
      </c>
      <c r="E225" s="222" t="s">
        <v>69</v>
      </c>
      <c r="F225" s="222" t="s">
        <v>32</v>
      </c>
      <c r="G225" s="60" t="s">
        <v>33</v>
      </c>
    </row>
    <row r="226" spans="2:7">
      <c r="B226" s="219">
        <v>20</v>
      </c>
      <c r="C226" s="36" t="s">
        <v>50</v>
      </c>
      <c r="D226" s="223"/>
      <c r="E226" s="224"/>
      <c r="F226" s="224"/>
      <c r="G226" s="33" t="s">
        <v>50</v>
      </c>
    </row>
    <row r="227" spans="2:7">
      <c r="B227" s="220"/>
      <c r="C227" s="33" t="s">
        <v>46</v>
      </c>
      <c r="D227" s="223"/>
      <c r="E227" s="224"/>
      <c r="F227" s="224"/>
      <c r="G227" s="33"/>
    </row>
    <row r="228" spans="2:7">
      <c r="B228" s="220"/>
      <c r="C228" s="33"/>
      <c r="D228" s="223"/>
      <c r="E228" s="224"/>
      <c r="F228" s="224"/>
      <c r="G228" s="33"/>
    </row>
    <row r="229" spans="2:7">
      <c r="B229" s="220"/>
      <c r="C229" s="33"/>
      <c r="D229" s="223"/>
      <c r="E229" s="224"/>
      <c r="F229" s="224"/>
      <c r="G229" s="33"/>
    </row>
    <row r="230" spans="2:7">
      <c r="B230" s="220"/>
      <c r="C230" s="33"/>
      <c r="D230" s="223"/>
      <c r="E230" s="224"/>
      <c r="F230" s="224"/>
      <c r="G230" s="33"/>
    </row>
    <row r="231" spans="2:7">
      <c r="B231" s="220"/>
      <c r="C231" s="33"/>
      <c r="D231" s="223"/>
      <c r="E231" s="224"/>
      <c r="F231" s="224"/>
      <c r="G231" s="33"/>
    </row>
    <row r="232" spans="2:7">
      <c r="B232" s="220"/>
      <c r="C232" s="33"/>
      <c r="D232" s="223"/>
      <c r="E232" s="224"/>
      <c r="F232" s="224"/>
      <c r="G232" s="33"/>
    </row>
    <row r="233" spans="2:7">
      <c r="B233" s="220"/>
      <c r="C233" s="33"/>
      <c r="D233" s="223"/>
      <c r="E233" s="224"/>
      <c r="F233" s="224"/>
      <c r="G233" s="33"/>
    </row>
    <row r="234" spans="2:7">
      <c r="B234" s="220"/>
      <c r="C234" s="33"/>
      <c r="D234" s="223"/>
      <c r="E234" s="224"/>
      <c r="F234" s="224"/>
      <c r="G234" s="33"/>
    </row>
    <row r="235" spans="2:7">
      <c r="B235" s="220"/>
      <c r="C235" s="33"/>
      <c r="D235" s="223"/>
      <c r="E235" s="224"/>
      <c r="F235" s="224"/>
      <c r="G235" s="33"/>
    </row>
    <row r="236" spans="2:7">
      <c r="B236" s="220"/>
      <c r="C236" s="33"/>
      <c r="D236" s="223"/>
      <c r="E236" s="224"/>
      <c r="F236" s="224"/>
      <c r="G236" s="33"/>
    </row>
    <row r="237" spans="2:7">
      <c r="B237" s="220"/>
      <c r="C237" s="33"/>
      <c r="D237" s="223"/>
      <c r="E237" s="224"/>
      <c r="F237" s="224"/>
      <c r="G237" s="33"/>
    </row>
    <row r="238" spans="2:7">
      <c r="B238" s="220"/>
      <c r="C238" s="33"/>
      <c r="D238" s="223"/>
      <c r="E238" s="224"/>
      <c r="F238" s="224"/>
      <c r="G238" s="33"/>
    </row>
    <row r="239" spans="2:7" ht="15.75" thickBot="1">
      <c r="B239" s="221"/>
      <c r="C239" s="34"/>
      <c r="D239" s="221"/>
      <c r="E239" s="225"/>
      <c r="F239" s="225"/>
      <c r="G239" s="34"/>
    </row>
    <row r="240" spans="2:7" ht="15.75" thickBot="1">
      <c r="B240" s="221">
        <f>SUM(B226:B239)</f>
        <v>20</v>
      </c>
      <c r="C240" s="34" t="s">
        <v>66</v>
      </c>
      <c r="D240" s="221">
        <f>SUM(D226:D239)</f>
        <v>0</v>
      </c>
      <c r="E240" s="221">
        <f>SUM(E226:E239)</f>
        <v>0</v>
      </c>
      <c r="F240" s="221">
        <f>SUM(F226:F239)</f>
        <v>0</v>
      </c>
      <c r="G240" s="34" t="s">
        <v>66</v>
      </c>
    </row>
    <row r="241" spans="2:7" ht="15.75" thickBot="1">
      <c r="B241" s="5"/>
      <c r="C241" s="3"/>
      <c r="D241" s="5"/>
      <c r="E241" s="5"/>
    </row>
    <row r="242" spans="2:7" ht="14.45" customHeight="1">
      <c r="B242" s="289" t="str">
        <f>'2018'!A32</f>
        <v>Hogar</v>
      </c>
      <c r="C242" s="290"/>
      <c r="D242" s="290"/>
      <c r="E242" s="290"/>
      <c r="F242" s="290"/>
      <c r="G242" s="291"/>
    </row>
    <row r="243" spans="2:7" ht="15" customHeight="1" thickBot="1">
      <c r="B243" s="292"/>
      <c r="C243" s="293"/>
      <c r="D243" s="293"/>
      <c r="E243" s="293"/>
      <c r="F243" s="293"/>
      <c r="G243" s="294"/>
    </row>
    <row r="244" spans="2:7" ht="15" customHeight="1">
      <c r="B244" s="297" t="s">
        <v>10</v>
      </c>
      <c r="C244" s="296"/>
      <c r="D244" s="295" t="s">
        <v>11</v>
      </c>
      <c r="E244" s="295"/>
      <c r="F244" s="295"/>
      <c r="G244" s="296"/>
    </row>
    <row r="245" spans="2:7" ht="15" customHeight="1">
      <c r="B245" s="218" t="s">
        <v>32</v>
      </c>
      <c r="C245" s="60" t="s">
        <v>33</v>
      </c>
      <c r="D245" s="218" t="s">
        <v>68</v>
      </c>
      <c r="E245" s="222" t="s">
        <v>69</v>
      </c>
      <c r="F245" s="222" t="s">
        <v>32</v>
      </c>
      <c r="G245" s="60" t="s">
        <v>393</v>
      </c>
    </row>
    <row r="246" spans="2:7" ht="15" customHeight="1">
      <c r="B246" s="220">
        <v>50</v>
      </c>
      <c r="C246" s="66"/>
      <c r="D246" s="223"/>
      <c r="E246" s="224"/>
      <c r="F246" s="224"/>
      <c r="G246" s="33"/>
    </row>
    <row r="247" spans="2:7" ht="15" customHeight="1">
      <c r="B247" s="220">
        <v>5</v>
      </c>
      <c r="C247" s="33"/>
      <c r="D247" s="223"/>
      <c r="E247" s="224"/>
      <c r="F247" s="224"/>
      <c r="G247" s="33"/>
    </row>
    <row r="248" spans="2:7">
      <c r="B248" s="220"/>
      <c r="C248" s="33"/>
      <c r="D248" s="223"/>
      <c r="E248" s="224"/>
      <c r="F248" s="224"/>
      <c r="G248" s="33"/>
    </row>
    <row r="249" spans="2:7">
      <c r="B249" s="220"/>
      <c r="C249" s="33"/>
      <c r="D249" s="223"/>
      <c r="E249" s="224"/>
      <c r="F249" s="224"/>
      <c r="G249" s="33"/>
    </row>
    <row r="250" spans="2:7">
      <c r="B250" s="220"/>
      <c r="C250" s="33"/>
      <c r="D250" s="223"/>
      <c r="E250" s="224"/>
      <c r="F250" s="224"/>
      <c r="G250" s="33"/>
    </row>
    <row r="251" spans="2:7">
      <c r="B251" s="220"/>
      <c r="C251" s="33"/>
      <c r="D251" s="223"/>
      <c r="E251" s="224"/>
      <c r="F251" s="224"/>
      <c r="G251" s="33"/>
    </row>
    <row r="252" spans="2:7">
      <c r="B252" s="220"/>
      <c r="C252" s="33"/>
      <c r="D252" s="223"/>
      <c r="E252" s="224"/>
      <c r="F252" s="224"/>
      <c r="G252" s="33"/>
    </row>
    <row r="253" spans="2:7">
      <c r="B253" s="220"/>
      <c r="C253" s="33"/>
      <c r="D253" s="223"/>
      <c r="E253" s="224"/>
      <c r="F253" s="224"/>
      <c r="G253" s="33"/>
    </row>
    <row r="254" spans="2:7">
      <c r="B254" s="220"/>
      <c r="C254" s="33"/>
      <c r="D254" s="223"/>
      <c r="E254" s="224"/>
      <c r="F254" s="224"/>
      <c r="G254" s="33"/>
    </row>
    <row r="255" spans="2:7">
      <c r="B255" s="220"/>
      <c r="C255" s="33"/>
      <c r="D255" s="223"/>
      <c r="E255" s="224"/>
      <c r="F255" s="224"/>
      <c r="G255" s="33"/>
    </row>
    <row r="256" spans="2:7">
      <c r="B256" s="220"/>
      <c r="C256" s="33"/>
      <c r="D256" s="223"/>
      <c r="E256" s="224"/>
      <c r="F256" s="224"/>
      <c r="G256" s="33"/>
    </row>
    <row r="257" spans="2:7">
      <c r="B257" s="220"/>
      <c r="C257" s="33"/>
      <c r="D257" s="223"/>
      <c r="E257" s="224"/>
      <c r="F257" s="224"/>
      <c r="G257" s="33"/>
    </row>
    <row r="258" spans="2:7">
      <c r="B258" s="220"/>
      <c r="C258" s="33"/>
      <c r="D258" s="223"/>
      <c r="E258" s="224"/>
      <c r="F258" s="224"/>
      <c r="G258" s="33"/>
    </row>
    <row r="259" spans="2:7" ht="15.75" thickBot="1">
      <c r="B259" s="221"/>
      <c r="C259" s="34"/>
      <c r="D259" s="221"/>
      <c r="E259" s="225"/>
      <c r="F259" s="225"/>
      <c r="G259" s="34"/>
    </row>
    <row r="260" spans="2:7" ht="15.75" thickBot="1">
      <c r="B260" s="221">
        <f>SUM(B246:B259)</f>
        <v>55</v>
      </c>
      <c r="C260" s="34" t="s">
        <v>66</v>
      </c>
      <c r="D260" s="221">
        <f>SUM(D246:D259)</f>
        <v>0</v>
      </c>
      <c r="E260" s="221">
        <f>SUM(E246:E259)</f>
        <v>0</v>
      </c>
      <c r="F260" s="221">
        <f>SUM(F246:F259)</f>
        <v>0</v>
      </c>
      <c r="G260" s="34" t="s">
        <v>66</v>
      </c>
    </row>
    <row r="261" spans="2:7" ht="15.75" thickBot="1">
      <c r="B261" s="5"/>
      <c r="C261" s="3"/>
      <c r="D261" s="5"/>
      <c r="E261" s="5"/>
    </row>
    <row r="262" spans="2:7" ht="14.45" customHeight="1">
      <c r="B262" s="289" t="str">
        <f>'2018'!A33</f>
        <v>Formación</v>
      </c>
      <c r="C262" s="290"/>
      <c r="D262" s="290"/>
      <c r="E262" s="290"/>
      <c r="F262" s="290"/>
      <c r="G262" s="291"/>
    </row>
    <row r="263" spans="2:7" ht="15" customHeight="1" thickBot="1">
      <c r="B263" s="292"/>
      <c r="C263" s="293"/>
      <c r="D263" s="293"/>
      <c r="E263" s="293"/>
      <c r="F263" s="293"/>
      <c r="G263" s="294"/>
    </row>
    <row r="264" spans="2:7">
      <c r="B264" s="297" t="s">
        <v>10</v>
      </c>
      <c r="C264" s="296"/>
      <c r="D264" s="295" t="s">
        <v>11</v>
      </c>
      <c r="E264" s="295"/>
      <c r="F264" s="295"/>
      <c r="G264" s="296"/>
    </row>
    <row r="265" spans="2:7">
      <c r="B265" s="218" t="s">
        <v>32</v>
      </c>
      <c r="C265" s="60" t="s">
        <v>33</v>
      </c>
      <c r="D265" s="218" t="s">
        <v>68</v>
      </c>
      <c r="E265" s="222" t="s">
        <v>69</v>
      </c>
      <c r="F265" s="222" t="s">
        <v>32</v>
      </c>
      <c r="G265" s="60" t="s">
        <v>33</v>
      </c>
    </row>
    <row r="266" spans="2:7">
      <c r="B266" s="219">
        <v>50</v>
      </c>
      <c r="C266" s="36"/>
      <c r="D266" s="223"/>
      <c r="E266" s="224"/>
      <c r="F266" s="224"/>
      <c r="G266" s="33"/>
    </row>
    <row r="267" spans="2:7">
      <c r="B267" s="220"/>
      <c r="C267" s="33"/>
      <c r="D267" s="223"/>
      <c r="E267" s="224"/>
      <c r="F267" s="224"/>
      <c r="G267" s="33"/>
    </row>
    <row r="268" spans="2:7">
      <c r="B268" s="220"/>
      <c r="C268" s="33"/>
      <c r="D268" s="223"/>
      <c r="E268" s="224"/>
      <c r="F268" s="224"/>
      <c r="G268" s="33"/>
    </row>
    <row r="269" spans="2:7">
      <c r="B269" s="220"/>
      <c r="C269" s="33"/>
      <c r="D269" s="223"/>
      <c r="E269" s="224"/>
      <c r="F269" s="224"/>
      <c r="G269" s="33"/>
    </row>
    <row r="270" spans="2:7">
      <c r="B270" s="220"/>
      <c r="C270" s="33"/>
      <c r="D270" s="223"/>
      <c r="E270" s="224"/>
      <c r="F270" s="224"/>
      <c r="G270" s="33"/>
    </row>
    <row r="271" spans="2:7">
      <c r="B271" s="220"/>
      <c r="C271" s="33"/>
      <c r="D271" s="223"/>
      <c r="E271" s="224"/>
      <c r="F271" s="224"/>
      <c r="G271" s="33"/>
    </row>
    <row r="272" spans="2:7">
      <c r="B272" s="220"/>
      <c r="C272" s="33"/>
      <c r="D272" s="223"/>
      <c r="E272" s="224"/>
      <c r="F272" s="224"/>
      <c r="G272" s="33"/>
    </row>
    <row r="273" spans="2:7">
      <c r="B273" s="220"/>
      <c r="C273" s="33"/>
      <c r="D273" s="223"/>
      <c r="E273" s="224"/>
      <c r="F273" s="224"/>
      <c r="G273" s="33"/>
    </row>
    <row r="274" spans="2:7">
      <c r="B274" s="220"/>
      <c r="C274" s="33"/>
      <c r="D274" s="223"/>
      <c r="E274" s="224"/>
      <c r="F274" s="224"/>
      <c r="G274" s="33"/>
    </row>
    <row r="275" spans="2:7">
      <c r="B275" s="220"/>
      <c r="C275" s="33"/>
      <c r="D275" s="223"/>
      <c r="E275" s="224"/>
      <c r="F275" s="224"/>
      <c r="G275" s="33"/>
    </row>
    <row r="276" spans="2:7">
      <c r="B276" s="220"/>
      <c r="C276" s="33"/>
      <c r="D276" s="223"/>
      <c r="E276" s="224"/>
      <c r="F276" s="224"/>
      <c r="G276" s="33"/>
    </row>
    <row r="277" spans="2:7">
      <c r="B277" s="220"/>
      <c r="C277" s="33"/>
      <c r="D277" s="223"/>
      <c r="E277" s="224"/>
      <c r="F277" s="224"/>
      <c r="G277" s="33"/>
    </row>
    <row r="278" spans="2:7">
      <c r="B278" s="220"/>
      <c r="C278" s="33"/>
      <c r="D278" s="223"/>
      <c r="E278" s="224"/>
      <c r="F278" s="224"/>
      <c r="G278" s="33"/>
    </row>
    <row r="279" spans="2:7" ht="15.75" thickBot="1">
      <c r="B279" s="221"/>
      <c r="C279" s="34"/>
      <c r="D279" s="221"/>
      <c r="E279" s="225"/>
      <c r="F279" s="225"/>
      <c r="G279" s="34"/>
    </row>
    <row r="280" spans="2:7" ht="15.75" thickBot="1">
      <c r="B280" s="221">
        <f>SUM(B266:B279)</f>
        <v>50</v>
      </c>
      <c r="C280" s="34" t="s">
        <v>66</v>
      </c>
      <c r="D280" s="221">
        <f>SUM(D266:D279)</f>
        <v>0</v>
      </c>
      <c r="E280" s="221">
        <f>SUM(E266:E279)</f>
        <v>0</v>
      </c>
      <c r="F280" s="221">
        <f>SUM(F266:F279)</f>
        <v>0</v>
      </c>
      <c r="G280" s="34" t="s">
        <v>66</v>
      </c>
    </row>
    <row r="281" spans="2:7" ht="15.75" thickBot="1">
      <c r="B281" s="5"/>
      <c r="C281" s="3"/>
      <c r="D281" s="5"/>
      <c r="E281" s="5"/>
    </row>
    <row r="282" spans="2:7" ht="14.45" customHeight="1">
      <c r="B282" s="289" t="str">
        <f>'2018'!A34</f>
        <v>Regalos</v>
      </c>
      <c r="C282" s="290"/>
      <c r="D282" s="290"/>
      <c r="E282" s="290"/>
      <c r="F282" s="290"/>
      <c r="G282" s="291"/>
    </row>
    <row r="283" spans="2:7" ht="15" customHeight="1" thickBot="1">
      <c r="B283" s="292"/>
      <c r="C283" s="293"/>
      <c r="D283" s="293"/>
      <c r="E283" s="293"/>
      <c r="F283" s="293"/>
      <c r="G283" s="294"/>
    </row>
    <row r="284" spans="2:7">
      <c r="B284" s="297" t="s">
        <v>10</v>
      </c>
      <c r="C284" s="296"/>
      <c r="D284" s="295" t="s">
        <v>11</v>
      </c>
      <c r="E284" s="295"/>
      <c r="F284" s="295"/>
      <c r="G284" s="296"/>
    </row>
    <row r="285" spans="2:7">
      <c r="B285" s="218" t="s">
        <v>32</v>
      </c>
      <c r="C285" s="60" t="s">
        <v>33</v>
      </c>
      <c r="D285" s="218" t="s">
        <v>68</v>
      </c>
      <c r="E285" s="222" t="s">
        <v>69</v>
      </c>
      <c r="F285" s="222" t="s">
        <v>32</v>
      </c>
      <c r="G285" s="60" t="s">
        <v>393</v>
      </c>
    </row>
    <row r="286" spans="2:7">
      <c r="B286" s="219">
        <v>90</v>
      </c>
      <c r="C286" s="36" t="s">
        <v>36</v>
      </c>
      <c r="D286" s="223">
        <v>80</v>
      </c>
      <c r="E286" s="224"/>
      <c r="F286" s="224"/>
      <c r="G286" s="33" t="s">
        <v>773</v>
      </c>
    </row>
    <row r="287" spans="2:7">
      <c r="B287" s="220"/>
      <c r="C287" s="33"/>
      <c r="D287" s="223">
        <v>29</v>
      </c>
      <c r="E287" s="224"/>
      <c r="F287" s="224"/>
      <c r="G287" s="33" t="s">
        <v>782</v>
      </c>
    </row>
    <row r="288" spans="2:7">
      <c r="B288" s="220"/>
      <c r="C288" s="33"/>
      <c r="D288" s="223"/>
      <c r="E288" s="224"/>
      <c r="F288" s="224"/>
      <c r="G288" s="33"/>
    </row>
    <row r="289" spans="2:7">
      <c r="B289" s="220"/>
      <c r="C289" s="33"/>
      <c r="D289" s="223"/>
      <c r="E289" s="224"/>
      <c r="F289" s="224"/>
      <c r="G289" s="33"/>
    </row>
    <row r="290" spans="2:7">
      <c r="B290" s="220"/>
      <c r="C290" s="33"/>
      <c r="D290" s="223"/>
      <c r="E290" s="224"/>
      <c r="F290" s="224"/>
      <c r="G290" s="33"/>
    </row>
    <row r="291" spans="2:7">
      <c r="B291" s="220"/>
      <c r="C291" s="33"/>
      <c r="D291" s="223"/>
      <c r="E291" s="224"/>
      <c r="F291" s="224"/>
      <c r="G291" s="33"/>
    </row>
    <row r="292" spans="2:7">
      <c r="B292" s="220"/>
      <c r="C292" s="33"/>
      <c r="D292" s="223"/>
      <c r="E292" s="224"/>
      <c r="F292" s="224"/>
      <c r="G292" s="33"/>
    </row>
    <row r="293" spans="2:7">
      <c r="B293" s="220"/>
      <c r="C293" s="33"/>
      <c r="D293" s="223"/>
      <c r="E293" s="224"/>
      <c r="F293" s="224"/>
      <c r="G293" s="33"/>
    </row>
    <row r="294" spans="2:7">
      <c r="B294" s="220"/>
      <c r="C294" s="33"/>
      <c r="D294" s="223"/>
      <c r="E294" s="224"/>
      <c r="F294" s="224"/>
      <c r="G294" s="33"/>
    </row>
    <row r="295" spans="2:7">
      <c r="B295" s="220"/>
      <c r="C295" s="33"/>
      <c r="D295" s="223"/>
      <c r="E295" s="224"/>
      <c r="F295" s="224"/>
      <c r="G295" s="33"/>
    </row>
    <row r="296" spans="2:7">
      <c r="B296" s="220"/>
      <c r="C296" s="33"/>
      <c r="D296" s="223"/>
      <c r="E296" s="224"/>
      <c r="F296" s="224"/>
      <c r="G296" s="33"/>
    </row>
    <row r="297" spans="2:7">
      <c r="B297" s="220"/>
      <c r="C297" s="33"/>
      <c r="D297" s="223"/>
      <c r="E297" s="224"/>
      <c r="F297" s="224"/>
      <c r="G297" s="33"/>
    </row>
    <row r="298" spans="2:7">
      <c r="B298" s="220"/>
      <c r="C298" s="33"/>
      <c r="D298" s="223"/>
      <c r="E298" s="224"/>
      <c r="F298" s="224"/>
      <c r="G298" s="33"/>
    </row>
    <row r="299" spans="2:7" ht="15.75" thickBot="1">
      <c r="B299" s="221"/>
      <c r="C299" s="34"/>
      <c r="D299" s="221"/>
      <c r="E299" s="225"/>
      <c r="F299" s="225"/>
      <c r="G299" s="34"/>
    </row>
    <row r="300" spans="2:7" ht="15.75" thickBot="1">
      <c r="B300" s="221">
        <f>SUM(B286:B299)</f>
        <v>90</v>
      </c>
      <c r="C300" s="34" t="s">
        <v>66</v>
      </c>
      <c r="D300" s="221">
        <f>SUM(D286:D299)</f>
        <v>109</v>
      </c>
      <c r="E300" s="221">
        <f>SUM(E286:E299)</f>
        <v>0</v>
      </c>
      <c r="F300" s="221">
        <f>SUM(F286:F299)</f>
        <v>0</v>
      </c>
      <c r="G300" s="34" t="s">
        <v>66</v>
      </c>
    </row>
    <row r="301" spans="2:7" ht="15.75" thickBot="1">
      <c r="B301" s="5"/>
      <c r="C301" s="3"/>
      <c r="D301" s="5"/>
      <c r="E301" s="5"/>
    </row>
    <row r="302" spans="2:7" ht="14.45" customHeight="1">
      <c r="B302" s="289" t="str">
        <f>'2018'!A35</f>
        <v>Salud</v>
      </c>
      <c r="C302" s="290"/>
      <c r="D302" s="290"/>
      <c r="E302" s="290"/>
      <c r="F302" s="290"/>
      <c r="G302" s="291"/>
    </row>
    <row r="303" spans="2:7" ht="15" customHeight="1" thickBot="1">
      <c r="B303" s="292"/>
      <c r="C303" s="293"/>
      <c r="D303" s="293"/>
      <c r="E303" s="293"/>
      <c r="F303" s="293"/>
      <c r="G303" s="294"/>
    </row>
    <row r="304" spans="2:7">
      <c r="B304" s="297" t="s">
        <v>10</v>
      </c>
      <c r="C304" s="296"/>
      <c r="D304" s="295" t="s">
        <v>11</v>
      </c>
      <c r="E304" s="295"/>
      <c r="F304" s="295"/>
      <c r="G304" s="296"/>
    </row>
    <row r="305" spans="2:7">
      <c r="B305" s="218" t="s">
        <v>32</v>
      </c>
      <c r="C305" s="60" t="s">
        <v>33</v>
      </c>
      <c r="D305" s="218" t="s">
        <v>68</v>
      </c>
      <c r="E305" s="222" t="s">
        <v>69</v>
      </c>
      <c r="F305" s="222" t="s">
        <v>32</v>
      </c>
      <c r="G305" s="60" t="s">
        <v>393</v>
      </c>
    </row>
    <row r="306" spans="2:7">
      <c r="B306" s="219">
        <v>100</v>
      </c>
      <c r="C306" s="36" t="s">
        <v>472</v>
      </c>
      <c r="D306" s="223">
        <v>8.6999999999999993</v>
      </c>
      <c r="E306" s="224"/>
      <c r="F306" s="224"/>
      <c r="G306" s="33" t="s">
        <v>779</v>
      </c>
    </row>
    <row r="307" spans="2:7">
      <c r="B307" s="220">
        <v>10</v>
      </c>
      <c r="C307" s="66"/>
      <c r="D307" s="223"/>
      <c r="E307" s="224"/>
      <c r="F307" s="224"/>
      <c r="G307" s="33"/>
    </row>
    <row r="308" spans="2:7">
      <c r="B308" s="220"/>
      <c r="C308" s="66"/>
      <c r="D308" s="223"/>
      <c r="E308" s="224"/>
      <c r="F308" s="224"/>
      <c r="G308" s="33"/>
    </row>
    <row r="309" spans="2:7">
      <c r="B309" s="220"/>
      <c r="C309" s="33"/>
      <c r="D309" s="223"/>
      <c r="E309" s="224"/>
      <c r="F309" s="224"/>
      <c r="G309" s="33"/>
    </row>
    <row r="310" spans="2:7">
      <c r="B310" s="220"/>
      <c r="C310" s="33"/>
      <c r="D310" s="223"/>
      <c r="E310" s="224"/>
      <c r="F310" s="224"/>
      <c r="G310" s="33"/>
    </row>
    <row r="311" spans="2:7">
      <c r="B311" s="220"/>
      <c r="C311" s="33"/>
      <c r="D311" s="223"/>
      <c r="E311" s="224"/>
      <c r="F311" s="224"/>
      <c r="G311" s="33"/>
    </row>
    <row r="312" spans="2:7">
      <c r="B312" s="220"/>
      <c r="C312" s="33"/>
      <c r="D312" s="223"/>
      <c r="E312" s="224"/>
      <c r="F312" s="224"/>
      <c r="G312" s="33"/>
    </row>
    <row r="313" spans="2:7">
      <c r="B313" s="220"/>
      <c r="C313" s="33"/>
      <c r="D313" s="223"/>
      <c r="E313" s="224"/>
      <c r="F313" s="224"/>
      <c r="G313" s="33"/>
    </row>
    <row r="314" spans="2:7">
      <c r="B314" s="220"/>
      <c r="C314" s="33"/>
      <c r="D314" s="223"/>
      <c r="E314" s="224"/>
      <c r="F314" s="224"/>
      <c r="G314" s="33"/>
    </row>
    <row r="315" spans="2:7">
      <c r="B315" s="220"/>
      <c r="C315" s="33"/>
      <c r="D315" s="223"/>
      <c r="E315" s="224"/>
      <c r="F315" s="224"/>
      <c r="G315" s="33"/>
    </row>
    <row r="316" spans="2:7">
      <c r="B316" s="220"/>
      <c r="C316" s="33"/>
      <c r="D316" s="223"/>
      <c r="E316" s="224"/>
      <c r="F316" s="224"/>
      <c r="G316" s="33"/>
    </row>
    <row r="317" spans="2:7">
      <c r="B317" s="220"/>
      <c r="C317" s="33"/>
      <c r="D317" s="223"/>
      <c r="E317" s="224"/>
      <c r="F317" s="224"/>
      <c r="G317" s="33"/>
    </row>
    <row r="318" spans="2:7">
      <c r="B318" s="220"/>
      <c r="C318" s="33"/>
      <c r="D318" s="223"/>
      <c r="E318" s="224"/>
      <c r="F318" s="224"/>
      <c r="G318" s="33"/>
    </row>
    <row r="319" spans="2:7" ht="15.75" thickBot="1">
      <c r="B319" s="221"/>
      <c r="C319" s="34"/>
      <c r="D319" s="221"/>
      <c r="E319" s="225"/>
      <c r="F319" s="225"/>
      <c r="G319" s="34"/>
    </row>
    <row r="320" spans="2:7" ht="15.75" thickBot="1">
      <c r="B320" s="221">
        <f>SUM(B306:B319)</f>
        <v>110</v>
      </c>
      <c r="C320" s="34" t="s">
        <v>66</v>
      </c>
      <c r="D320" s="221">
        <f>SUM(D306:D319)</f>
        <v>8.6999999999999993</v>
      </c>
      <c r="E320" s="221">
        <f>SUM(E306:E319)</f>
        <v>0</v>
      </c>
      <c r="F320" s="221">
        <f>SUM(F306:F319)</f>
        <v>0</v>
      </c>
      <c r="G320" s="34" t="s">
        <v>66</v>
      </c>
    </row>
    <row r="321" spans="2:7" ht="15.75" thickBot="1"/>
    <row r="322" spans="2:7" ht="14.45" customHeight="1">
      <c r="B322" s="289" t="str">
        <f>'2018'!A36</f>
        <v>Martina</v>
      </c>
      <c r="C322" s="290"/>
      <c r="D322" s="290"/>
      <c r="E322" s="290"/>
      <c r="F322" s="290"/>
      <c r="G322" s="291"/>
    </row>
    <row r="323" spans="2:7" ht="15" customHeight="1" thickBot="1">
      <c r="B323" s="292"/>
      <c r="C323" s="293"/>
      <c r="D323" s="293"/>
      <c r="E323" s="293"/>
      <c r="F323" s="293"/>
      <c r="G323" s="294"/>
    </row>
    <row r="324" spans="2:7">
      <c r="B324" s="297" t="s">
        <v>10</v>
      </c>
      <c r="C324" s="296"/>
      <c r="D324" s="295" t="s">
        <v>11</v>
      </c>
      <c r="E324" s="295"/>
      <c r="F324" s="295"/>
      <c r="G324" s="296"/>
    </row>
    <row r="325" spans="2:7">
      <c r="B325" s="218" t="s">
        <v>32</v>
      </c>
      <c r="C325" s="60" t="s">
        <v>33</v>
      </c>
      <c r="D325" s="218" t="s">
        <v>68</v>
      </c>
      <c r="E325" s="222" t="s">
        <v>69</v>
      </c>
      <c r="F325" s="222" t="s">
        <v>32</v>
      </c>
      <c r="G325" s="60" t="s">
        <v>393</v>
      </c>
    </row>
    <row r="326" spans="2:7">
      <c r="B326" s="219">
        <v>90</v>
      </c>
      <c r="C326" s="36"/>
      <c r="D326" s="223"/>
      <c r="E326" s="224"/>
      <c r="F326" s="224"/>
      <c r="G326" s="33"/>
    </row>
    <row r="327" spans="2:7">
      <c r="B327" s="220"/>
      <c r="C327" s="33"/>
      <c r="D327" s="223"/>
      <c r="E327" s="224"/>
      <c r="F327" s="224"/>
      <c r="G327" s="33"/>
    </row>
    <row r="328" spans="2:7">
      <c r="B328" s="220"/>
      <c r="C328" s="33"/>
      <c r="D328" s="223"/>
      <c r="E328" s="224"/>
      <c r="F328" s="224"/>
      <c r="G328" s="33"/>
    </row>
    <row r="329" spans="2:7">
      <c r="B329" s="220"/>
      <c r="C329" s="33"/>
      <c r="D329" s="223"/>
      <c r="E329" s="224"/>
      <c r="F329" s="224"/>
      <c r="G329" s="33"/>
    </row>
    <row r="330" spans="2:7">
      <c r="B330" s="220"/>
      <c r="C330" s="33"/>
      <c r="D330" s="223"/>
      <c r="E330" s="224"/>
      <c r="F330" s="224"/>
      <c r="G330" s="33"/>
    </row>
    <row r="331" spans="2:7">
      <c r="B331" s="220"/>
      <c r="C331" s="33"/>
      <c r="D331" s="223"/>
      <c r="E331" s="224"/>
      <c r="F331" s="224"/>
      <c r="G331" s="33"/>
    </row>
    <row r="332" spans="2:7">
      <c r="B332" s="220"/>
      <c r="C332" s="33"/>
      <c r="D332" s="223"/>
      <c r="E332" s="224"/>
      <c r="F332" s="224"/>
      <c r="G332" s="33"/>
    </row>
    <row r="333" spans="2:7">
      <c r="B333" s="220"/>
      <c r="C333" s="33"/>
      <c r="D333" s="223"/>
      <c r="E333" s="224"/>
      <c r="F333" s="224"/>
      <c r="G333" s="33"/>
    </row>
    <row r="334" spans="2:7">
      <c r="B334" s="220"/>
      <c r="C334" s="33"/>
      <c r="D334" s="223"/>
      <c r="E334" s="224"/>
      <c r="F334" s="224"/>
      <c r="G334" s="33"/>
    </row>
    <row r="335" spans="2:7">
      <c r="B335" s="220"/>
      <c r="C335" s="33"/>
      <c r="D335" s="223"/>
      <c r="E335" s="224"/>
      <c r="F335" s="224"/>
      <c r="G335" s="33"/>
    </row>
    <row r="336" spans="2:7">
      <c r="B336" s="220"/>
      <c r="C336" s="33"/>
      <c r="D336" s="223"/>
      <c r="E336" s="224"/>
      <c r="F336" s="224"/>
      <c r="G336" s="33"/>
    </row>
    <row r="337" spans="2:7">
      <c r="B337" s="220"/>
      <c r="C337" s="33"/>
      <c r="D337" s="223"/>
      <c r="E337" s="224"/>
      <c r="F337" s="224"/>
      <c r="G337" s="33"/>
    </row>
    <row r="338" spans="2:7">
      <c r="B338" s="220"/>
      <c r="C338" s="33"/>
      <c r="D338" s="223"/>
      <c r="E338" s="224"/>
      <c r="F338" s="224"/>
      <c r="G338" s="33"/>
    </row>
    <row r="339" spans="2:7" ht="15.75" thickBot="1">
      <c r="B339" s="221"/>
      <c r="C339" s="34"/>
      <c r="D339" s="221"/>
      <c r="E339" s="225"/>
      <c r="F339" s="225"/>
      <c r="G339" s="34"/>
    </row>
    <row r="340" spans="2:7" ht="15.75" thickBot="1">
      <c r="B340" s="221">
        <f>SUM(B326:B339)</f>
        <v>90</v>
      </c>
      <c r="C340" s="34" t="s">
        <v>66</v>
      </c>
      <c r="D340" s="221">
        <f>SUM(D326:D339)</f>
        <v>0</v>
      </c>
      <c r="E340" s="221">
        <f>SUM(E326:E339)</f>
        <v>0</v>
      </c>
      <c r="F340" s="221">
        <f>SUM(F326:F339)</f>
        <v>0</v>
      </c>
      <c r="G340" s="34" t="s">
        <v>66</v>
      </c>
    </row>
    <row r="341" spans="2:7" ht="15.75" thickBot="1">
      <c r="B341" s="5"/>
      <c r="C341" s="3"/>
      <c r="D341" s="5"/>
      <c r="E341" s="5"/>
    </row>
    <row r="342" spans="2:7" ht="14.45" customHeight="1">
      <c r="B342" s="289" t="str">
        <f>'2018'!A37</f>
        <v>Impuestos</v>
      </c>
      <c r="C342" s="290"/>
      <c r="D342" s="290"/>
      <c r="E342" s="290"/>
      <c r="F342" s="290"/>
      <c r="G342" s="291"/>
    </row>
    <row r="343" spans="2:7" ht="15" customHeight="1" thickBot="1">
      <c r="B343" s="292"/>
      <c r="C343" s="293"/>
      <c r="D343" s="293"/>
      <c r="E343" s="293"/>
      <c r="F343" s="293"/>
      <c r="G343" s="294"/>
    </row>
    <row r="344" spans="2:7">
      <c r="B344" s="297" t="s">
        <v>10</v>
      </c>
      <c r="C344" s="296"/>
      <c r="D344" s="295" t="s">
        <v>11</v>
      </c>
      <c r="E344" s="295"/>
      <c r="F344" s="295"/>
      <c r="G344" s="296"/>
    </row>
    <row r="345" spans="2:7">
      <c r="B345" s="218" t="s">
        <v>32</v>
      </c>
      <c r="C345" s="60" t="s">
        <v>33</v>
      </c>
      <c r="D345" s="218" t="s">
        <v>68</v>
      </c>
      <c r="E345" s="222" t="s">
        <v>69</v>
      </c>
      <c r="F345" s="222" t="s">
        <v>32</v>
      </c>
      <c r="G345" s="60" t="s">
        <v>393</v>
      </c>
    </row>
    <row r="346" spans="2:7">
      <c r="B346" s="219">
        <v>45</v>
      </c>
      <c r="C346" s="36" t="s">
        <v>642</v>
      </c>
      <c r="D346" s="223"/>
      <c r="E346" s="224"/>
      <c r="F346" s="224"/>
      <c r="G346" s="33"/>
    </row>
    <row r="347" spans="2:7">
      <c r="B347" s="220"/>
      <c r="C347" s="33"/>
      <c r="D347" s="223"/>
      <c r="E347" s="224"/>
      <c r="F347" s="224"/>
      <c r="G347" s="33"/>
    </row>
    <row r="348" spans="2:7">
      <c r="B348" s="220"/>
      <c r="C348" s="33"/>
      <c r="D348" s="223"/>
      <c r="E348" s="224"/>
      <c r="F348" s="224"/>
      <c r="G348" s="33"/>
    </row>
    <row r="349" spans="2:7">
      <c r="B349" s="220"/>
      <c r="C349" s="33"/>
      <c r="D349" s="223"/>
      <c r="E349" s="224"/>
      <c r="F349" s="224"/>
      <c r="G349" s="33"/>
    </row>
    <row r="350" spans="2:7">
      <c r="B350" s="220"/>
      <c r="C350" s="33"/>
      <c r="D350" s="223"/>
      <c r="E350" s="224"/>
      <c r="F350" s="224"/>
      <c r="G350" s="33"/>
    </row>
    <row r="351" spans="2:7">
      <c r="B351" s="220"/>
      <c r="C351" s="33"/>
      <c r="D351" s="223"/>
      <c r="E351" s="224"/>
      <c r="F351" s="224"/>
      <c r="G351" s="33"/>
    </row>
    <row r="352" spans="2:7">
      <c r="B352" s="220"/>
      <c r="C352" s="33"/>
      <c r="D352" s="223"/>
      <c r="E352" s="224"/>
      <c r="F352" s="224"/>
      <c r="G352" s="33"/>
    </row>
    <row r="353" spans="2:7">
      <c r="B353" s="220"/>
      <c r="C353" s="33"/>
      <c r="D353" s="223"/>
      <c r="E353" s="224"/>
      <c r="F353" s="224"/>
      <c r="G353" s="33"/>
    </row>
    <row r="354" spans="2:7">
      <c r="B354" s="220"/>
      <c r="C354" s="33"/>
      <c r="D354" s="223"/>
      <c r="E354" s="224"/>
      <c r="F354" s="224"/>
      <c r="G354" s="33"/>
    </row>
    <row r="355" spans="2:7">
      <c r="B355" s="220"/>
      <c r="C355" s="33"/>
      <c r="D355" s="223"/>
      <c r="E355" s="224"/>
      <c r="F355" s="224"/>
      <c r="G355" s="33"/>
    </row>
    <row r="356" spans="2:7">
      <c r="B356" s="220"/>
      <c r="C356" s="33"/>
      <c r="D356" s="223"/>
      <c r="E356" s="224"/>
      <c r="F356" s="224"/>
      <c r="G356" s="33"/>
    </row>
    <row r="357" spans="2:7">
      <c r="B357" s="220"/>
      <c r="C357" s="33"/>
      <c r="D357" s="223"/>
      <c r="E357" s="224"/>
      <c r="F357" s="224"/>
      <c r="G357" s="33"/>
    </row>
    <row r="358" spans="2:7">
      <c r="B358" s="220"/>
      <c r="C358" s="33"/>
      <c r="D358" s="223"/>
      <c r="E358" s="224"/>
      <c r="F358" s="224"/>
      <c r="G358" s="33"/>
    </row>
    <row r="359" spans="2:7" ht="15.75" thickBot="1">
      <c r="B359" s="221"/>
      <c r="C359" s="34"/>
      <c r="D359" s="221"/>
      <c r="E359" s="225"/>
      <c r="F359" s="225"/>
      <c r="G359" s="34"/>
    </row>
    <row r="360" spans="2:7" ht="15.75" thickBot="1">
      <c r="B360" s="221">
        <f>SUM(B346:B359)</f>
        <v>45</v>
      </c>
      <c r="C360" s="34" t="s">
        <v>66</v>
      </c>
      <c r="D360" s="221">
        <f>SUM(D346:D359)</f>
        <v>0</v>
      </c>
      <c r="E360" s="221">
        <f>SUM(E346:E359)</f>
        <v>0</v>
      </c>
      <c r="F360" s="221">
        <f>SUM(F346:F359)</f>
        <v>0</v>
      </c>
      <c r="G360" s="34" t="s">
        <v>66</v>
      </c>
    </row>
    <row r="361" spans="2:7" ht="15.75" thickBot="1">
      <c r="B361" s="5"/>
      <c r="C361" s="3"/>
      <c r="D361" s="5"/>
      <c r="E361" s="5"/>
    </row>
    <row r="362" spans="2:7" ht="14.45" customHeight="1">
      <c r="B362" s="289" t="str">
        <f>'2018'!A38</f>
        <v>Gastos Curros</v>
      </c>
      <c r="C362" s="290"/>
      <c r="D362" s="290"/>
      <c r="E362" s="290"/>
      <c r="F362" s="290"/>
      <c r="G362" s="291"/>
    </row>
    <row r="363" spans="2:7" ht="15" customHeight="1" thickBot="1">
      <c r="B363" s="292"/>
      <c r="C363" s="293"/>
      <c r="D363" s="293"/>
      <c r="E363" s="293"/>
      <c r="F363" s="293"/>
      <c r="G363" s="294"/>
    </row>
    <row r="364" spans="2:7">
      <c r="B364" s="297" t="s">
        <v>10</v>
      </c>
      <c r="C364" s="296"/>
      <c r="D364" s="295" t="s">
        <v>11</v>
      </c>
      <c r="E364" s="295"/>
      <c r="F364" s="295"/>
      <c r="G364" s="296"/>
    </row>
    <row r="365" spans="2:7">
      <c r="B365" s="218" t="s">
        <v>32</v>
      </c>
      <c r="C365" s="60" t="s">
        <v>33</v>
      </c>
      <c r="D365" s="218" t="s">
        <v>68</v>
      </c>
      <c r="E365" s="222" t="s">
        <v>69</v>
      </c>
      <c r="F365" s="222" t="s">
        <v>32</v>
      </c>
      <c r="G365" s="60" t="s">
        <v>393</v>
      </c>
    </row>
    <row r="366" spans="2:7">
      <c r="B366" s="219">
        <v>70</v>
      </c>
      <c r="C366" s="36" t="s">
        <v>36</v>
      </c>
      <c r="D366" s="223">
        <f>5.39</f>
        <v>5.39</v>
      </c>
      <c r="E366" s="224"/>
      <c r="F366" s="224">
        <f>2.8+4.5+3.7+4.5</f>
        <v>15.5</v>
      </c>
      <c r="G366" s="70" t="s">
        <v>91</v>
      </c>
    </row>
    <row r="367" spans="2:7">
      <c r="B367" s="220"/>
      <c r="C367" s="33"/>
      <c r="D367" s="223"/>
      <c r="E367" s="224"/>
      <c r="F367" s="224"/>
      <c r="G367" s="70"/>
    </row>
    <row r="368" spans="2:7">
      <c r="B368" s="220"/>
      <c r="C368" s="33"/>
      <c r="D368" s="223"/>
      <c r="E368" s="224"/>
      <c r="F368" s="224"/>
      <c r="G368" s="33"/>
    </row>
    <row r="369" spans="2:7">
      <c r="B369" s="220"/>
      <c r="C369" s="33"/>
      <c r="D369" s="223"/>
      <c r="E369" s="224"/>
      <c r="F369" s="224"/>
      <c r="G369" s="33"/>
    </row>
    <row r="370" spans="2:7">
      <c r="B370" s="220"/>
      <c r="C370" s="33"/>
      <c r="D370" s="223"/>
      <c r="E370" s="224"/>
      <c r="F370" s="224"/>
      <c r="G370" s="33"/>
    </row>
    <row r="371" spans="2:7">
      <c r="B371" s="220"/>
      <c r="C371" s="33"/>
      <c r="D371" s="223"/>
      <c r="E371" s="224"/>
      <c r="F371" s="224"/>
      <c r="G371" s="33"/>
    </row>
    <row r="372" spans="2:7">
      <c r="B372" s="220"/>
      <c r="C372" s="33"/>
      <c r="D372" s="223"/>
      <c r="E372" s="224"/>
      <c r="F372" s="224"/>
      <c r="G372" s="33"/>
    </row>
    <row r="373" spans="2:7">
      <c r="B373" s="220"/>
      <c r="C373" s="33"/>
      <c r="D373" s="223"/>
      <c r="E373" s="224"/>
      <c r="F373" s="224"/>
      <c r="G373" s="33"/>
    </row>
    <row r="374" spans="2:7">
      <c r="B374" s="220"/>
      <c r="C374" s="33"/>
      <c r="D374" s="223"/>
      <c r="E374" s="224"/>
      <c r="F374" s="224"/>
      <c r="G374" s="33"/>
    </row>
    <row r="375" spans="2:7">
      <c r="B375" s="220"/>
      <c r="C375" s="33"/>
      <c r="D375" s="223"/>
      <c r="E375" s="224"/>
      <c r="F375" s="224"/>
      <c r="G375" s="33"/>
    </row>
    <row r="376" spans="2:7">
      <c r="B376" s="220"/>
      <c r="C376" s="33"/>
      <c r="D376" s="223"/>
      <c r="E376" s="224"/>
      <c r="F376" s="224"/>
      <c r="G376" s="33"/>
    </row>
    <row r="377" spans="2:7">
      <c r="B377" s="220"/>
      <c r="C377" s="33"/>
      <c r="D377" s="223"/>
      <c r="E377" s="224"/>
      <c r="F377" s="224"/>
      <c r="G377" s="33"/>
    </row>
    <row r="378" spans="2:7">
      <c r="B378" s="220"/>
      <c r="C378" s="33"/>
      <c r="D378" s="223"/>
      <c r="E378" s="224"/>
      <c r="F378" s="224"/>
      <c r="G378" s="33"/>
    </row>
    <row r="379" spans="2:7" ht="15.75" thickBot="1">
      <c r="B379" s="221"/>
      <c r="C379" s="34"/>
      <c r="D379" s="221"/>
      <c r="E379" s="225"/>
      <c r="F379" s="225"/>
      <c r="G379" s="34"/>
    </row>
    <row r="380" spans="2:7" ht="15.75" thickBot="1">
      <c r="B380" s="221">
        <f>SUM(B366:B379)</f>
        <v>70</v>
      </c>
      <c r="C380" s="34" t="s">
        <v>66</v>
      </c>
      <c r="D380" s="221">
        <f>SUM(D366:D379)</f>
        <v>5.39</v>
      </c>
      <c r="E380" s="221">
        <f>SUM(E366:E379)</f>
        <v>0</v>
      </c>
      <c r="F380" s="221">
        <f>SUM(F366:F379)</f>
        <v>15.5</v>
      </c>
      <c r="G380" s="34" t="s">
        <v>66</v>
      </c>
    </row>
    <row r="381" spans="2:7" ht="15.75" thickBot="1">
      <c r="B381" s="5"/>
      <c r="C381" s="3"/>
      <c r="D381" s="5"/>
      <c r="E381" s="5"/>
    </row>
    <row r="382" spans="2:7" ht="14.45" customHeight="1">
      <c r="B382" s="289" t="str">
        <f>'2018'!A39</f>
        <v>Dreamed Holidays</v>
      </c>
      <c r="C382" s="290"/>
      <c r="D382" s="290"/>
      <c r="E382" s="290"/>
      <c r="F382" s="290"/>
      <c r="G382" s="291"/>
    </row>
    <row r="383" spans="2:7" ht="15" customHeight="1" thickBot="1">
      <c r="B383" s="292"/>
      <c r="C383" s="293"/>
      <c r="D383" s="293"/>
      <c r="E383" s="293"/>
      <c r="F383" s="293"/>
      <c r="G383" s="294"/>
    </row>
    <row r="384" spans="2:7">
      <c r="B384" s="297" t="s">
        <v>10</v>
      </c>
      <c r="C384" s="296"/>
      <c r="D384" s="295" t="s">
        <v>11</v>
      </c>
      <c r="E384" s="295"/>
      <c r="F384" s="295"/>
      <c r="G384" s="296"/>
    </row>
    <row r="385" spans="2:7">
      <c r="B385" s="218" t="s">
        <v>32</v>
      </c>
      <c r="C385" s="60" t="s">
        <v>33</v>
      </c>
      <c r="D385" s="218" t="s">
        <v>68</v>
      </c>
      <c r="E385" s="222" t="s">
        <v>69</v>
      </c>
      <c r="F385" s="222" t="s">
        <v>32</v>
      </c>
      <c r="G385" s="60" t="s">
        <v>33</v>
      </c>
    </row>
    <row r="386" spans="2:7">
      <c r="B386" s="219">
        <v>20</v>
      </c>
      <c r="C386" s="36"/>
      <c r="D386" s="223"/>
      <c r="E386" s="224"/>
      <c r="F386" s="224"/>
      <c r="G386" s="33"/>
    </row>
    <row r="387" spans="2:7">
      <c r="B387" s="220"/>
      <c r="C387" s="33"/>
      <c r="D387" s="223"/>
      <c r="E387" s="224"/>
      <c r="F387" s="224"/>
      <c r="G387" s="33"/>
    </row>
    <row r="388" spans="2:7">
      <c r="B388" s="220"/>
      <c r="C388" s="33"/>
      <c r="D388" s="223"/>
      <c r="E388" s="224"/>
      <c r="F388" s="224"/>
      <c r="G388" s="33"/>
    </row>
    <row r="389" spans="2:7">
      <c r="B389" s="220"/>
      <c r="C389" s="33"/>
      <c r="D389" s="223"/>
      <c r="E389" s="224"/>
      <c r="F389" s="224"/>
      <c r="G389" s="33"/>
    </row>
    <row r="390" spans="2:7">
      <c r="B390" s="220"/>
      <c r="C390" s="33"/>
      <c r="D390" s="223"/>
      <c r="E390" s="224"/>
      <c r="F390" s="224"/>
      <c r="G390" s="33"/>
    </row>
    <row r="391" spans="2:7">
      <c r="B391" s="220"/>
      <c r="C391" s="33"/>
      <c r="D391" s="223"/>
      <c r="E391" s="224"/>
      <c r="F391" s="224"/>
      <c r="G391" s="33"/>
    </row>
    <row r="392" spans="2:7">
      <c r="B392" s="220"/>
      <c r="C392" s="33"/>
      <c r="D392" s="223"/>
      <c r="E392" s="224"/>
      <c r="F392" s="224"/>
      <c r="G392" s="33"/>
    </row>
    <row r="393" spans="2:7">
      <c r="B393" s="220"/>
      <c r="C393" s="33"/>
      <c r="D393" s="223"/>
      <c r="E393" s="224"/>
      <c r="F393" s="224"/>
      <c r="G393" s="33"/>
    </row>
    <row r="394" spans="2:7">
      <c r="B394" s="220"/>
      <c r="C394" s="33"/>
      <c r="D394" s="223"/>
      <c r="E394" s="224"/>
      <c r="F394" s="224"/>
      <c r="G394" s="33"/>
    </row>
    <row r="395" spans="2:7">
      <c r="B395" s="220"/>
      <c r="C395" s="33"/>
      <c r="D395" s="223"/>
      <c r="E395" s="224"/>
      <c r="F395" s="224"/>
      <c r="G395" s="33"/>
    </row>
    <row r="396" spans="2:7">
      <c r="B396" s="220"/>
      <c r="C396" s="33"/>
      <c r="D396" s="223"/>
      <c r="E396" s="224"/>
      <c r="F396" s="224"/>
      <c r="G396" s="33"/>
    </row>
    <row r="397" spans="2:7">
      <c r="B397" s="220"/>
      <c r="C397" s="33"/>
      <c r="D397" s="223"/>
      <c r="E397" s="224"/>
      <c r="F397" s="224"/>
      <c r="G397" s="33"/>
    </row>
    <row r="398" spans="2:7">
      <c r="B398" s="220"/>
      <c r="C398" s="33"/>
      <c r="D398" s="223"/>
      <c r="E398" s="224"/>
      <c r="F398" s="224"/>
      <c r="G398" s="33"/>
    </row>
    <row r="399" spans="2:7" ht="15.75" thickBot="1">
      <c r="B399" s="221"/>
      <c r="C399" s="34"/>
      <c r="D399" s="221"/>
      <c r="E399" s="225"/>
      <c r="F399" s="225"/>
      <c r="G399" s="34"/>
    </row>
    <row r="400" spans="2:7" ht="15.75" thickBot="1">
      <c r="B400" s="221">
        <f>SUM(B386:B399)</f>
        <v>20</v>
      </c>
      <c r="C400" s="34" t="s">
        <v>66</v>
      </c>
      <c r="D400" s="221">
        <f>SUM(D386:D399)</f>
        <v>0</v>
      </c>
      <c r="E400" s="221">
        <f>SUM(E386:E399)</f>
        <v>0</v>
      </c>
      <c r="F400" s="221">
        <f>SUM(F386:F399)</f>
        <v>0</v>
      </c>
      <c r="G400" s="34" t="s">
        <v>66</v>
      </c>
    </row>
    <row r="401" spans="2:7" ht="15.75" thickBot="1">
      <c r="B401" s="5"/>
      <c r="C401" s="3"/>
      <c r="D401" s="5"/>
      <c r="E401" s="5"/>
    </row>
    <row r="402" spans="2:7" ht="14.45" customHeight="1">
      <c r="B402" s="289" t="str">
        <f>'2018'!A40</f>
        <v>Financieros</v>
      </c>
      <c r="C402" s="290"/>
      <c r="D402" s="290"/>
      <c r="E402" s="290"/>
      <c r="F402" s="290"/>
      <c r="G402" s="291"/>
    </row>
    <row r="403" spans="2:7" ht="15" customHeight="1" thickBot="1">
      <c r="B403" s="292"/>
      <c r="C403" s="293"/>
      <c r="D403" s="293"/>
      <c r="E403" s="293"/>
      <c r="F403" s="293"/>
      <c r="G403" s="294"/>
    </row>
    <row r="404" spans="2:7">
      <c r="B404" s="297" t="s">
        <v>10</v>
      </c>
      <c r="C404" s="296"/>
      <c r="D404" s="295" t="s">
        <v>11</v>
      </c>
      <c r="E404" s="295"/>
      <c r="F404" s="295"/>
      <c r="G404" s="296"/>
    </row>
    <row r="405" spans="2:7">
      <c r="B405" s="218" t="s">
        <v>32</v>
      </c>
      <c r="C405" s="60" t="s">
        <v>33</v>
      </c>
      <c r="D405" s="218" t="s">
        <v>68</v>
      </c>
      <c r="E405" s="222" t="s">
        <v>69</v>
      </c>
      <c r="F405" s="222" t="s">
        <v>32</v>
      </c>
      <c r="G405" s="60" t="s">
        <v>33</v>
      </c>
    </row>
    <row r="406" spans="2:7">
      <c r="B406" s="219">
        <v>20</v>
      </c>
      <c r="C406" s="36"/>
      <c r="D406" s="223"/>
      <c r="E406" s="224"/>
      <c r="F406" s="224"/>
      <c r="G406" s="33"/>
    </row>
    <row r="407" spans="2:7">
      <c r="B407" s="220"/>
      <c r="C407" s="33"/>
      <c r="D407" s="223"/>
      <c r="E407" s="224"/>
      <c r="F407" s="224"/>
      <c r="G407" s="33"/>
    </row>
    <row r="408" spans="2:7">
      <c r="B408" s="220"/>
      <c r="C408" s="33"/>
      <c r="D408" s="223"/>
      <c r="E408" s="224"/>
      <c r="F408" s="224"/>
      <c r="G408" s="33"/>
    </row>
    <row r="409" spans="2:7">
      <c r="B409" s="220"/>
      <c r="C409" s="33"/>
      <c r="D409" s="223"/>
      <c r="E409" s="224"/>
      <c r="F409" s="224"/>
      <c r="G409" s="33"/>
    </row>
    <row r="410" spans="2:7">
      <c r="B410" s="220"/>
      <c r="C410" s="33"/>
      <c r="D410" s="223"/>
      <c r="E410" s="224"/>
      <c r="F410" s="224"/>
      <c r="G410" s="33"/>
    </row>
    <row r="411" spans="2:7">
      <c r="B411" s="220"/>
      <c r="C411" s="33"/>
      <c r="D411" s="223"/>
      <c r="E411" s="224"/>
      <c r="F411" s="224"/>
      <c r="G411" s="33"/>
    </row>
    <row r="412" spans="2:7">
      <c r="B412" s="220"/>
      <c r="C412" s="33"/>
      <c r="D412" s="223"/>
      <c r="E412" s="224"/>
      <c r="F412" s="224"/>
      <c r="G412" s="33"/>
    </row>
    <row r="413" spans="2:7">
      <c r="B413" s="220"/>
      <c r="C413" s="33"/>
      <c r="D413" s="223"/>
      <c r="E413" s="224"/>
      <c r="F413" s="224"/>
      <c r="G413" s="33"/>
    </row>
    <row r="414" spans="2:7">
      <c r="B414" s="220"/>
      <c r="C414" s="33"/>
      <c r="D414" s="223"/>
      <c r="E414" s="224"/>
      <c r="F414" s="224"/>
      <c r="G414" s="33"/>
    </row>
    <row r="415" spans="2:7">
      <c r="B415" s="220"/>
      <c r="C415" s="33"/>
      <c r="D415" s="223"/>
      <c r="E415" s="224"/>
      <c r="F415" s="224"/>
      <c r="G415" s="33"/>
    </row>
    <row r="416" spans="2:7">
      <c r="B416" s="220"/>
      <c r="C416" s="33"/>
      <c r="D416" s="223"/>
      <c r="E416" s="224"/>
      <c r="F416" s="224"/>
      <c r="G416" s="33"/>
    </row>
    <row r="417" spans="1:7">
      <c r="B417" s="220"/>
      <c r="C417" s="33"/>
      <c r="D417" s="223"/>
      <c r="E417" s="224"/>
      <c r="F417" s="224"/>
      <c r="G417" s="33"/>
    </row>
    <row r="418" spans="1:7">
      <c r="B418" s="220"/>
      <c r="C418" s="33"/>
      <c r="D418" s="223"/>
      <c r="E418" s="224"/>
      <c r="F418" s="224"/>
      <c r="G418" s="33"/>
    </row>
    <row r="419" spans="1:7" ht="15.75" thickBot="1">
      <c r="B419" s="221"/>
      <c r="C419" s="34"/>
      <c r="D419" s="221"/>
      <c r="E419" s="225"/>
      <c r="F419" s="225"/>
      <c r="G419" s="34"/>
    </row>
    <row r="420" spans="1:7" ht="15.75" thickBot="1">
      <c r="B420" s="221">
        <f>SUM(B406:B419)</f>
        <v>20</v>
      </c>
      <c r="C420" s="34" t="s">
        <v>66</v>
      </c>
      <c r="D420" s="221">
        <f>SUM(D406:D419)</f>
        <v>0</v>
      </c>
      <c r="E420" s="221">
        <f>SUM(E406:E419)</f>
        <v>0</v>
      </c>
      <c r="F420" s="221">
        <f>SUM(F406:F419)</f>
        <v>0</v>
      </c>
      <c r="G420" s="34" t="s">
        <v>66</v>
      </c>
    </row>
    <row r="421" spans="1:7" ht="15.75" thickBot="1">
      <c r="B421" s="5"/>
      <c r="C421" s="3"/>
      <c r="D421" s="5"/>
      <c r="E421" s="5"/>
    </row>
    <row r="422" spans="1:7" ht="14.45" customHeight="1">
      <c r="B422" s="289" t="str">
        <f>'2018'!A41</f>
        <v>Ahorros Colchón</v>
      </c>
      <c r="C422" s="307"/>
      <c r="D422" s="307"/>
      <c r="E422" s="307"/>
      <c r="F422" s="307"/>
      <c r="G422" s="308"/>
    </row>
    <row r="423" spans="1:7" ht="15" customHeight="1" thickBot="1">
      <c r="B423" s="309"/>
      <c r="C423" s="310"/>
      <c r="D423" s="310"/>
      <c r="E423" s="310"/>
      <c r="F423" s="310"/>
      <c r="G423" s="311"/>
    </row>
    <row r="424" spans="1:7">
      <c r="B424" s="297" t="s">
        <v>10</v>
      </c>
      <c r="C424" s="296"/>
      <c r="D424" s="295" t="s">
        <v>11</v>
      </c>
      <c r="E424" s="295"/>
      <c r="F424" s="295"/>
      <c r="G424" s="296"/>
    </row>
    <row r="425" spans="1:7">
      <c r="A425" s="137" t="s">
        <v>703</v>
      </c>
      <c r="B425" s="218" t="s">
        <v>32</v>
      </c>
      <c r="C425" s="60" t="s">
        <v>33</v>
      </c>
      <c r="D425" s="218" t="s">
        <v>68</v>
      </c>
      <c r="E425" s="222" t="s">
        <v>69</v>
      </c>
      <c r="F425" s="222" t="s">
        <v>32</v>
      </c>
      <c r="G425" s="60" t="s">
        <v>33</v>
      </c>
    </row>
    <row r="426" spans="1:7" ht="15.75">
      <c r="A426" s="163">
        <f>3900+34.53+318.28</f>
        <v>4252.8100000000004</v>
      </c>
      <c r="B426" s="220">
        <f>'2018'!AU17 -A426</f>
        <v>-2669.5400000000004</v>
      </c>
      <c r="C426" s="36" t="s">
        <v>635</v>
      </c>
      <c r="D426" s="223"/>
      <c r="E426" s="224"/>
      <c r="F426" s="224"/>
      <c r="G426" s="33"/>
    </row>
    <row r="427" spans="1:7">
      <c r="A427" s="164"/>
      <c r="B427" s="220"/>
      <c r="C427" s="33"/>
      <c r="D427" s="223"/>
      <c r="E427" s="224"/>
      <c r="F427" s="224"/>
      <c r="G427" s="33"/>
    </row>
    <row r="428" spans="1:7">
      <c r="A428" s="164"/>
      <c r="B428" s="220"/>
      <c r="C428" s="33"/>
      <c r="D428" s="223"/>
      <c r="E428" s="224"/>
      <c r="F428" s="224"/>
      <c r="G428" s="33"/>
    </row>
    <row r="429" spans="1:7">
      <c r="A429" s="164"/>
      <c r="B429" s="220"/>
      <c r="C429" s="33"/>
      <c r="D429" s="223"/>
      <c r="E429" s="224"/>
      <c r="F429" s="224"/>
      <c r="G429" s="33"/>
    </row>
    <row r="430" spans="1:7">
      <c r="A430" s="164"/>
      <c r="B430" s="220"/>
      <c r="C430" s="33"/>
      <c r="D430" s="223"/>
      <c r="E430" s="224"/>
      <c r="F430" s="224"/>
      <c r="G430" s="33"/>
    </row>
    <row r="431" spans="1:7">
      <c r="B431" s="220"/>
      <c r="C431" s="33"/>
      <c r="D431" s="223"/>
      <c r="E431" s="224"/>
      <c r="F431" s="224"/>
      <c r="G431" s="33"/>
    </row>
    <row r="432" spans="1:7">
      <c r="B432" s="220"/>
      <c r="C432" s="33"/>
      <c r="D432" s="223"/>
      <c r="E432" s="224"/>
      <c r="F432" s="224"/>
      <c r="G432" s="33"/>
    </row>
    <row r="433" spans="2:7">
      <c r="B433" s="220"/>
      <c r="C433" s="33"/>
      <c r="D433" s="223"/>
      <c r="E433" s="224"/>
      <c r="F433" s="224"/>
      <c r="G433" s="33"/>
    </row>
    <row r="434" spans="2:7">
      <c r="B434" s="220"/>
      <c r="C434" s="33"/>
      <c r="D434" s="223"/>
      <c r="E434" s="224"/>
      <c r="F434" s="224"/>
      <c r="G434" s="33"/>
    </row>
    <row r="435" spans="2:7">
      <c r="B435" s="220"/>
      <c r="C435" s="33"/>
      <c r="D435" s="223"/>
      <c r="E435" s="224"/>
      <c r="F435" s="224"/>
      <c r="G435" s="33"/>
    </row>
    <row r="436" spans="2:7">
      <c r="B436" s="220"/>
      <c r="C436" s="33"/>
      <c r="D436" s="223"/>
      <c r="E436" s="224"/>
      <c r="F436" s="224"/>
      <c r="G436" s="33"/>
    </row>
    <row r="437" spans="2:7">
      <c r="B437" s="220"/>
      <c r="C437" s="33"/>
      <c r="D437" s="223"/>
      <c r="E437" s="224"/>
      <c r="F437" s="224"/>
      <c r="G437" s="33"/>
    </row>
    <row r="438" spans="2:7">
      <c r="B438" s="220"/>
      <c r="C438" s="33"/>
      <c r="D438" s="223"/>
      <c r="E438" s="224"/>
      <c r="F438" s="224"/>
      <c r="G438" s="33"/>
    </row>
    <row r="439" spans="2:7" ht="15.75" thickBot="1">
      <c r="B439" s="221"/>
      <c r="C439" s="34"/>
      <c r="D439" s="221"/>
      <c r="E439" s="225"/>
      <c r="F439" s="225"/>
      <c r="G439" s="34"/>
    </row>
    <row r="440" spans="2:7" ht="15.75" thickBot="1">
      <c r="B440" s="221">
        <f>SUM(B426:B439)</f>
        <v>-2669.5400000000004</v>
      </c>
      <c r="C440" s="34" t="s">
        <v>66</v>
      </c>
      <c r="D440" s="221">
        <f>SUM(D426:D439)</f>
        <v>0</v>
      </c>
      <c r="E440" s="221">
        <f>SUM(E426:E439)</f>
        <v>0</v>
      </c>
      <c r="F440" s="221">
        <f>SUM(F426:F439)</f>
        <v>0</v>
      </c>
      <c r="G440" s="34" t="s">
        <v>66</v>
      </c>
    </row>
    <row r="441" spans="2:7" ht="15.75" thickBot="1">
      <c r="B441" s="5"/>
      <c r="C441" s="3"/>
      <c r="D441" s="5"/>
      <c r="E441" s="5"/>
    </row>
    <row r="442" spans="2:7" ht="14.45" customHeight="1">
      <c r="B442" s="289" t="str">
        <f>'2018'!A42</f>
        <v>Dinero Bloqueado</v>
      </c>
      <c r="C442" s="307"/>
      <c r="D442" s="307"/>
      <c r="E442" s="307"/>
      <c r="F442" s="307"/>
      <c r="G442" s="308"/>
    </row>
    <row r="443" spans="2:7" ht="15" customHeight="1" thickBot="1">
      <c r="B443" s="309"/>
      <c r="C443" s="310"/>
      <c r="D443" s="310"/>
      <c r="E443" s="310"/>
      <c r="F443" s="310"/>
      <c r="G443" s="311"/>
    </row>
    <row r="444" spans="2:7">
      <c r="B444" s="297" t="s">
        <v>10</v>
      </c>
      <c r="C444" s="296"/>
      <c r="D444" s="295" t="s">
        <v>11</v>
      </c>
      <c r="E444" s="295"/>
      <c r="F444" s="295"/>
      <c r="G444" s="296"/>
    </row>
    <row r="445" spans="2:7">
      <c r="B445" s="218" t="s">
        <v>32</v>
      </c>
      <c r="C445" s="60" t="s">
        <v>33</v>
      </c>
      <c r="D445" s="218" t="s">
        <v>68</v>
      </c>
      <c r="E445" s="222" t="s">
        <v>69</v>
      </c>
      <c r="F445" s="222" t="s">
        <v>32</v>
      </c>
      <c r="G445" s="60" t="s">
        <v>33</v>
      </c>
    </row>
    <row r="446" spans="2:7">
      <c r="B446" s="219"/>
      <c r="C446" s="36"/>
      <c r="D446" s="223"/>
      <c r="E446" s="224"/>
      <c r="F446" s="224"/>
      <c r="G446" s="33"/>
    </row>
    <row r="447" spans="2:7">
      <c r="B447" s="220"/>
      <c r="C447" s="33"/>
      <c r="D447" s="223"/>
      <c r="E447" s="224"/>
      <c r="F447" s="224"/>
      <c r="G447" s="33"/>
    </row>
    <row r="448" spans="2:7">
      <c r="B448" s="220"/>
      <c r="C448" s="33"/>
      <c r="D448" s="223"/>
      <c r="E448" s="224"/>
      <c r="F448" s="224"/>
      <c r="G448" s="33"/>
    </row>
    <row r="449" spans="2:7">
      <c r="B449" s="220"/>
      <c r="C449" s="33"/>
      <c r="D449" s="223"/>
      <c r="E449" s="224"/>
      <c r="F449" s="224"/>
      <c r="G449" s="33"/>
    </row>
    <row r="450" spans="2:7">
      <c r="B450" s="220"/>
      <c r="C450" s="33"/>
      <c r="D450" s="223"/>
      <c r="E450" s="224"/>
      <c r="F450" s="224"/>
      <c r="G450" s="33"/>
    </row>
    <row r="451" spans="2:7">
      <c r="B451" s="220"/>
      <c r="C451" s="33"/>
      <c r="D451" s="223"/>
      <c r="E451" s="224"/>
      <c r="F451" s="224"/>
      <c r="G451" s="33"/>
    </row>
    <row r="452" spans="2:7">
      <c r="B452" s="220"/>
      <c r="C452" s="33"/>
      <c r="D452" s="223"/>
      <c r="E452" s="224"/>
      <c r="F452" s="224"/>
      <c r="G452" s="33"/>
    </row>
    <row r="453" spans="2:7">
      <c r="B453" s="220"/>
      <c r="C453" s="33"/>
      <c r="D453" s="223"/>
      <c r="E453" s="224"/>
      <c r="F453" s="224"/>
      <c r="G453" s="33"/>
    </row>
    <row r="454" spans="2:7">
      <c r="B454" s="220"/>
      <c r="C454" s="33"/>
      <c r="D454" s="223"/>
      <c r="E454" s="224"/>
      <c r="F454" s="224"/>
      <c r="G454" s="33"/>
    </row>
    <row r="455" spans="2:7">
      <c r="B455" s="220"/>
      <c r="C455" s="33"/>
      <c r="D455" s="223"/>
      <c r="E455" s="224"/>
      <c r="F455" s="224"/>
      <c r="G455" s="33"/>
    </row>
    <row r="456" spans="2:7">
      <c r="B456" s="220"/>
      <c r="C456" s="33"/>
      <c r="D456" s="223"/>
      <c r="E456" s="224"/>
      <c r="F456" s="224"/>
      <c r="G456" s="33"/>
    </row>
    <row r="457" spans="2:7">
      <c r="B457" s="220"/>
      <c r="C457" s="33"/>
      <c r="D457" s="223"/>
      <c r="E457" s="224"/>
      <c r="F457" s="224"/>
      <c r="G457" s="33"/>
    </row>
    <row r="458" spans="2:7">
      <c r="B458" s="220"/>
      <c r="C458" s="33"/>
      <c r="D458" s="223"/>
      <c r="E458" s="224"/>
      <c r="F458" s="224"/>
      <c r="G458" s="33"/>
    </row>
    <row r="459" spans="2:7" ht="15.75" thickBot="1">
      <c r="B459" s="221"/>
      <c r="C459" s="34"/>
      <c r="D459" s="221"/>
      <c r="E459" s="225"/>
      <c r="F459" s="225"/>
      <c r="G459" s="34"/>
    </row>
    <row r="460" spans="2:7" ht="15.75" thickBot="1">
      <c r="B460" s="221">
        <f>SUM(B446:B459)</f>
        <v>0</v>
      </c>
      <c r="C460" s="34" t="s">
        <v>66</v>
      </c>
      <c r="D460" s="221">
        <f>SUM(D446:D459)</f>
        <v>0</v>
      </c>
      <c r="E460" s="221">
        <f>SUM(E446:E459)</f>
        <v>0</v>
      </c>
      <c r="F460" s="221">
        <f>SUM(F446:F459)</f>
        <v>0</v>
      </c>
      <c r="G460" s="34" t="s">
        <v>66</v>
      </c>
    </row>
    <row r="461" spans="2:7" ht="15.75" thickBot="1">
      <c r="B461" s="5"/>
      <c r="C461" s="3"/>
      <c r="D461" s="5"/>
      <c r="E461" s="5"/>
    </row>
    <row r="462" spans="2:7" ht="14.45" customHeight="1">
      <c r="B462" s="289" t="str">
        <f>'2018'!A43</f>
        <v>Cartama Finanazas</v>
      </c>
      <c r="C462" s="307"/>
      <c r="D462" s="307"/>
      <c r="E462" s="307"/>
      <c r="F462" s="307"/>
      <c r="G462" s="308"/>
    </row>
    <row r="463" spans="2:7" ht="15" customHeight="1" thickBot="1">
      <c r="B463" s="309"/>
      <c r="C463" s="310"/>
      <c r="D463" s="310"/>
      <c r="E463" s="310"/>
      <c r="F463" s="310"/>
      <c r="G463" s="311"/>
    </row>
    <row r="464" spans="2:7">
      <c r="B464" s="297" t="s">
        <v>10</v>
      </c>
      <c r="C464" s="296"/>
      <c r="D464" s="295" t="s">
        <v>11</v>
      </c>
      <c r="E464" s="295"/>
      <c r="F464" s="295"/>
      <c r="G464" s="296"/>
    </row>
    <row r="465" spans="1:8">
      <c r="A465" s="137" t="s">
        <v>608</v>
      </c>
      <c r="B465" s="218" t="s">
        <v>32</v>
      </c>
      <c r="C465" s="60" t="s">
        <v>33</v>
      </c>
      <c r="D465" s="218" t="s">
        <v>68</v>
      </c>
      <c r="E465" s="222" t="s">
        <v>69</v>
      </c>
      <c r="F465" s="222" t="s">
        <v>32</v>
      </c>
      <c r="G465" s="60" t="s">
        <v>33</v>
      </c>
    </row>
    <row r="466" spans="1:8" ht="15.75">
      <c r="A466" s="163">
        <f>'11'!A466+B466-E466</f>
        <v>346</v>
      </c>
      <c r="B466" s="220">
        <v>25</v>
      </c>
      <c r="C466" s="33" t="s">
        <v>484</v>
      </c>
      <c r="D466" s="223"/>
      <c r="E466" s="224"/>
      <c r="F466" s="224"/>
      <c r="G466" s="33"/>
    </row>
    <row r="467" spans="1:8" ht="15.75">
      <c r="A467" s="163">
        <f>'11'!A467+B467-E467</f>
        <v>55</v>
      </c>
      <c r="B467" s="220">
        <v>20</v>
      </c>
      <c r="C467" s="33" t="s">
        <v>609</v>
      </c>
      <c r="D467" s="223"/>
      <c r="E467" s="224"/>
      <c r="F467" s="224"/>
      <c r="G467" s="33"/>
      <c r="H467" s="164"/>
    </row>
    <row r="468" spans="1:8" ht="15.75">
      <c r="A468" s="163">
        <f>'11'!A468+B468-E468</f>
        <v>15</v>
      </c>
      <c r="B468" s="220">
        <v>5</v>
      </c>
      <c r="C468" s="33" t="s">
        <v>610</v>
      </c>
      <c r="D468" s="223"/>
      <c r="E468" s="224"/>
      <c r="F468" s="224"/>
      <c r="G468" s="33"/>
      <c r="H468" s="164"/>
    </row>
    <row r="469" spans="1:8">
      <c r="B469" s="220"/>
      <c r="C469" s="33"/>
      <c r="D469" s="223"/>
      <c r="E469" s="224"/>
      <c r="F469" s="224"/>
      <c r="G469" s="33"/>
    </row>
    <row r="470" spans="1:8">
      <c r="B470" s="220"/>
      <c r="C470" s="33"/>
      <c r="D470" s="223"/>
      <c r="E470" s="224"/>
      <c r="F470" s="224"/>
      <c r="G470" s="33"/>
    </row>
    <row r="471" spans="1:8">
      <c r="B471" s="220"/>
      <c r="C471" s="33"/>
      <c r="D471" s="223"/>
      <c r="E471" s="224"/>
      <c r="F471" s="224"/>
      <c r="G471" s="33"/>
    </row>
    <row r="472" spans="1:8">
      <c r="B472" s="220"/>
      <c r="C472" s="33"/>
      <c r="D472" s="223"/>
      <c r="E472" s="224"/>
      <c r="F472" s="224"/>
      <c r="G472" s="33"/>
    </row>
    <row r="473" spans="1:8">
      <c r="B473" s="220"/>
      <c r="C473" s="33"/>
      <c r="D473" s="223"/>
      <c r="E473" s="224"/>
      <c r="F473" s="224"/>
      <c r="G473" s="33"/>
    </row>
    <row r="474" spans="1:8">
      <c r="B474" s="220"/>
      <c r="C474" s="33"/>
      <c r="D474" s="223"/>
      <c r="E474" s="224"/>
      <c r="F474" s="224"/>
      <c r="G474" s="33"/>
    </row>
    <row r="475" spans="1:8">
      <c r="B475" s="220"/>
      <c r="C475" s="33"/>
      <c r="D475" s="223"/>
      <c r="E475" s="224"/>
      <c r="F475" s="224"/>
      <c r="G475" s="33"/>
    </row>
    <row r="476" spans="1:8">
      <c r="B476" s="220"/>
      <c r="C476" s="33"/>
      <c r="D476" s="223"/>
      <c r="E476" s="224"/>
      <c r="F476" s="224"/>
      <c r="G476" s="33"/>
    </row>
    <row r="477" spans="1:8">
      <c r="B477" s="220"/>
      <c r="C477" s="33"/>
      <c r="D477" s="223"/>
      <c r="E477" s="224"/>
      <c r="F477" s="224"/>
      <c r="G477" s="33"/>
    </row>
    <row r="478" spans="1:8">
      <c r="B478" s="220"/>
      <c r="C478" s="33"/>
      <c r="D478" s="223"/>
      <c r="E478" s="224"/>
      <c r="F478" s="224"/>
      <c r="G478" s="33"/>
    </row>
    <row r="479" spans="1:8" ht="15.75" thickBot="1">
      <c r="B479" s="221"/>
      <c r="C479" s="34"/>
      <c r="D479" s="221"/>
      <c r="E479" s="225"/>
      <c r="F479" s="225"/>
      <c r="G479" s="34"/>
    </row>
    <row r="480" spans="1:8" ht="15.75" thickBot="1">
      <c r="A480" s="164">
        <f>SUM(A466:A468)</f>
        <v>416</v>
      </c>
      <c r="B480" s="221">
        <f>SUM(B466:B479)</f>
        <v>50</v>
      </c>
      <c r="C480" s="34" t="s">
        <v>66</v>
      </c>
      <c r="D480" s="221">
        <f>SUM(D466:D479)</f>
        <v>0</v>
      </c>
      <c r="E480" s="221">
        <f>SUM(E466:E479)</f>
        <v>0</v>
      </c>
      <c r="F480" s="221">
        <f>SUM(F466:F479)</f>
        <v>0</v>
      </c>
      <c r="G480" s="34" t="s">
        <v>66</v>
      </c>
    </row>
    <row r="481" spans="2:7" ht="15.75" thickBot="1"/>
    <row r="482" spans="2:7" ht="14.45" customHeight="1">
      <c r="B482" s="289" t="str">
        <f>'2018'!A44</f>
        <v>NULO</v>
      </c>
      <c r="C482" s="307"/>
      <c r="D482" s="307"/>
      <c r="E482" s="307"/>
      <c r="F482" s="307"/>
      <c r="G482" s="308"/>
    </row>
    <row r="483" spans="2:7" ht="15" customHeight="1" thickBot="1">
      <c r="B483" s="309"/>
      <c r="C483" s="310"/>
      <c r="D483" s="310"/>
      <c r="E483" s="310"/>
      <c r="F483" s="310"/>
      <c r="G483" s="311"/>
    </row>
    <row r="484" spans="2:7">
      <c r="B484" s="297" t="s">
        <v>10</v>
      </c>
      <c r="C484" s="296"/>
      <c r="D484" s="295" t="s">
        <v>11</v>
      </c>
      <c r="E484" s="295"/>
      <c r="F484" s="295"/>
      <c r="G484" s="296"/>
    </row>
    <row r="485" spans="2:7">
      <c r="B485" s="218" t="s">
        <v>32</v>
      </c>
      <c r="C485" s="60" t="s">
        <v>33</v>
      </c>
      <c r="D485" s="218" t="s">
        <v>68</v>
      </c>
      <c r="E485" s="222" t="s">
        <v>69</v>
      </c>
      <c r="F485" s="222" t="s">
        <v>32</v>
      </c>
      <c r="G485" s="60" t="s">
        <v>33</v>
      </c>
    </row>
    <row r="486" spans="2:7">
      <c r="B486" s="219"/>
      <c r="C486" s="36"/>
      <c r="D486" s="223"/>
      <c r="E486" s="224"/>
      <c r="F486" s="224"/>
      <c r="G486" s="33"/>
    </row>
    <row r="487" spans="2:7">
      <c r="B487" s="220"/>
      <c r="C487" s="33"/>
      <c r="D487" s="223"/>
      <c r="E487" s="224"/>
      <c r="F487" s="224"/>
      <c r="G487" s="33"/>
    </row>
    <row r="488" spans="2:7">
      <c r="B488" s="220"/>
      <c r="C488" s="33"/>
      <c r="D488" s="223"/>
      <c r="E488" s="224"/>
      <c r="F488" s="224"/>
      <c r="G488" s="33"/>
    </row>
    <row r="489" spans="2:7">
      <c r="B489" s="220"/>
      <c r="C489" s="33"/>
      <c r="D489" s="223"/>
      <c r="E489" s="224"/>
      <c r="F489" s="224"/>
      <c r="G489" s="33"/>
    </row>
    <row r="490" spans="2:7">
      <c r="B490" s="220"/>
      <c r="C490" s="33"/>
      <c r="D490" s="223"/>
      <c r="E490" s="224"/>
      <c r="F490" s="224"/>
      <c r="G490" s="33"/>
    </row>
    <row r="491" spans="2:7">
      <c r="B491" s="220"/>
      <c r="C491" s="33"/>
      <c r="D491" s="223"/>
      <c r="E491" s="224"/>
      <c r="F491" s="224"/>
      <c r="G491" s="33"/>
    </row>
    <row r="492" spans="2:7">
      <c r="B492" s="220"/>
      <c r="C492" s="33"/>
      <c r="D492" s="223"/>
      <c r="E492" s="224"/>
      <c r="F492" s="224"/>
      <c r="G492" s="33"/>
    </row>
    <row r="493" spans="2:7">
      <c r="B493" s="220"/>
      <c r="C493" s="33"/>
      <c r="D493" s="223"/>
      <c r="E493" s="224"/>
      <c r="F493" s="224"/>
      <c r="G493" s="33"/>
    </row>
    <row r="494" spans="2:7">
      <c r="B494" s="220"/>
      <c r="C494" s="33"/>
      <c r="D494" s="223"/>
      <c r="E494" s="224"/>
      <c r="F494" s="224"/>
      <c r="G494" s="33"/>
    </row>
    <row r="495" spans="2:7">
      <c r="B495" s="220"/>
      <c r="C495" s="33"/>
      <c r="D495" s="223"/>
      <c r="E495" s="224"/>
      <c r="F495" s="224"/>
      <c r="G495" s="33"/>
    </row>
    <row r="496" spans="2:7">
      <c r="B496" s="220"/>
      <c r="C496" s="33"/>
      <c r="D496" s="223"/>
      <c r="E496" s="224"/>
      <c r="F496" s="224"/>
      <c r="G496" s="33"/>
    </row>
    <row r="497" spans="2:7">
      <c r="B497" s="220"/>
      <c r="C497" s="33"/>
      <c r="D497" s="223"/>
      <c r="E497" s="224"/>
      <c r="F497" s="224"/>
      <c r="G497" s="33"/>
    </row>
    <row r="498" spans="2:7">
      <c r="B498" s="220"/>
      <c r="C498" s="33"/>
      <c r="D498" s="223"/>
      <c r="E498" s="224"/>
      <c r="F498" s="224"/>
      <c r="G498" s="33"/>
    </row>
    <row r="499" spans="2:7" ht="15.75" thickBot="1">
      <c r="B499" s="221"/>
      <c r="C499" s="34"/>
      <c r="D499" s="221"/>
      <c r="E499" s="225"/>
      <c r="F499" s="225"/>
      <c r="G499" s="34"/>
    </row>
    <row r="500" spans="2:7" ht="15.75" thickBot="1">
      <c r="B500" s="221">
        <f>SUM(B486:B499)</f>
        <v>0</v>
      </c>
      <c r="C500" s="34" t="s">
        <v>66</v>
      </c>
      <c r="D500" s="221">
        <f>SUM(D486:D499)</f>
        <v>0</v>
      </c>
      <c r="E500" s="221">
        <f>SUM(E486:E499)</f>
        <v>0</v>
      </c>
      <c r="F500" s="221">
        <f>SUM(F486:F499)</f>
        <v>0</v>
      </c>
      <c r="G500" s="34" t="s">
        <v>66</v>
      </c>
    </row>
    <row r="501" spans="2:7" ht="15.75" thickBot="1">
      <c r="B501" s="5"/>
      <c r="C501" s="3"/>
      <c r="D501" s="5"/>
      <c r="E501" s="5"/>
    </row>
    <row r="502" spans="2:7" ht="14.45" customHeight="1">
      <c r="B502" s="289" t="str">
        <f>'2018'!A45</f>
        <v>OTROS</v>
      </c>
      <c r="C502" s="307"/>
      <c r="D502" s="307"/>
      <c r="E502" s="307"/>
      <c r="F502" s="307"/>
      <c r="G502" s="308"/>
    </row>
    <row r="503" spans="2:7" ht="15" customHeight="1" thickBot="1">
      <c r="B503" s="309"/>
      <c r="C503" s="310"/>
      <c r="D503" s="310"/>
      <c r="E503" s="310"/>
      <c r="F503" s="310"/>
      <c r="G503" s="311"/>
    </row>
    <row r="504" spans="2:7">
      <c r="B504" s="297" t="s">
        <v>10</v>
      </c>
      <c r="C504" s="296"/>
      <c r="D504" s="295" t="s">
        <v>11</v>
      </c>
      <c r="E504" s="295"/>
      <c r="F504" s="295"/>
      <c r="G504" s="296"/>
    </row>
    <row r="505" spans="2:7">
      <c r="B505" s="218" t="s">
        <v>32</v>
      </c>
      <c r="C505" s="60" t="s">
        <v>33</v>
      </c>
      <c r="D505" s="218" t="s">
        <v>68</v>
      </c>
      <c r="E505" s="222" t="s">
        <v>69</v>
      </c>
      <c r="F505" s="222" t="s">
        <v>32</v>
      </c>
      <c r="G505" s="60" t="s">
        <v>33</v>
      </c>
    </row>
    <row r="506" spans="2:7">
      <c r="B506" s="219"/>
      <c r="C506" s="36"/>
      <c r="D506" s="223"/>
      <c r="E506" s="224"/>
      <c r="F506" s="224"/>
      <c r="G506" s="33"/>
    </row>
    <row r="507" spans="2:7">
      <c r="B507" s="220"/>
      <c r="C507" s="33"/>
      <c r="D507" s="223"/>
      <c r="E507" s="224"/>
      <c r="F507" s="224"/>
      <c r="G507" s="33"/>
    </row>
    <row r="508" spans="2:7">
      <c r="B508" s="220"/>
      <c r="C508" s="33"/>
      <c r="D508" s="223"/>
      <c r="E508" s="224"/>
      <c r="F508" s="224"/>
      <c r="G508" s="33"/>
    </row>
    <row r="509" spans="2:7">
      <c r="B509" s="220"/>
      <c r="C509" s="33"/>
      <c r="D509" s="223"/>
      <c r="E509" s="224"/>
      <c r="F509" s="224"/>
      <c r="G509" s="33"/>
    </row>
    <row r="510" spans="2:7">
      <c r="B510" s="220"/>
      <c r="C510" s="33"/>
      <c r="D510" s="223"/>
      <c r="E510" s="224"/>
      <c r="F510" s="224"/>
      <c r="G510" s="33"/>
    </row>
    <row r="511" spans="2:7">
      <c r="B511" s="220"/>
      <c r="C511" s="33"/>
      <c r="D511" s="223"/>
      <c r="E511" s="224"/>
      <c r="F511" s="224"/>
      <c r="G511" s="33"/>
    </row>
    <row r="512" spans="2:7">
      <c r="B512" s="220"/>
      <c r="C512" s="33"/>
      <c r="D512" s="223"/>
      <c r="E512" s="224"/>
      <c r="F512" s="224"/>
      <c r="G512" s="33"/>
    </row>
    <row r="513" spans="2:7">
      <c r="B513" s="220"/>
      <c r="C513" s="33"/>
      <c r="D513" s="223"/>
      <c r="E513" s="224"/>
      <c r="F513" s="224"/>
      <c r="G513" s="33"/>
    </row>
    <row r="514" spans="2:7">
      <c r="B514" s="220"/>
      <c r="C514" s="33"/>
      <c r="D514" s="223"/>
      <c r="E514" s="224"/>
      <c r="F514" s="224"/>
      <c r="G514" s="33"/>
    </row>
    <row r="515" spans="2:7">
      <c r="B515" s="220"/>
      <c r="C515" s="33"/>
      <c r="D515" s="223"/>
      <c r="E515" s="224"/>
      <c r="F515" s="224"/>
      <c r="G515" s="33"/>
    </row>
    <row r="516" spans="2:7">
      <c r="B516" s="220"/>
      <c r="C516" s="33"/>
      <c r="D516" s="223"/>
      <c r="E516" s="224"/>
      <c r="F516" s="224"/>
      <c r="G516" s="33"/>
    </row>
    <row r="517" spans="2:7">
      <c r="B517" s="220"/>
      <c r="C517" s="33"/>
      <c r="D517" s="223"/>
      <c r="E517" s="224"/>
      <c r="F517" s="224"/>
      <c r="G517" s="33"/>
    </row>
    <row r="518" spans="2:7">
      <c r="B518" s="220"/>
      <c r="C518" s="33"/>
      <c r="D518" s="223"/>
      <c r="E518" s="224"/>
      <c r="F518" s="224"/>
      <c r="G518" s="33"/>
    </row>
    <row r="519" spans="2:7" ht="15.75" thickBot="1">
      <c r="B519" s="221"/>
      <c r="C519" s="34"/>
      <c r="D519" s="221"/>
      <c r="E519" s="225"/>
      <c r="F519" s="225"/>
      <c r="G519" s="34"/>
    </row>
    <row r="520" spans="2:7" ht="15.75" thickBot="1">
      <c r="B520" s="221">
        <f>SUM(B506:B519)</f>
        <v>0</v>
      </c>
      <c r="C520" s="34" t="s">
        <v>66</v>
      </c>
      <c r="D520" s="221">
        <f>SUM(D506:D519)</f>
        <v>0</v>
      </c>
      <c r="E520" s="221">
        <f>SUM(E506:E519)</f>
        <v>0</v>
      </c>
      <c r="F520" s="221">
        <f>SUM(F506:F519)</f>
        <v>0</v>
      </c>
      <c r="G520" s="34" t="s">
        <v>66</v>
      </c>
    </row>
  </sheetData>
  <mergeCells count="111"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C00-000000000000}"/>
    <hyperlink ref="I22" location="Trimestre!C39:F40" display="TELÉFONO" xr:uid="{00000000-0004-0000-0C00-000001000000}"/>
    <hyperlink ref="I22:L23" location="'2018'!AU7:AX7" display="INGRESOS" xr:uid="{00000000-0004-0000-0C00-000002000000}"/>
    <hyperlink ref="B2" location="Trimestre!C25:F26" display="HIPOTECA" xr:uid="{00000000-0004-0000-0C00-000003000000}"/>
    <hyperlink ref="B2:G3" location="'2018'!AU20:AX20" display="'2018'!AU20:AX20" xr:uid="{00000000-0004-0000-0C00-000004000000}"/>
    <hyperlink ref="B22" location="Trimestre!C25:F26" display="HIPOTECA" xr:uid="{00000000-0004-0000-0C00-000005000000}"/>
    <hyperlink ref="B22:G23" location="'2018'!AU21:AX21" display="'2018'!AU21:AX21" xr:uid="{00000000-0004-0000-0C00-000006000000}"/>
    <hyperlink ref="B42" location="Trimestre!C25:F26" display="HIPOTECA" xr:uid="{00000000-0004-0000-0C00-000007000000}"/>
    <hyperlink ref="B42:G43" location="'2018'!AU22:AX22" display="'2018'!AU22:AX22" xr:uid="{00000000-0004-0000-0C00-000008000000}"/>
    <hyperlink ref="B62" location="Trimestre!C25:F26" display="HIPOTECA" xr:uid="{00000000-0004-0000-0C00-000009000000}"/>
    <hyperlink ref="B62:G63" location="'2018'!AU23:AX23" display="'2018'!AU23:AX23" xr:uid="{00000000-0004-0000-0C00-00000A000000}"/>
    <hyperlink ref="B82" location="Trimestre!C25:F26" display="HIPOTECA" xr:uid="{00000000-0004-0000-0C00-00000B000000}"/>
    <hyperlink ref="B82:G83" location="'2018'!AU24:AX24" display="'2018'!AU24:AX24" xr:uid="{00000000-0004-0000-0C00-00000C000000}"/>
    <hyperlink ref="B102" location="Trimestre!C25:F26" display="HIPOTECA" xr:uid="{00000000-0004-0000-0C00-00000D000000}"/>
    <hyperlink ref="B102:G103" location="'2018'!AU25:AX25" display="'2018'!AU25:AX25" xr:uid="{00000000-0004-0000-0C00-00000E000000}"/>
    <hyperlink ref="B122" location="Trimestre!C25:F26" display="HIPOTECA" xr:uid="{00000000-0004-0000-0C00-00000F000000}"/>
    <hyperlink ref="B122:G123" location="'2018'!AU26:AX26" display="'2018'!AU26:AX26" xr:uid="{00000000-0004-0000-0C00-000010000000}"/>
    <hyperlink ref="B142" location="Trimestre!C25:F26" display="HIPOTECA" xr:uid="{00000000-0004-0000-0C00-000011000000}"/>
    <hyperlink ref="B142:G143" location="'2018'!AU27:AX27" display="'2018'!AU27:AX27" xr:uid="{00000000-0004-0000-0C00-000012000000}"/>
    <hyperlink ref="B162" location="Trimestre!C25:F26" display="HIPOTECA" xr:uid="{00000000-0004-0000-0C00-000013000000}"/>
    <hyperlink ref="B162:G163" location="'2018'!AU28:AX28" display="'2018'!AU28:AX28" xr:uid="{00000000-0004-0000-0C00-000014000000}"/>
    <hyperlink ref="B182" location="Trimestre!C25:F26" display="HIPOTECA" xr:uid="{00000000-0004-0000-0C00-000015000000}"/>
    <hyperlink ref="B182:G183" location="'2018'!AU29:AX29" display="'2018'!AU29:AX29" xr:uid="{00000000-0004-0000-0C00-000016000000}"/>
    <hyperlink ref="B202" location="Trimestre!C25:F26" display="HIPOTECA" xr:uid="{00000000-0004-0000-0C00-000017000000}"/>
    <hyperlink ref="B202:G203" location="'2018'!AU30:AX30" display="'2018'!AU30:AX30" xr:uid="{00000000-0004-0000-0C00-000018000000}"/>
    <hyperlink ref="B222" location="Trimestre!C25:F26" display="HIPOTECA" xr:uid="{00000000-0004-0000-0C00-000019000000}"/>
    <hyperlink ref="B222:G223" location="'2018'!AU31:AX31" display="'2018'!AU31:AX31" xr:uid="{00000000-0004-0000-0C00-00001A000000}"/>
    <hyperlink ref="B242" location="Trimestre!C25:F26" display="HIPOTECA" xr:uid="{00000000-0004-0000-0C00-00001B000000}"/>
    <hyperlink ref="B242:G243" location="'2018'!AU32:AX32" display="'2018'!AU32:AX32" xr:uid="{00000000-0004-0000-0C00-00001C000000}"/>
    <hyperlink ref="B262" location="Trimestre!C25:F26" display="HIPOTECA" xr:uid="{00000000-0004-0000-0C00-00001D000000}"/>
    <hyperlink ref="B262:G263" location="'2018'!AU33:AX33" display="'2018'!AU33:AX33" xr:uid="{00000000-0004-0000-0C00-00001E000000}"/>
    <hyperlink ref="B282" location="Trimestre!C25:F26" display="HIPOTECA" xr:uid="{00000000-0004-0000-0C00-00001F000000}"/>
    <hyperlink ref="B282:G283" location="'2018'!AU34:AX34" display="'2018'!AU34:AX34" xr:uid="{00000000-0004-0000-0C00-000020000000}"/>
    <hyperlink ref="B302" location="Trimestre!C25:F26" display="HIPOTECA" xr:uid="{00000000-0004-0000-0C00-000021000000}"/>
    <hyperlink ref="B302:G303" location="'2018'!AU35:AX35" display="'2018'!AU35:AX35" xr:uid="{00000000-0004-0000-0C00-000022000000}"/>
    <hyperlink ref="B322" location="Trimestre!C25:F26" display="HIPOTECA" xr:uid="{00000000-0004-0000-0C00-000023000000}"/>
    <hyperlink ref="B322:G323" location="'2018'!AU36:AX36" display="'2018'!AU36:AX36" xr:uid="{00000000-0004-0000-0C00-000024000000}"/>
    <hyperlink ref="B342" location="Trimestre!C25:F26" display="HIPOTECA" xr:uid="{00000000-0004-0000-0C00-000025000000}"/>
    <hyperlink ref="B342:G343" location="'2018'!AU37:AX37" display="'2018'!AU37:AX37" xr:uid="{00000000-0004-0000-0C00-000026000000}"/>
    <hyperlink ref="B362" location="Trimestre!C25:F26" display="HIPOTECA" xr:uid="{00000000-0004-0000-0C00-000027000000}"/>
    <hyperlink ref="B362:G363" location="'2018'!AU38:AX38" display="'2018'!AU38:AX38" xr:uid="{00000000-0004-0000-0C00-000028000000}"/>
    <hyperlink ref="B382" location="Trimestre!C25:F26" display="HIPOTECA" xr:uid="{00000000-0004-0000-0C00-000029000000}"/>
    <hyperlink ref="B382:G383" location="'2018'!AU39:AX39" display="'2018'!AU39:AX39" xr:uid="{00000000-0004-0000-0C00-00002A000000}"/>
    <hyperlink ref="B402" location="Trimestre!C25:F26" display="HIPOTECA" xr:uid="{00000000-0004-0000-0C00-00002B000000}"/>
    <hyperlink ref="B402:G403" location="'2018'!AU40:AX40" display="'2018'!AU40:AX40" xr:uid="{00000000-0004-0000-0C00-00002C000000}"/>
    <hyperlink ref="B422" location="Trimestre!C25:F26" display="HIPOTECA" xr:uid="{00000000-0004-0000-0C00-00002D000000}"/>
    <hyperlink ref="B422:G423" location="'2018'!AU41:AX41" display="'2018'!AU41:AX41" xr:uid="{00000000-0004-0000-0C00-00002E000000}"/>
    <hyperlink ref="B442" location="Trimestre!C25:F26" display="HIPOTECA" xr:uid="{00000000-0004-0000-0C00-00002F000000}"/>
    <hyperlink ref="B442:G443" location="'2018'!AU42:AX42" display="'2018'!AU42:AX42" xr:uid="{00000000-0004-0000-0C00-000030000000}"/>
    <hyperlink ref="B462" location="Trimestre!C25:F26" display="HIPOTECA" xr:uid="{00000000-0004-0000-0C00-000031000000}"/>
    <hyperlink ref="B462:G463" location="'2018'!AU43:AX43" display="'2018'!AU43:AX43" xr:uid="{00000000-0004-0000-0C00-000032000000}"/>
    <hyperlink ref="B482" location="Trimestre!C25:F26" display="HIPOTECA" xr:uid="{00000000-0004-0000-0C00-000033000000}"/>
    <hyperlink ref="B482:G483" location="'2018'!AU44:AX44" display="'2018'!AU44:AX44" xr:uid="{00000000-0004-0000-0C00-000034000000}"/>
    <hyperlink ref="B502" location="Trimestre!C25:F26" display="HIPOTECA" xr:uid="{00000000-0004-0000-0C00-000035000000}"/>
    <hyperlink ref="B502:G503" location="'2018'!AU45:AX45" display="'2018'!AU45:AX45" xr:uid="{00000000-0004-0000-0C00-000036000000}"/>
    <hyperlink ref="I2:L3" location="'2018'!AU4:AX4" display="SALDO REAL" xr:uid="{00000000-0004-0000-0C00-000037000000}"/>
  </hyperlink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58"/>
  <sheetViews>
    <sheetView topLeftCell="A4" workbookViewId="0">
      <selection activeCell="G6" sqref="G6"/>
    </sheetView>
  </sheetViews>
  <sheetFormatPr defaultColWidth="11.7109375" defaultRowHeight="15"/>
  <cols>
    <col min="1" max="1" width="30.140625" customWidth="1"/>
    <col min="2" max="2" width="15" customWidth="1"/>
    <col min="3" max="3" width="14.42578125" customWidth="1"/>
    <col min="4" max="4" width="29.140625" customWidth="1"/>
    <col min="5" max="5" width="24.5703125" customWidth="1"/>
    <col min="6" max="6" width="13.140625" customWidth="1"/>
    <col min="7" max="7" width="8.7109375" customWidth="1"/>
    <col min="8" max="8" width="8" customWidth="1"/>
    <col min="9" max="9" width="12.28515625" customWidth="1"/>
    <col min="10" max="10" width="20.28515625" customWidth="1"/>
    <col min="11" max="11" width="13.85546875" customWidth="1"/>
    <col min="12" max="12" width="8" customWidth="1"/>
    <col min="257" max="257" width="30.140625" customWidth="1"/>
    <col min="258" max="258" width="15" customWidth="1"/>
    <col min="259" max="259" width="14.42578125" customWidth="1"/>
    <col min="260" max="260" width="29.140625" customWidth="1"/>
    <col min="261" max="261" width="24.5703125" customWidth="1"/>
    <col min="262" max="262" width="13.140625" customWidth="1"/>
    <col min="263" max="263" width="8.7109375" customWidth="1"/>
    <col min="264" max="264" width="8" customWidth="1"/>
    <col min="265" max="265" width="12.28515625" customWidth="1"/>
    <col min="266" max="266" width="20.28515625" customWidth="1"/>
    <col min="267" max="267" width="13.85546875" customWidth="1"/>
    <col min="268" max="268" width="8" customWidth="1"/>
    <col min="513" max="513" width="30.140625" customWidth="1"/>
    <col min="514" max="514" width="15" customWidth="1"/>
    <col min="515" max="515" width="14.42578125" customWidth="1"/>
    <col min="516" max="516" width="29.140625" customWidth="1"/>
    <col min="517" max="517" width="24.5703125" customWidth="1"/>
    <col min="518" max="518" width="13.140625" customWidth="1"/>
    <col min="519" max="519" width="8.7109375" customWidth="1"/>
    <col min="520" max="520" width="8" customWidth="1"/>
    <col min="521" max="521" width="12.28515625" customWidth="1"/>
    <col min="522" max="522" width="20.28515625" customWidth="1"/>
    <col min="523" max="523" width="13.85546875" customWidth="1"/>
    <col min="524" max="524" width="8" customWidth="1"/>
    <col min="769" max="769" width="30.140625" customWidth="1"/>
    <col min="770" max="770" width="15" customWidth="1"/>
    <col min="771" max="771" width="14.42578125" customWidth="1"/>
    <col min="772" max="772" width="29.140625" customWidth="1"/>
    <col min="773" max="773" width="24.5703125" customWidth="1"/>
    <col min="774" max="774" width="13.140625" customWidth="1"/>
    <col min="775" max="775" width="8.7109375" customWidth="1"/>
    <col min="776" max="776" width="8" customWidth="1"/>
    <col min="777" max="777" width="12.28515625" customWidth="1"/>
    <col min="778" max="778" width="20.28515625" customWidth="1"/>
    <col min="779" max="779" width="13.85546875" customWidth="1"/>
    <col min="780" max="780" width="8" customWidth="1"/>
    <col min="1025" max="1025" width="30.140625" customWidth="1"/>
    <col min="1026" max="1026" width="15" customWidth="1"/>
    <col min="1027" max="1027" width="14.42578125" customWidth="1"/>
    <col min="1028" max="1028" width="29.140625" customWidth="1"/>
    <col min="1029" max="1029" width="24.5703125" customWidth="1"/>
    <col min="1030" max="1030" width="13.140625" customWidth="1"/>
    <col min="1031" max="1031" width="8.7109375" customWidth="1"/>
    <col min="1032" max="1032" width="8" customWidth="1"/>
    <col min="1033" max="1033" width="12.28515625" customWidth="1"/>
    <col min="1034" max="1034" width="20.28515625" customWidth="1"/>
    <col min="1035" max="1035" width="13.85546875" customWidth="1"/>
    <col min="1036" max="1036" width="8" customWidth="1"/>
    <col min="1281" max="1281" width="30.140625" customWidth="1"/>
    <col min="1282" max="1282" width="15" customWidth="1"/>
    <col min="1283" max="1283" width="14.42578125" customWidth="1"/>
    <col min="1284" max="1284" width="29.140625" customWidth="1"/>
    <col min="1285" max="1285" width="24.5703125" customWidth="1"/>
    <col min="1286" max="1286" width="13.140625" customWidth="1"/>
    <col min="1287" max="1287" width="8.7109375" customWidth="1"/>
    <col min="1288" max="1288" width="8" customWidth="1"/>
    <col min="1289" max="1289" width="12.28515625" customWidth="1"/>
    <col min="1290" max="1290" width="20.28515625" customWidth="1"/>
    <col min="1291" max="1291" width="13.85546875" customWidth="1"/>
    <col min="1292" max="1292" width="8" customWidth="1"/>
    <col min="1537" max="1537" width="30.140625" customWidth="1"/>
    <col min="1538" max="1538" width="15" customWidth="1"/>
    <col min="1539" max="1539" width="14.42578125" customWidth="1"/>
    <col min="1540" max="1540" width="29.140625" customWidth="1"/>
    <col min="1541" max="1541" width="24.5703125" customWidth="1"/>
    <col min="1542" max="1542" width="13.140625" customWidth="1"/>
    <col min="1543" max="1543" width="8.7109375" customWidth="1"/>
    <col min="1544" max="1544" width="8" customWidth="1"/>
    <col min="1545" max="1545" width="12.28515625" customWidth="1"/>
    <col min="1546" max="1546" width="20.28515625" customWidth="1"/>
    <col min="1547" max="1547" width="13.85546875" customWidth="1"/>
    <col min="1548" max="1548" width="8" customWidth="1"/>
    <col min="1793" max="1793" width="30.140625" customWidth="1"/>
    <col min="1794" max="1794" width="15" customWidth="1"/>
    <col min="1795" max="1795" width="14.42578125" customWidth="1"/>
    <col min="1796" max="1796" width="29.140625" customWidth="1"/>
    <col min="1797" max="1797" width="24.5703125" customWidth="1"/>
    <col min="1798" max="1798" width="13.140625" customWidth="1"/>
    <col min="1799" max="1799" width="8.7109375" customWidth="1"/>
    <col min="1800" max="1800" width="8" customWidth="1"/>
    <col min="1801" max="1801" width="12.28515625" customWidth="1"/>
    <col min="1802" max="1802" width="20.28515625" customWidth="1"/>
    <col min="1803" max="1803" width="13.85546875" customWidth="1"/>
    <col min="1804" max="1804" width="8" customWidth="1"/>
    <col min="2049" max="2049" width="30.140625" customWidth="1"/>
    <col min="2050" max="2050" width="15" customWidth="1"/>
    <col min="2051" max="2051" width="14.42578125" customWidth="1"/>
    <col min="2052" max="2052" width="29.140625" customWidth="1"/>
    <col min="2053" max="2053" width="24.5703125" customWidth="1"/>
    <col min="2054" max="2054" width="13.140625" customWidth="1"/>
    <col min="2055" max="2055" width="8.7109375" customWidth="1"/>
    <col min="2056" max="2056" width="8" customWidth="1"/>
    <col min="2057" max="2057" width="12.28515625" customWidth="1"/>
    <col min="2058" max="2058" width="20.28515625" customWidth="1"/>
    <col min="2059" max="2059" width="13.85546875" customWidth="1"/>
    <col min="2060" max="2060" width="8" customWidth="1"/>
    <col min="2305" max="2305" width="30.140625" customWidth="1"/>
    <col min="2306" max="2306" width="15" customWidth="1"/>
    <col min="2307" max="2307" width="14.42578125" customWidth="1"/>
    <col min="2308" max="2308" width="29.140625" customWidth="1"/>
    <col min="2309" max="2309" width="24.5703125" customWidth="1"/>
    <col min="2310" max="2310" width="13.140625" customWidth="1"/>
    <col min="2311" max="2311" width="8.7109375" customWidth="1"/>
    <col min="2312" max="2312" width="8" customWidth="1"/>
    <col min="2313" max="2313" width="12.28515625" customWidth="1"/>
    <col min="2314" max="2314" width="20.28515625" customWidth="1"/>
    <col min="2315" max="2315" width="13.85546875" customWidth="1"/>
    <col min="2316" max="2316" width="8" customWidth="1"/>
    <col min="2561" max="2561" width="30.140625" customWidth="1"/>
    <col min="2562" max="2562" width="15" customWidth="1"/>
    <col min="2563" max="2563" width="14.42578125" customWidth="1"/>
    <col min="2564" max="2564" width="29.140625" customWidth="1"/>
    <col min="2565" max="2565" width="24.5703125" customWidth="1"/>
    <col min="2566" max="2566" width="13.140625" customWidth="1"/>
    <col min="2567" max="2567" width="8.7109375" customWidth="1"/>
    <col min="2568" max="2568" width="8" customWidth="1"/>
    <col min="2569" max="2569" width="12.28515625" customWidth="1"/>
    <col min="2570" max="2570" width="20.28515625" customWidth="1"/>
    <col min="2571" max="2571" width="13.85546875" customWidth="1"/>
    <col min="2572" max="2572" width="8" customWidth="1"/>
    <col min="2817" max="2817" width="30.140625" customWidth="1"/>
    <col min="2818" max="2818" width="15" customWidth="1"/>
    <col min="2819" max="2819" width="14.42578125" customWidth="1"/>
    <col min="2820" max="2820" width="29.140625" customWidth="1"/>
    <col min="2821" max="2821" width="24.5703125" customWidth="1"/>
    <col min="2822" max="2822" width="13.140625" customWidth="1"/>
    <col min="2823" max="2823" width="8.7109375" customWidth="1"/>
    <col min="2824" max="2824" width="8" customWidth="1"/>
    <col min="2825" max="2825" width="12.28515625" customWidth="1"/>
    <col min="2826" max="2826" width="20.28515625" customWidth="1"/>
    <col min="2827" max="2827" width="13.85546875" customWidth="1"/>
    <col min="2828" max="2828" width="8" customWidth="1"/>
    <col min="3073" max="3073" width="30.140625" customWidth="1"/>
    <col min="3074" max="3074" width="15" customWidth="1"/>
    <col min="3075" max="3075" width="14.42578125" customWidth="1"/>
    <col min="3076" max="3076" width="29.140625" customWidth="1"/>
    <col min="3077" max="3077" width="24.5703125" customWidth="1"/>
    <col min="3078" max="3078" width="13.140625" customWidth="1"/>
    <col min="3079" max="3079" width="8.7109375" customWidth="1"/>
    <col min="3080" max="3080" width="8" customWidth="1"/>
    <col min="3081" max="3081" width="12.28515625" customWidth="1"/>
    <col min="3082" max="3082" width="20.28515625" customWidth="1"/>
    <col min="3083" max="3083" width="13.85546875" customWidth="1"/>
    <col min="3084" max="3084" width="8" customWidth="1"/>
    <col min="3329" max="3329" width="30.140625" customWidth="1"/>
    <col min="3330" max="3330" width="15" customWidth="1"/>
    <col min="3331" max="3331" width="14.42578125" customWidth="1"/>
    <col min="3332" max="3332" width="29.140625" customWidth="1"/>
    <col min="3333" max="3333" width="24.5703125" customWidth="1"/>
    <col min="3334" max="3334" width="13.140625" customWidth="1"/>
    <col min="3335" max="3335" width="8.7109375" customWidth="1"/>
    <col min="3336" max="3336" width="8" customWidth="1"/>
    <col min="3337" max="3337" width="12.28515625" customWidth="1"/>
    <col min="3338" max="3338" width="20.28515625" customWidth="1"/>
    <col min="3339" max="3339" width="13.85546875" customWidth="1"/>
    <col min="3340" max="3340" width="8" customWidth="1"/>
    <col min="3585" max="3585" width="30.140625" customWidth="1"/>
    <col min="3586" max="3586" width="15" customWidth="1"/>
    <col min="3587" max="3587" width="14.42578125" customWidth="1"/>
    <col min="3588" max="3588" width="29.140625" customWidth="1"/>
    <col min="3589" max="3589" width="24.5703125" customWidth="1"/>
    <col min="3590" max="3590" width="13.140625" customWidth="1"/>
    <col min="3591" max="3591" width="8.7109375" customWidth="1"/>
    <col min="3592" max="3592" width="8" customWidth="1"/>
    <col min="3593" max="3593" width="12.28515625" customWidth="1"/>
    <col min="3594" max="3594" width="20.28515625" customWidth="1"/>
    <col min="3595" max="3595" width="13.85546875" customWidth="1"/>
    <col min="3596" max="3596" width="8" customWidth="1"/>
    <col min="3841" max="3841" width="30.140625" customWidth="1"/>
    <col min="3842" max="3842" width="15" customWidth="1"/>
    <col min="3843" max="3843" width="14.42578125" customWidth="1"/>
    <col min="3844" max="3844" width="29.140625" customWidth="1"/>
    <col min="3845" max="3845" width="24.5703125" customWidth="1"/>
    <col min="3846" max="3846" width="13.140625" customWidth="1"/>
    <col min="3847" max="3847" width="8.7109375" customWidth="1"/>
    <col min="3848" max="3848" width="8" customWidth="1"/>
    <col min="3849" max="3849" width="12.28515625" customWidth="1"/>
    <col min="3850" max="3850" width="20.28515625" customWidth="1"/>
    <col min="3851" max="3851" width="13.85546875" customWidth="1"/>
    <col min="3852" max="3852" width="8" customWidth="1"/>
    <col min="4097" max="4097" width="30.140625" customWidth="1"/>
    <col min="4098" max="4098" width="15" customWidth="1"/>
    <col min="4099" max="4099" width="14.42578125" customWidth="1"/>
    <col min="4100" max="4100" width="29.140625" customWidth="1"/>
    <col min="4101" max="4101" width="24.5703125" customWidth="1"/>
    <col min="4102" max="4102" width="13.140625" customWidth="1"/>
    <col min="4103" max="4103" width="8.7109375" customWidth="1"/>
    <col min="4104" max="4104" width="8" customWidth="1"/>
    <col min="4105" max="4105" width="12.28515625" customWidth="1"/>
    <col min="4106" max="4106" width="20.28515625" customWidth="1"/>
    <col min="4107" max="4107" width="13.85546875" customWidth="1"/>
    <col min="4108" max="4108" width="8" customWidth="1"/>
    <col min="4353" max="4353" width="30.140625" customWidth="1"/>
    <col min="4354" max="4354" width="15" customWidth="1"/>
    <col min="4355" max="4355" width="14.42578125" customWidth="1"/>
    <col min="4356" max="4356" width="29.140625" customWidth="1"/>
    <col min="4357" max="4357" width="24.5703125" customWidth="1"/>
    <col min="4358" max="4358" width="13.140625" customWidth="1"/>
    <col min="4359" max="4359" width="8.7109375" customWidth="1"/>
    <col min="4360" max="4360" width="8" customWidth="1"/>
    <col min="4361" max="4361" width="12.28515625" customWidth="1"/>
    <col min="4362" max="4362" width="20.28515625" customWidth="1"/>
    <col min="4363" max="4363" width="13.85546875" customWidth="1"/>
    <col min="4364" max="4364" width="8" customWidth="1"/>
    <col min="4609" max="4609" width="30.140625" customWidth="1"/>
    <col min="4610" max="4610" width="15" customWidth="1"/>
    <col min="4611" max="4611" width="14.42578125" customWidth="1"/>
    <col min="4612" max="4612" width="29.140625" customWidth="1"/>
    <col min="4613" max="4613" width="24.5703125" customWidth="1"/>
    <col min="4614" max="4614" width="13.140625" customWidth="1"/>
    <col min="4615" max="4615" width="8.7109375" customWidth="1"/>
    <col min="4616" max="4616" width="8" customWidth="1"/>
    <col min="4617" max="4617" width="12.28515625" customWidth="1"/>
    <col min="4618" max="4618" width="20.28515625" customWidth="1"/>
    <col min="4619" max="4619" width="13.85546875" customWidth="1"/>
    <col min="4620" max="4620" width="8" customWidth="1"/>
    <col min="4865" max="4865" width="30.140625" customWidth="1"/>
    <col min="4866" max="4866" width="15" customWidth="1"/>
    <col min="4867" max="4867" width="14.42578125" customWidth="1"/>
    <col min="4868" max="4868" width="29.140625" customWidth="1"/>
    <col min="4869" max="4869" width="24.5703125" customWidth="1"/>
    <col min="4870" max="4870" width="13.140625" customWidth="1"/>
    <col min="4871" max="4871" width="8.7109375" customWidth="1"/>
    <col min="4872" max="4872" width="8" customWidth="1"/>
    <col min="4873" max="4873" width="12.28515625" customWidth="1"/>
    <col min="4874" max="4874" width="20.28515625" customWidth="1"/>
    <col min="4875" max="4875" width="13.85546875" customWidth="1"/>
    <col min="4876" max="4876" width="8" customWidth="1"/>
    <col min="5121" max="5121" width="30.140625" customWidth="1"/>
    <col min="5122" max="5122" width="15" customWidth="1"/>
    <col min="5123" max="5123" width="14.42578125" customWidth="1"/>
    <col min="5124" max="5124" width="29.140625" customWidth="1"/>
    <col min="5125" max="5125" width="24.5703125" customWidth="1"/>
    <col min="5126" max="5126" width="13.140625" customWidth="1"/>
    <col min="5127" max="5127" width="8.7109375" customWidth="1"/>
    <col min="5128" max="5128" width="8" customWidth="1"/>
    <col min="5129" max="5129" width="12.28515625" customWidth="1"/>
    <col min="5130" max="5130" width="20.28515625" customWidth="1"/>
    <col min="5131" max="5131" width="13.85546875" customWidth="1"/>
    <col min="5132" max="5132" width="8" customWidth="1"/>
    <col min="5377" max="5377" width="30.140625" customWidth="1"/>
    <col min="5378" max="5378" width="15" customWidth="1"/>
    <col min="5379" max="5379" width="14.42578125" customWidth="1"/>
    <col min="5380" max="5380" width="29.140625" customWidth="1"/>
    <col min="5381" max="5381" width="24.5703125" customWidth="1"/>
    <col min="5382" max="5382" width="13.140625" customWidth="1"/>
    <col min="5383" max="5383" width="8.7109375" customWidth="1"/>
    <col min="5384" max="5384" width="8" customWidth="1"/>
    <col min="5385" max="5385" width="12.28515625" customWidth="1"/>
    <col min="5386" max="5386" width="20.28515625" customWidth="1"/>
    <col min="5387" max="5387" width="13.85546875" customWidth="1"/>
    <col min="5388" max="5388" width="8" customWidth="1"/>
    <col min="5633" max="5633" width="30.140625" customWidth="1"/>
    <col min="5634" max="5634" width="15" customWidth="1"/>
    <col min="5635" max="5635" width="14.42578125" customWidth="1"/>
    <col min="5636" max="5636" width="29.140625" customWidth="1"/>
    <col min="5637" max="5637" width="24.5703125" customWidth="1"/>
    <col min="5638" max="5638" width="13.140625" customWidth="1"/>
    <col min="5639" max="5639" width="8.7109375" customWidth="1"/>
    <col min="5640" max="5640" width="8" customWidth="1"/>
    <col min="5641" max="5641" width="12.28515625" customWidth="1"/>
    <col min="5642" max="5642" width="20.28515625" customWidth="1"/>
    <col min="5643" max="5643" width="13.85546875" customWidth="1"/>
    <col min="5644" max="5644" width="8" customWidth="1"/>
    <col min="5889" max="5889" width="30.140625" customWidth="1"/>
    <col min="5890" max="5890" width="15" customWidth="1"/>
    <col min="5891" max="5891" width="14.42578125" customWidth="1"/>
    <col min="5892" max="5892" width="29.140625" customWidth="1"/>
    <col min="5893" max="5893" width="24.5703125" customWidth="1"/>
    <col min="5894" max="5894" width="13.140625" customWidth="1"/>
    <col min="5895" max="5895" width="8.7109375" customWidth="1"/>
    <col min="5896" max="5896" width="8" customWidth="1"/>
    <col min="5897" max="5897" width="12.28515625" customWidth="1"/>
    <col min="5898" max="5898" width="20.28515625" customWidth="1"/>
    <col min="5899" max="5899" width="13.85546875" customWidth="1"/>
    <col min="5900" max="5900" width="8" customWidth="1"/>
    <col min="6145" max="6145" width="30.140625" customWidth="1"/>
    <col min="6146" max="6146" width="15" customWidth="1"/>
    <col min="6147" max="6147" width="14.42578125" customWidth="1"/>
    <col min="6148" max="6148" width="29.140625" customWidth="1"/>
    <col min="6149" max="6149" width="24.5703125" customWidth="1"/>
    <col min="6150" max="6150" width="13.140625" customWidth="1"/>
    <col min="6151" max="6151" width="8.7109375" customWidth="1"/>
    <col min="6152" max="6152" width="8" customWidth="1"/>
    <col min="6153" max="6153" width="12.28515625" customWidth="1"/>
    <col min="6154" max="6154" width="20.28515625" customWidth="1"/>
    <col min="6155" max="6155" width="13.85546875" customWidth="1"/>
    <col min="6156" max="6156" width="8" customWidth="1"/>
    <col min="6401" max="6401" width="30.140625" customWidth="1"/>
    <col min="6402" max="6402" width="15" customWidth="1"/>
    <col min="6403" max="6403" width="14.42578125" customWidth="1"/>
    <col min="6404" max="6404" width="29.140625" customWidth="1"/>
    <col min="6405" max="6405" width="24.5703125" customWidth="1"/>
    <col min="6406" max="6406" width="13.140625" customWidth="1"/>
    <col min="6407" max="6407" width="8.7109375" customWidth="1"/>
    <col min="6408" max="6408" width="8" customWidth="1"/>
    <col min="6409" max="6409" width="12.28515625" customWidth="1"/>
    <col min="6410" max="6410" width="20.28515625" customWidth="1"/>
    <col min="6411" max="6411" width="13.85546875" customWidth="1"/>
    <col min="6412" max="6412" width="8" customWidth="1"/>
    <col min="6657" max="6657" width="30.140625" customWidth="1"/>
    <col min="6658" max="6658" width="15" customWidth="1"/>
    <col min="6659" max="6659" width="14.42578125" customWidth="1"/>
    <col min="6660" max="6660" width="29.140625" customWidth="1"/>
    <col min="6661" max="6661" width="24.5703125" customWidth="1"/>
    <col min="6662" max="6662" width="13.140625" customWidth="1"/>
    <col min="6663" max="6663" width="8.7109375" customWidth="1"/>
    <col min="6664" max="6664" width="8" customWidth="1"/>
    <col min="6665" max="6665" width="12.28515625" customWidth="1"/>
    <col min="6666" max="6666" width="20.28515625" customWidth="1"/>
    <col min="6667" max="6667" width="13.85546875" customWidth="1"/>
    <col min="6668" max="6668" width="8" customWidth="1"/>
    <col min="6913" max="6913" width="30.140625" customWidth="1"/>
    <col min="6914" max="6914" width="15" customWidth="1"/>
    <col min="6915" max="6915" width="14.42578125" customWidth="1"/>
    <col min="6916" max="6916" width="29.140625" customWidth="1"/>
    <col min="6917" max="6917" width="24.5703125" customWidth="1"/>
    <col min="6918" max="6918" width="13.140625" customWidth="1"/>
    <col min="6919" max="6919" width="8.7109375" customWidth="1"/>
    <col min="6920" max="6920" width="8" customWidth="1"/>
    <col min="6921" max="6921" width="12.28515625" customWidth="1"/>
    <col min="6922" max="6922" width="20.28515625" customWidth="1"/>
    <col min="6923" max="6923" width="13.85546875" customWidth="1"/>
    <col min="6924" max="6924" width="8" customWidth="1"/>
    <col min="7169" max="7169" width="30.140625" customWidth="1"/>
    <col min="7170" max="7170" width="15" customWidth="1"/>
    <col min="7171" max="7171" width="14.42578125" customWidth="1"/>
    <col min="7172" max="7172" width="29.140625" customWidth="1"/>
    <col min="7173" max="7173" width="24.5703125" customWidth="1"/>
    <col min="7174" max="7174" width="13.140625" customWidth="1"/>
    <col min="7175" max="7175" width="8.7109375" customWidth="1"/>
    <col min="7176" max="7176" width="8" customWidth="1"/>
    <col min="7177" max="7177" width="12.28515625" customWidth="1"/>
    <col min="7178" max="7178" width="20.28515625" customWidth="1"/>
    <col min="7179" max="7179" width="13.85546875" customWidth="1"/>
    <col min="7180" max="7180" width="8" customWidth="1"/>
    <col min="7425" max="7425" width="30.140625" customWidth="1"/>
    <col min="7426" max="7426" width="15" customWidth="1"/>
    <col min="7427" max="7427" width="14.42578125" customWidth="1"/>
    <col min="7428" max="7428" width="29.140625" customWidth="1"/>
    <col min="7429" max="7429" width="24.5703125" customWidth="1"/>
    <col min="7430" max="7430" width="13.140625" customWidth="1"/>
    <col min="7431" max="7431" width="8.7109375" customWidth="1"/>
    <col min="7432" max="7432" width="8" customWidth="1"/>
    <col min="7433" max="7433" width="12.28515625" customWidth="1"/>
    <col min="7434" max="7434" width="20.28515625" customWidth="1"/>
    <col min="7435" max="7435" width="13.85546875" customWidth="1"/>
    <col min="7436" max="7436" width="8" customWidth="1"/>
    <col min="7681" max="7681" width="30.140625" customWidth="1"/>
    <col min="7682" max="7682" width="15" customWidth="1"/>
    <col min="7683" max="7683" width="14.42578125" customWidth="1"/>
    <col min="7684" max="7684" width="29.140625" customWidth="1"/>
    <col min="7685" max="7685" width="24.5703125" customWidth="1"/>
    <col min="7686" max="7686" width="13.140625" customWidth="1"/>
    <col min="7687" max="7687" width="8.7109375" customWidth="1"/>
    <col min="7688" max="7688" width="8" customWidth="1"/>
    <col min="7689" max="7689" width="12.28515625" customWidth="1"/>
    <col min="7690" max="7690" width="20.28515625" customWidth="1"/>
    <col min="7691" max="7691" width="13.85546875" customWidth="1"/>
    <col min="7692" max="7692" width="8" customWidth="1"/>
    <col min="7937" max="7937" width="30.140625" customWidth="1"/>
    <col min="7938" max="7938" width="15" customWidth="1"/>
    <col min="7939" max="7939" width="14.42578125" customWidth="1"/>
    <col min="7940" max="7940" width="29.140625" customWidth="1"/>
    <col min="7941" max="7941" width="24.5703125" customWidth="1"/>
    <col min="7942" max="7942" width="13.140625" customWidth="1"/>
    <col min="7943" max="7943" width="8.7109375" customWidth="1"/>
    <col min="7944" max="7944" width="8" customWidth="1"/>
    <col min="7945" max="7945" width="12.28515625" customWidth="1"/>
    <col min="7946" max="7946" width="20.28515625" customWidth="1"/>
    <col min="7947" max="7947" width="13.85546875" customWidth="1"/>
    <col min="7948" max="7948" width="8" customWidth="1"/>
    <col min="8193" max="8193" width="30.140625" customWidth="1"/>
    <col min="8194" max="8194" width="15" customWidth="1"/>
    <col min="8195" max="8195" width="14.42578125" customWidth="1"/>
    <col min="8196" max="8196" width="29.140625" customWidth="1"/>
    <col min="8197" max="8197" width="24.5703125" customWidth="1"/>
    <col min="8198" max="8198" width="13.140625" customWidth="1"/>
    <col min="8199" max="8199" width="8.7109375" customWidth="1"/>
    <col min="8200" max="8200" width="8" customWidth="1"/>
    <col min="8201" max="8201" width="12.28515625" customWidth="1"/>
    <col min="8202" max="8202" width="20.28515625" customWidth="1"/>
    <col min="8203" max="8203" width="13.85546875" customWidth="1"/>
    <col min="8204" max="8204" width="8" customWidth="1"/>
    <col min="8449" max="8449" width="30.140625" customWidth="1"/>
    <col min="8450" max="8450" width="15" customWidth="1"/>
    <col min="8451" max="8451" width="14.42578125" customWidth="1"/>
    <col min="8452" max="8452" width="29.140625" customWidth="1"/>
    <col min="8453" max="8453" width="24.5703125" customWidth="1"/>
    <col min="8454" max="8454" width="13.140625" customWidth="1"/>
    <col min="8455" max="8455" width="8.7109375" customWidth="1"/>
    <col min="8456" max="8456" width="8" customWidth="1"/>
    <col min="8457" max="8457" width="12.28515625" customWidth="1"/>
    <col min="8458" max="8458" width="20.28515625" customWidth="1"/>
    <col min="8459" max="8459" width="13.85546875" customWidth="1"/>
    <col min="8460" max="8460" width="8" customWidth="1"/>
    <col min="8705" max="8705" width="30.140625" customWidth="1"/>
    <col min="8706" max="8706" width="15" customWidth="1"/>
    <col min="8707" max="8707" width="14.42578125" customWidth="1"/>
    <col min="8708" max="8708" width="29.140625" customWidth="1"/>
    <col min="8709" max="8709" width="24.5703125" customWidth="1"/>
    <col min="8710" max="8710" width="13.140625" customWidth="1"/>
    <col min="8711" max="8711" width="8.7109375" customWidth="1"/>
    <col min="8712" max="8712" width="8" customWidth="1"/>
    <col min="8713" max="8713" width="12.28515625" customWidth="1"/>
    <col min="8714" max="8714" width="20.28515625" customWidth="1"/>
    <col min="8715" max="8715" width="13.85546875" customWidth="1"/>
    <col min="8716" max="8716" width="8" customWidth="1"/>
    <col min="8961" max="8961" width="30.140625" customWidth="1"/>
    <col min="8962" max="8962" width="15" customWidth="1"/>
    <col min="8963" max="8963" width="14.42578125" customWidth="1"/>
    <col min="8964" max="8964" width="29.140625" customWidth="1"/>
    <col min="8965" max="8965" width="24.5703125" customWidth="1"/>
    <col min="8966" max="8966" width="13.140625" customWidth="1"/>
    <col min="8967" max="8967" width="8.7109375" customWidth="1"/>
    <col min="8968" max="8968" width="8" customWidth="1"/>
    <col min="8969" max="8969" width="12.28515625" customWidth="1"/>
    <col min="8970" max="8970" width="20.28515625" customWidth="1"/>
    <col min="8971" max="8971" width="13.85546875" customWidth="1"/>
    <col min="8972" max="8972" width="8" customWidth="1"/>
    <col min="9217" max="9217" width="30.140625" customWidth="1"/>
    <col min="9218" max="9218" width="15" customWidth="1"/>
    <col min="9219" max="9219" width="14.42578125" customWidth="1"/>
    <col min="9220" max="9220" width="29.140625" customWidth="1"/>
    <col min="9221" max="9221" width="24.5703125" customWidth="1"/>
    <col min="9222" max="9222" width="13.140625" customWidth="1"/>
    <col min="9223" max="9223" width="8.7109375" customWidth="1"/>
    <col min="9224" max="9224" width="8" customWidth="1"/>
    <col min="9225" max="9225" width="12.28515625" customWidth="1"/>
    <col min="9226" max="9226" width="20.28515625" customWidth="1"/>
    <col min="9227" max="9227" width="13.85546875" customWidth="1"/>
    <col min="9228" max="9228" width="8" customWidth="1"/>
    <col min="9473" max="9473" width="30.140625" customWidth="1"/>
    <col min="9474" max="9474" width="15" customWidth="1"/>
    <col min="9475" max="9475" width="14.42578125" customWidth="1"/>
    <col min="9476" max="9476" width="29.140625" customWidth="1"/>
    <col min="9477" max="9477" width="24.5703125" customWidth="1"/>
    <col min="9478" max="9478" width="13.140625" customWidth="1"/>
    <col min="9479" max="9479" width="8.7109375" customWidth="1"/>
    <col min="9480" max="9480" width="8" customWidth="1"/>
    <col min="9481" max="9481" width="12.28515625" customWidth="1"/>
    <col min="9482" max="9482" width="20.28515625" customWidth="1"/>
    <col min="9483" max="9483" width="13.85546875" customWidth="1"/>
    <col min="9484" max="9484" width="8" customWidth="1"/>
    <col min="9729" max="9729" width="30.140625" customWidth="1"/>
    <col min="9730" max="9730" width="15" customWidth="1"/>
    <col min="9731" max="9731" width="14.42578125" customWidth="1"/>
    <col min="9732" max="9732" width="29.140625" customWidth="1"/>
    <col min="9733" max="9733" width="24.5703125" customWidth="1"/>
    <col min="9734" max="9734" width="13.140625" customWidth="1"/>
    <col min="9735" max="9735" width="8.7109375" customWidth="1"/>
    <col min="9736" max="9736" width="8" customWidth="1"/>
    <col min="9737" max="9737" width="12.28515625" customWidth="1"/>
    <col min="9738" max="9738" width="20.28515625" customWidth="1"/>
    <col min="9739" max="9739" width="13.85546875" customWidth="1"/>
    <col min="9740" max="9740" width="8" customWidth="1"/>
    <col min="9985" max="9985" width="30.140625" customWidth="1"/>
    <col min="9986" max="9986" width="15" customWidth="1"/>
    <col min="9987" max="9987" width="14.42578125" customWidth="1"/>
    <col min="9988" max="9988" width="29.140625" customWidth="1"/>
    <col min="9989" max="9989" width="24.5703125" customWidth="1"/>
    <col min="9990" max="9990" width="13.140625" customWidth="1"/>
    <col min="9991" max="9991" width="8.7109375" customWidth="1"/>
    <col min="9992" max="9992" width="8" customWidth="1"/>
    <col min="9993" max="9993" width="12.28515625" customWidth="1"/>
    <col min="9994" max="9994" width="20.28515625" customWidth="1"/>
    <col min="9995" max="9995" width="13.85546875" customWidth="1"/>
    <col min="9996" max="9996" width="8" customWidth="1"/>
    <col min="10241" max="10241" width="30.140625" customWidth="1"/>
    <col min="10242" max="10242" width="15" customWidth="1"/>
    <col min="10243" max="10243" width="14.42578125" customWidth="1"/>
    <col min="10244" max="10244" width="29.140625" customWidth="1"/>
    <col min="10245" max="10245" width="24.5703125" customWidth="1"/>
    <col min="10246" max="10246" width="13.140625" customWidth="1"/>
    <col min="10247" max="10247" width="8.7109375" customWidth="1"/>
    <col min="10248" max="10248" width="8" customWidth="1"/>
    <col min="10249" max="10249" width="12.28515625" customWidth="1"/>
    <col min="10250" max="10250" width="20.28515625" customWidth="1"/>
    <col min="10251" max="10251" width="13.85546875" customWidth="1"/>
    <col min="10252" max="10252" width="8" customWidth="1"/>
    <col min="10497" max="10497" width="30.140625" customWidth="1"/>
    <col min="10498" max="10498" width="15" customWidth="1"/>
    <col min="10499" max="10499" width="14.42578125" customWidth="1"/>
    <col min="10500" max="10500" width="29.140625" customWidth="1"/>
    <col min="10501" max="10501" width="24.5703125" customWidth="1"/>
    <col min="10502" max="10502" width="13.140625" customWidth="1"/>
    <col min="10503" max="10503" width="8.7109375" customWidth="1"/>
    <col min="10504" max="10504" width="8" customWidth="1"/>
    <col min="10505" max="10505" width="12.28515625" customWidth="1"/>
    <col min="10506" max="10506" width="20.28515625" customWidth="1"/>
    <col min="10507" max="10507" width="13.85546875" customWidth="1"/>
    <col min="10508" max="10508" width="8" customWidth="1"/>
    <col min="10753" max="10753" width="30.140625" customWidth="1"/>
    <col min="10754" max="10754" width="15" customWidth="1"/>
    <col min="10755" max="10755" width="14.42578125" customWidth="1"/>
    <col min="10756" max="10756" width="29.140625" customWidth="1"/>
    <col min="10757" max="10757" width="24.5703125" customWidth="1"/>
    <col min="10758" max="10758" width="13.140625" customWidth="1"/>
    <col min="10759" max="10759" width="8.7109375" customWidth="1"/>
    <col min="10760" max="10760" width="8" customWidth="1"/>
    <col min="10761" max="10761" width="12.28515625" customWidth="1"/>
    <col min="10762" max="10762" width="20.28515625" customWidth="1"/>
    <col min="10763" max="10763" width="13.85546875" customWidth="1"/>
    <col min="10764" max="10764" width="8" customWidth="1"/>
    <col min="11009" max="11009" width="30.140625" customWidth="1"/>
    <col min="11010" max="11010" width="15" customWidth="1"/>
    <col min="11011" max="11011" width="14.42578125" customWidth="1"/>
    <col min="11012" max="11012" width="29.140625" customWidth="1"/>
    <col min="11013" max="11013" width="24.5703125" customWidth="1"/>
    <col min="11014" max="11014" width="13.140625" customWidth="1"/>
    <col min="11015" max="11015" width="8.7109375" customWidth="1"/>
    <col min="11016" max="11016" width="8" customWidth="1"/>
    <col min="11017" max="11017" width="12.28515625" customWidth="1"/>
    <col min="11018" max="11018" width="20.28515625" customWidth="1"/>
    <col min="11019" max="11019" width="13.85546875" customWidth="1"/>
    <col min="11020" max="11020" width="8" customWidth="1"/>
    <col min="11265" max="11265" width="30.140625" customWidth="1"/>
    <col min="11266" max="11266" width="15" customWidth="1"/>
    <col min="11267" max="11267" width="14.42578125" customWidth="1"/>
    <col min="11268" max="11268" width="29.140625" customWidth="1"/>
    <col min="11269" max="11269" width="24.5703125" customWidth="1"/>
    <col min="11270" max="11270" width="13.140625" customWidth="1"/>
    <col min="11271" max="11271" width="8.7109375" customWidth="1"/>
    <col min="11272" max="11272" width="8" customWidth="1"/>
    <col min="11273" max="11273" width="12.28515625" customWidth="1"/>
    <col min="11274" max="11274" width="20.28515625" customWidth="1"/>
    <col min="11275" max="11275" width="13.85546875" customWidth="1"/>
    <col min="11276" max="11276" width="8" customWidth="1"/>
    <col min="11521" max="11521" width="30.140625" customWidth="1"/>
    <col min="11522" max="11522" width="15" customWidth="1"/>
    <col min="11523" max="11523" width="14.42578125" customWidth="1"/>
    <col min="11524" max="11524" width="29.140625" customWidth="1"/>
    <col min="11525" max="11525" width="24.5703125" customWidth="1"/>
    <col min="11526" max="11526" width="13.140625" customWidth="1"/>
    <col min="11527" max="11527" width="8.7109375" customWidth="1"/>
    <col min="11528" max="11528" width="8" customWidth="1"/>
    <col min="11529" max="11529" width="12.28515625" customWidth="1"/>
    <col min="11530" max="11530" width="20.28515625" customWidth="1"/>
    <col min="11531" max="11531" width="13.85546875" customWidth="1"/>
    <col min="11532" max="11532" width="8" customWidth="1"/>
    <col min="11777" max="11777" width="30.140625" customWidth="1"/>
    <col min="11778" max="11778" width="15" customWidth="1"/>
    <col min="11779" max="11779" width="14.42578125" customWidth="1"/>
    <col min="11780" max="11780" width="29.140625" customWidth="1"/>
    <col min="11781" max="11781" width="24.5703125" customWidth="1"/>
    <col min="11782" max="11782" width="13.140625" customWidth="1"/>
    <col min="11783" max="11783" width="8.7109375" customWidth="1"/>
    <col min="11784" max="11784" width="8" customWidth="1"/>
    <col min="11785" max="11785" width="12.28515625" customWidth="1"/>
    <col min="11786" max="11786" width="20.28515625" customWidth="1"/>
    <col min="11787" max="11787" width="13.85546875" customWidth="1"/>
    <col min="11788" max="11788" width="8" customWidth="1"/>
    <col min="12033" max="12033" width="30.140625" customWidth="1"/>
    <col min="12034" max="12034" width="15" customWidth="1"/>
    <col min="12035" max="12035" width="14.42578125" customWidth="1"/>
    <col min="12036" max="12036" width="29.140625" customWidth="1"/>
    <col min="12037" max="12037" width="24.5703125" customWidth="1"/>
    <col min="12038" max="12038" width="13.140625" customWidth="1"/>
    <col min="12039" max="12039" width="8.7109375" customWidth="1"/>
    <col min="12040" max="12040" width="8" customWidth="1"/>
    <col min="12041" max="12041" width="12.28515625" customWidth="1"/>
    <col min="12042" max="12042" width="20.28515625" customWidth="1"/>
    <col min="12043" max="12043" width="13.85546875" customWidth="1"/>
    <col min="12044" max="12044" width="8" customWidth="1"/>
    <col min="12289" max="12289" width="30.140625" customWidth="1"/>
    <col min="12290" max="12290" width="15" customWidth="1"/>
    <col min="12291" max="12291" width="14.42578125" customWidth="1"/>
    <col min="12292" max="12292" width="29.140625" customWidth="1"/>
    <col min="12293" max="12293" width="24.5703125" customWidth="1"/>
    <col min="12294" max="12294" width="13.140625" customWidth="1"/>
    <col min="12295" max="12295" width="8.7109375" customWidth="1"/>
    <col min="12296" max="12296" width="8" customWidth="1"/>
    <col min="12297" max="12297" width="12.28515625" customWidth="1"/>
    <col min="12298" max="12298" width="20.28515625" customWidth="1"/>
    <col min="12299" max="12299" width="13.85546875" customWidth="1"/>
    <col min="12300" max="12300" width="8" customWidth="1"/>
    <col min="12545" max="12545" width="30.140625" customWidth="1"/>
    <col min="12546" max="12546" width="15" customWidth="1"/>
    <col min="12547" max="12547" width="14.42578125" customWidth="1"/>
    <col min="12548" max="12548" width="29.140625" customWidth="1"/>
    <col min="12549" max="12549" width="24.5703125" customWidth="1"/>
    <col min="12550" max="12550" width="13.140625" customWidth="1"/>
    <col min="12551" max="12551" width="8.7109375" customWidth="1"/>
    <col min="12552" max="12552" width="8" customWidth="1"/>
    <col min="12553" max="12553" width="12.28515625" customWidth="1"/>
    <col min="12554" max="12554" width="20.28515625" customWidth="1"/>
    <col min="12555" max="12555" width="13.85546875" customWidth="1"/>
    <col min="12556" max="12556" width="8" customWidth="1"/>
    <col min="12801" max="12801" width="30.140625" customWidth="1"/>
    <col min="12802" max="12802" width="15" customWidth="1"/>
    <col min="12803" max="12803" width="14.42578125" customWidth="1"/>
    <col min="12804" max="12804" width="29.140625" customWidth="1"/>
    <col min="12805" max="12805" width="24.5703125" customWidth="1"/>
    <col min="12806" max="12806" width="13.140625" customWidth="1"/>
    <col min="12807" max="12807" width="8.7109375" customWidth="1"/>
    <col min="12808" max="12808" width="8" customWidth="1"/>
    <col min="12809" max="12809" width="12.28515625" customWidth="1"/>
    <col min="12810" max="12810" width="20.28515625" customWidth="1"/>
    <col min="12811" max="12811" width="13.85546875" customWidth="1"/>
    <col min="12812" max="12812" width="8" customWidth="1"/>
    <col min="13057" max="13057" width="30.140625" customWidth="1"/>
    <col min="13058" max="13058" width="15" customWidth="1"/>
    <col min="13059" max="13059" width="14.42578125" customWidth="1"/>
    <col min="13060" max="13060" width="29.140625" customWidth="1"/>
    <col min="13061" max="13061" width="24.5703125" customWidth="1"/>
    <col min="13062" max="13062" width="13.140625" customWidth="1"/>
    <col min="13063" max="13063" width="8.7109375" customWidth="1"/>
    <col min="13064" max="13064" width="8" customWidth="1"/>
    <col min="13065" max="13065" width="12.28515625" customWidth="1"/>
    <col min="13066" max="13066" width="20.28515625" customWidth="1"/>
    <col min="13067" max="13067" width="13.85546875" customWidth="1"/>
    <col min="13068" max="13068" width="8" customWidth="1"/>
    <col min="13313" max="13313" width="30.140625" customWidth="1"/>
    <col min="13314" max="13314" width="15" customWidth="1"/>
    <col min="13315" max="13315" width="14.42578125" customWidth="1"/>
    <col min="13316" max="13316" width="29.140625" customWidth="1"/>
    <col min="13317" max="13317" width="24.5703125" customWidth="1"/>
    <col min="13318" max="13318" width="13.140625" customWidth="1"/>
    <col min="13319" max="13319" width="8.7109375" customWidth="1"/>
    <col min="13320" max="13320" width="8" customWidth="1"/>
    <col min="13321" max="13321" width="12.28515625" customWidth="1"/>
    <col min="13322" max="13322" width="20.28515625" customWidth="1"/>
    <col min="13323" max="13323" width="13.85546875" customWidth="1"/>
    <col min="13324" max="13324" width="8" customWidth="1"/>
    <col min="13569" max="13569" width="30.140625" customWidth="1"/>
    <col min="13570" max="13570" width="15" customWidth="1"/>
    <col min="13571" max="13571" width="14.42578125" customWidth="1"/>
    <col min="13572" max="13572" width="29.140625" customWidth="1"/>
    <col min="13573" max="13573" width="24.5703125" customWidth="1"/>
    <col min="13574" max="13574" width="13.140625" customWidth="1"/>
    <col min="13575" max="13575" width="8.7109375" customWidth="1"/>
    <col min="13576" max="13576" width="8" customWidth="1"/>
    <col min="13577" max="13577" width="12.28515625" customWidth="1"/>
    <col min="13578" max="13578" width="20.28515625" customWidth="1"/>
    <col min="13579" max="13579" width="13.85546875" customWidth="1"/>
    <col min="13580" max="13580" width="8" customWidth="1"/>
    <col min="13825" max="13825" width="30.140625" customWidth="1"/>
    <col min="13826" max="13826" width="15" customWidth="1"/>
    <col min="13827" max="13827" width="14.42578125" customWidth="1"/>
    <col min="13828" max="13828" width="29.140625" customWidth="1"/>
    <col min="13829" max="13829" width="24.5703125" customWidth="1"/>
    <col min="13830" max="13830" width="13.140625" customWidth="1"/>
    <col min="13831" max="13831" width="8.7109375" customWidth="1"/>
    <col min="13832" max="13832" width="8" customWidth="1"/>
    <col min="13833" max="13833" width="12.28515625" customWidth="1"/>
    <col min="13834" max="13834" width="20.28515625" customWidth="1"/>
    <col min="13835" max="13835" width="13.85546875" customWidth="1"/>
    <col min="13836" max="13836" width="8" customWidth="1"/>
    <col min="14081" max="14081" width="30.140625" customWidth="1"/>
    <col min="14082" max="14082" width="15" customWidth="1"/>
    <col min="14083" max="14083" width="14.42578125" customWidth="1"/>
    <col min="14084" max="14084" width="29.140625" customWidth="1"/>
    <col min="14085" max="14085" width="24.5703125" customWidth="1"/>
    <col min="14086" max="14086" width="13.140625" customWidth="1"/>
    <col min="14087" max="14087" width="8.7109375" customWidth="1"/>
    <col min="14088" max="14088" width="8" customWidth="1"/>
    <col min="14089" max="14089" width="12.28515625" customWidth="1"/>
    <col min="14090" max="14090" width="20.28515625" customWidth="1"/>
    <col min="14091" max="14091" width="13.85546875" customWidth="1"/>
    <col min="14092" max="14092" width="8" customWidth="1"/>
    <col min="14337" max="14337" width="30.140625" customWidth="1"/>
    <col min="14338" max="14338" width="15" customWidth="1"/>
    <col min="14339" max="14339" width="14.42578125" customWidth="1"/>
    <col min="14340" max="14340" width="29.140625" customWidth="1"/>
    <col min="14341" max="14341" width="24.5703125" customWidth="1"/>
    <col min="14342" max="14342" width="13.140625" customWidth="1"/>
    <col min="14343" max="14343" width="8.7109375" customWidth="1"/>
    <col min="14344" max="14344" width="8" customWidth="1"/>
    <col min="14345" max="14345" width="12.28515625" customWidth="1"/>
    <col min="14346" max="14346" width="20.28515625" customWidth="1"/>
    <col min="14347" max="14347" width="13.85546875" customWidth="1"/>
    <col min="14348" max="14348" width="8" customWidth="1"/>
    <col min="14593" max="14593" width="30.140625" customWidth="1"/>
    <col min="14594" max="14594" width="15" customWidth="1"/>
    <col min="14595" max="14595" width="14.42578125" customWidth="1"/>
    <col min="14596" max="14596" width="29.140625" customWidth="1"/>
    <col min="14597" max="14597" width="24.5703125" customWidth="1"/>
    <col min="14598" max="14598" width="13.140625" customWidth="1"/>
    <col min="14599" max="14599" width="8.7109375" customWidth="1"/>
    <col min="14600" max="14600" width="8" customWidth="1"/>
    <col min="14601" max="14601" width="12.28515625" customWidth="1"/>
    <col min="14602" max="14602" width="20.28515625" customWidth="1"/>
    <col min="14603" max="14603" width="13.85546875" customWidth="1"/>
    <col min="14604" max="14604" width="8" customWidth="1"/>
    <col min="14849" max="14849" width="30.140625" customWidth="1"/>
    <col min="14850" max="14850" width="15" customWidth="1"/>
    <col min="14851" max="14851" width="14.42578125" customWidth="1"/>
    <col min="14852" max="14852" width="29.140625" customWidth="1"/>
    <col min="14853" max="14853" width="24.5703125" customWidth="1"/>
    <col min="14854" max="14854" width="13.140625" customWidth="1"/>
    <col min="14855" max="14855" width="8.7109375" customWidth="1"/>
    <col min="14856" max="14856" width="8" customWidth="1"/>
    <col min="14857" max="14857" width="12.28515625" customWidth="1"/>
    <col min="14858" max="14858" width="20.28515625" customWidth="1"/>
    <col min="14859" max="14859" width="13.85546875" customWidth="1"/>
    <col min="14860" max="14860" width="8" customWidth="1"/>
    <col min="15105" max="15105" width="30.140625" customWidth="1"/>
    <col min="15106" max="15106" width="15" customWidth="1"/>
    <col min="15107" max="15107" width="14.42578125" customWidth="1"/>
    <col min="15108" max="15108" width="29.140625" customWidth="1"/>
    <col min="15109" max="15109" width="24.5703125" customWidth="1"/>
    <col min="15110" max="15110" width="13.140625" customWidth="1"/>
    <col min="15111" max="15111" width="8.7109375" customWidth="1"/>
    <col min="15112" max="15112" width="8" customWidth="1"/>
    <col min="15113" max="15113" width="12.28515625" customWidth="1"/>
    <col min="15114" max="15114" width="20.28515625" customWidth="1"/>
    <col min="15115" max="15115" width="13.85546875" customWidth="1"/>
    <col min="15116" max="15116" width="8" customWidth="1"/>
    <col min="15361" max="15361" width="30.140625" customWidth="1"/>
    <col min="15362" max="15362" width="15" customWidth="1"/>
    <col min="15363" max="15363" width="14.42578125" customWidth="1"/>
    <col min="15364" max="15364" width="29.140625" customWidth="1"/>
    <col min="15365" max="15365" width="24.5703125" customWidth="1"/>
    <col min="15366" max="15366" width="13.140625" customWidth="1"/>
    <col min="15367" max="15367" width="8.7109375" customWidth="1"/>
    <col min="15368" max="15368" width="8" customWidth="1"/>
    <col min="15369" max="15369" width="12.28515625" customWidth="1"/>
    <col min="15370" max="15370" width="20.28515625" customWidth="1"/>
    <col min="15371" max="15371" width="13.85546875" customWidth="1"/>
    <col min="15372" max="15372" width="8" customWidth="1"/>
    <col min="15617" max="15617" width="30.140625" customWidth="1"/>
    <col min="15618" max="15618" width="15" customWidth="1"/>
    <col min="15619" max="15619" width="14.42578125" customWidth="1"/>
    <col min="15620" max="15620" width="29.140625" customWidth="1"/>
    <col min="15621" max="15621" width="24.5703125" customWidth="1"/>
    <col min="15622" max="15622" width="13.140625" customWidth="1"/>
    <col min="15623" max="15623" width="8.7109375" customWidth="1"/>
    <col min="15624" max="15624" width="8" customWidth="1"/>
    <col min="15625" max="15625" width="12.28515625" customWidth="1"/>
    <col min="15626" max="15626" width="20.28515625" customWidth="1"/>
    <col min="15627" max="15627" width="13.85546875" customWidth="1"/>
    <col min="15628" max="15628" width="8" customWidth="1"/>
    <col min="15873" max="15873" width="30.140625" customWidth="1"/>
    <col min="15874" max="15874" width="15" customWidth="1"/>
    <col min="15875" max="15875" width="14.42578125" customWidth="1"/>
    <col min="15876" max="15876" width="29.140625" customWidth="1"/>
    <col min="15877" max="15877" width="24.5703125" customWidth="1"/>
    <col min="15878" max="15878" width="13.140625" customWidth="1"/>
    <col min="15879" max="15879" width="8.7109375" customWidth="1"/>
    <col min="15880" max="15880" width="8" customWidth="1"/>
    <col min="15881" max="15881" width="12.28515625" customWidth="1"/>
    <col min="15882" max="15882" width="20.28515625" customWidth="1"/>
    <col min="15883" max="15883" width="13.85546875" customWidth="1"/>
    <col min="15884" max="15884" width="8" customWidth="1"/>
    <col min="16129" max="16129" width="30.140625" customWidth="1"/>
    <col min="16130" max="16130" width="15" customWidth="1"/>
    <col min="16131" max="16131" width="14.42578125" customWidth="1"/>
    <col min="16132" max="16132" width="29.140625" customWidth="1"/>
    <col min="16133" max="16133" width="24.5703125" customWidth="1"/>
    <col min="16134" max="16134" width="13.140625" customWidth="1"/>
    <col min="16135" max="16135" width="8.7109375" customWidth="1"/>
    <col min="16136" max="16136" width="8" customWidth="1"/>
    <col min="16137" max="16137" width="12.28515625" customWidth="1"/>
    <col min="16138" max="16138" width="20.28515625" customWidth="1"/>
    <col min="16139" max="16139" width="13.85546875" customWidth="1"/>
    <col min="16140" max="16140" width="8" customWidth="1"/>
  </cols>
  <sheetData>
    <row r="1" spans="1:13" ht="12.75" customHeight="1">
      <c r="B1" s="89"/>
      <c r="E1" s="90"/>
    </row>
    <row r="2" spans="1:13" ht="12.75" customHeight="1">
      <c r="A2" s="91" t="s">
        <v>135</v>
      </c>
      <c r="B2" s="90"/>
      <c r="C2" s="165"/>
      <c r="E2" s="90"/>
    </row>
    <row r="3" spans="1:13" ht="12.75" customHeight="1">
      <c r="A3" t="s">
        <v>531</v>
      </c>
      <c r="B3" s="165">
        <f>Historico!I24</f>
        <v>43556</v>
      </c>
      <c r="D3" s="92"/>
      <c r="E3" s="93"/>
    </row>
    <row r="4" spans="1:13" ht="12.75" customHeight="1">
      <c r="A4" t="s">
        <v>530</v>
      </c>
      <c r="B4" s="170">
        <f>Historico!B24</f>
        <v>132572.97</v>
      </c>
      <c r="E4" s="89"/>
    </row>
    <row r="5" spans="1:13" ht="12.75" customHeight="1">
      <c r="A5" t="s">
        <v>136</v>
      </c>
      <c r="B5" s="94">
        <f>(12*(YEAR(Historico!I82) - YEAR(B3)))+4-MONTH(B3)</f>
        <v>348</v>
      </c>
      <c r="E5" s="90"/>
      <c r="J5" s="95" t="s">
        <v>137</v>
      </c>
      <c r="L5" s="92" t="s">
        <v>138</v>
      </c>
      <c r="M5" t="s">
        <v>139</v>
      </c>
    </row>
    <row r="6" spans="1:13" ht="12.75" customHeight="1">
      <c r="A6" t="s">
        <v>140</v>
      </c>
      <c r="B6" s="96">
        <f>E19</f>
        <v>-0.16900000000000001</v>
      </c>
      <c r="C6" s="92" t="s">
        <v>141</v>
      </c>
      <c r="D6" s="91" t="s">
        <v>142</v>
      </c>
      <c r="E6" s="90"/>
      <c r="J6" t="s">
        <v>143</v>
      </c>
      <c r="K6" s="97">
        <f>B4-B15</f>
        <v>132209.9522452362</v>
      </c>
      <c r="L6" s="87">
        <f>B4*(E8/100)</f>
        <v>36.568044225000001</v>
      </c>
      <c r="M6" s="97">
        <f>B13-L6</f>
        <v>363.01775476379282</v>
      </c>
    </row>
    <row r="7" spans="1:13" ht="12.75" customHeight="1">
      <c r="E7" s="90"/>
      <c r="J7" t="s">
        <v>144</v>
      </c>
      <c r="K7" s="97">
        <f>K6-(B13-L7)</f>
        <v>131846.83435807505</v>
      </c>
      <c r="L7" s="87">
        <f>(K6*(E8/100))</f>
        <v>36.467911827644322</v>
      </c>
      <c r="M7" s="97">
        <f>B13-L7</f>
        <v>363.11788716114847</v>
      </c>
    </row>
    <row r="8" spans="1:13" ht="12.75" customHeight="1">
      <c r="B8" s="90"/>
      <c r="D8" t="s">
        <v>597</v>
      </c>
      <c r="E8" s="98">
        <f>(B6+0.5)/12</f>
        <v>2.7583333333333331E-2</v>
      </c>
      <c r="J8" t="s">
        <v>145</v>
      </c>
      <c r="K8" s="97">
        <f>K7-(B13-L8)</f>
        <v>131483.6163108967</v>
      </c>
      <c r="L8" s="87">
        <f>(K7*(E8/100))</f>
        <v>36.367751810435699</v>
      </c>
      <c r="M8" s="97">
        <f>B13-L8</f>
        <v>363.2180471783571</v>
      </c>
    </row>
    <row r="9" spans="1:13" ht="12.75" customHeight="1">
      <c r="B9" s="90"/>
      <c r="D9" t="s">
        <v>146</v>
      </c>
      <c r="E9" s="98">
        <f>1+(E8/100)</f>
        <v>1.0002758333333333</v>
      </c>
      <c r="J9" t="s">
        <v>147</v>
      </c>
      <c r="K9" s="97">
        <f>K8-(B13-L9)</f>
        <v>131120.29807607367</v>
      </c>
      <c r="L9" s="87">
        <f>(K8*(E8/100))</f>
        <v>36.267564165755672</v>
      </c>
      <c r="M9" s="97">
        <f>B13-L9</f>
        <v>363.31823482303713</v>
      </c>
    </row>
    <row r="10" spans="1:13" ht="12.75" customHeight="1">
      <c r="B10" s="90"/>
      <c r="D10" t="s">
        <v>148</v>
      </c>
      <c r="E10" s="98">
        <f>E9^-B5</f>
        <v>0.90848512555365957</v>
      </c>
      <c r="J10" t="s">
        <v>149</v>
      </c>
      <c r="K10" s="97">
        <f>K9-(B13-L10)</f>
        <v>130756.87962597086</v>
      </c>
      <c r="L10" s="87">
        <f>(K9*(E8/100))</f>
        <v>36.167348885983657</v>
      </c>
      <c r="M10" s="97">
        <f>B13-L10</f>
        <v>363.41845010280917</v>
      </c>
    </row>
    <row r="11" spans="1:13" ht="12.75" customHeight="1">
      <c r="A11" s="91" t="s">
        <v>150</v>
      </c>
      <c r="B11" s="90"/>
      <c r="D11" t="s">
        <v>151</v>
      </c>
      <c r="E11" s="98">
        <f>100*(1-E10)</f>
        <v>9.1514874446340428</v>
      </c>
      <c r="J11" t="s">
        <v>152</v>
      </c>
      <c r="K11" s="99">
        <f>K10-(B13-L11)</f>
        <v>130393.36093294556</v>
      </c>
      <c r="L11" s="87">
        <f>(K10*(E8/100))</f>
        <v>36.067105963496964</v>
      </c>
      <c r="M11" s="97">
        <f>B13-L11</f>
        <v>363.51869302529587</v>
      </c>
    </row>
    <row r="12" spans="1:13" ht="12.75" customHeight="1">
      <c r="B12" s="90"/>
      <c r="E12" s="90"/>
    </row>
    <row r="13" spans="1:13" ht="12.75" customHeight="1">
      <c r="A13" t="s">
        <v>153</v>
      </c>
      <c r="B13" s="100">
        <f>(B4*E8)/E11</f>
        <v>399.58579898879282</v>
      </c>
      <c r="E13" s="90"/>
      <c r="F13" s="92"/>
      <c r="G13" s="101"/>
      <c r="L13" s="102">
        <f>SUM(L6:L11)</f>
        <v>217.9057268783163</v>
      </c>
      <c r="M13" s="102">
        <f>SUM(M6:M11)</f>
        <v>2179.6090670544404</v>
      </c>
    </row>
    <row r="14" spans="1:13" ht="12.75" customHeight="1">
      <c r="A14" t="s">
        <v>154</v>
      </c>
      <c r="B14" s="103">
        <f>B4*(E8/100)</f>
        <v>36.568044225000001</v>
      </c>
      <c r="E14" s="90"/>
    </row>
    <row r="15" spans="1:13" ht="12.75" customHeight="1">
      <c r="A15" t="s">
        <v>155</v>
      </c>
      <c r="B15" s="103">
        <f>B13-B14</f>
        <v>363.01775476379282</v>
      </c>
      <c r="E15" s="90"/>
    </row>
    <row r="16" spans="1:13" ht="12.75" customHeight="1">
      <c r="B16" s="90"/>
      <c r="E16" s="90"/>
    </row>
    <row r="17" spans="1:9" ht="12.75" customHeight="1">
      <c r="B17" s="90"/>
      <c r="D17" t="s">
        <v>156</v>
      </c>
      <c r="E17" s="101">
        <f>B13-Historico!C21</f>
        <v>399.5873589887928</v>
      </c>
    </row>
    <row r="18" spans="1:9" ht="12.75" customHeight="1">
      <c r="B18" s="90"/>
      <c r="E18" s="90"/>
    </row>
    <row r="19" spans="1:9" ht="12.75" customHeight="1">
      <c r="B19" s="98"/>
      <c r="D19" t="s">
        <v>157</v>
      </c>
      <c r="E19" s="104">
        <f>E20/G45</f>
        <v>-0.16900000000000001</v>
      </c>
      <c r="F19" t="s">
        <v>158</v>
      </c>
    </row>
    <row r="20" spans="1:9" ht="12.75" customHeight="1">
      <c r="B20" s="90"/>
      <c r="D20" t="s">
        <v>159</v>
      </c>
      <c r="E20" s="105">
        <f>SUM(E21:E54)</f>
        <v>-0.16900000000000001</v>
      </c>
    </row>
    <row r="21" spans="1:9" ht="12.75" customHeight="1">
      <c r="E21" s="90">
        <v>-0.16900000000000001</v>
      </c>
      <c r="F21">
        <v>1</v>
      </c>
      <c r="G21" s="105">
        <f>IF(E21="",0,1)</f>
        <v>1</v>
      </c>
      <c r="I21" s="90"/>
    </row>
    <row r="22" spans="1:9" ht="12.75" customHeight="1">
      <c r="A22" s="92" t="s">
        <v>160</v>
      </c>
      <c r="B22" s="101">
        <f>(B13-L6)+(B13-L7)+(B13-L8)+(B13-L9)+(B13-L10)+(B13-L11)</f>
        <v>2179.6090670544404</v>
      </c>
      <c r="C22" s="106">
        <f>B22/170000</f>
        <v>1.2821229806202591E-2</v>
      </c>
      <c r="E22" s="90"/>
      <c r="F22">
        <v>2</v>
      </c>
      <c r="G22" s="105">
        <f t="shared" ref="G22:G40" si="0">IF(E22="",0,1)</f>
        <v>0</v>
      </c>
    </row>
    <row r="23" spans="1:9" ht="12.75" customHeight="1">
      <c r="A23" t="s">
        <v>161</v>
      </c>
      <c r="B23" s="101">
        <f>K11</f>
        <v>130393.36093294556</v>
      </c>
      <c r="C23" s="107">
        <f>6/(40*6)</f>
        <v>2.5000000000000001E-2</v>
      </c>
      <c r="E23" s="90"/>
      <c r="F23">
        <v>3</v>
      </c>
      <c r="G23" s="105">
        <f t="shared" si="0"/>
        <v>0</v>
      </c>
    </row>
    <row r="24" spans="1:9" ht="12.75" customHeight="1">
      <c r="E24" s="90"/>
      <c r="F24">
        <v>6</v>
      </c>
      <c r="G24" s="105">
        <f t="shared" si="0"/>
        <v>0</v>
      </c>
    </row>
    <row r="25" spans="1:9" ht="12.75" customHeight="1">
      <c r="E25" s="90"/>
      <c r="F25">
        <v>7</v>
      </c>
      <c r="G25" s="105">
        <f t="shared" si="0"/>
        <v>0</v>
      </c>
    </row>
    <row r="26" spans="1:9" ht="12.75" customHeight="1">
      <c r="E26" s="90"/>
      <c r="F26">
        <v>8</v>
      </c>
      <c r="G26" s="105">
        <f t="shared" si="0"/>
        <v>0</v>
      </c>
    </row>
    <row r="27" spans="1:9" ht="12.75" customHeight="1">
      <c r="E27" s="90"/>
      <c r="F27">
        <v>9</v>
      </c>
      <c r="G27" s="105">
        <f t="shared" si="0"/>
        <v>0</v>
      </c>
    </row>
    <row r="28" spans="1:9" ht="12.75" customHeight="1">
      <c r="C28" s="107">
        <f>1-(35/40)</f>
        <v>0.125</v>
      </c>
      <c r="E28" s="90"/>
      <c r="F28">
        <v>10</v>
      </c>
      <c r="G28" s="105">
        <f t="shared" si="0"/>
        <v>0</v>
      </c>
    </row>
    <row r="29" spans="1:9" ht="12.75" customHeight="1">
      <c r="C29" s="107">
        <f>1-(B4/170000)</f>
        <v>0.22015899999999999</v>
      </c>
      <c r="E29" s="90"/>
      <c r="F29">
        <v>13</v>
      </c>
      <c r="G29" s="105">
        <f t="shared" si="0"/>
        <v>0</v>
      </c>
    </row>
    <row r="30" spans="1:9" ht="12.75" customHeight="1">
      <c r="C30" s="107">
        <f>C28-C29</f>
        <v>-9.5158999999999994E-2</v>
      </c>
      <c r="E30" s="90"/>
      <c r="F30">
        <v>14</v>
      </c>
      <c r="G30" s="105">
        <f t="shared" si="0"/>
        <v>0</v>
      </c>
    </row>
    <row r="31" spans="1:9" ht="12.75" customHeight="1">
      <c r="E31" s="90"/>
      <c r="F31">
        <v>15</v>
      </c>
      <c r="G31" s="105">
        <f t="shared" si="0"/>
        <v>0</v>
      </c>
    </row>
    <row r="32" spans="1:9" ht="12.75" customHeight="1">
      <c r="E32" s="90"/>
      <c r="F32">
        <v>16</v>
      </c>
      <c r="G32" s="105">
        <f t="shared" si="0"/>
        <v>0</v>
      </c>
    </row>
    <row r="33" spans="2:7" ht="12.75" customHeight="1">
      <c r="C33" s="107">
        <f>1-(((12*35)-6)/(40*12))</f>
        <v>0.13749999999999996</v>
      </c>
      <c r="E33" s="90"/>
      <c r="F33">
        <v>17</v>
      </c>
      <c r="G33" s="105">
        <f t="shared" si="0"/>
        <v>0</v>
      </c>
    </row>
    <row r="34" spans="2:7" ht="12.75" customHeight="1">
      <c r="C34" s="106">
        <f>1-(K11/170000)</f>
        <v>0.23298022980620259</v>
      </c>
      <c r="E34" s="90"/>
      <c r="F34">
        <v>20</v>
      </c>
      <c r="G34" s="105">
        <f t="shared" si="0"/>
        <v>0</v>
      </c>
    </row>
    <row r="35" spans="2:7" ht="12.75" customHeight="1">
      <c r="C35" s="106">
        <f>C33-C34</f>
        <v>-9.5480229806202632E-2</v>
      </c>
      <c r="E35" s="90"/>
      <c r="F35">
        <v>21</v>
      </c>
      <c r="G35" s="105">
        <f t="shared" si="0"/>
        <v>0</v>
      </c>
    </row>
    <row r="36" spans="2:7" ht="12.75" customHeight="1">
      <c r="E36" s="90"/>
      <c r="F36">
        <v>22</v>
      </c>
      <c r="G36" s="105">
        <f t="shared" si="0"/>
        <v>0</v>
      </c>
    </row>
    <row r="37" spans="2:7" ht="12.75" customHeight="1">
      <c r="E37" s="90"/>
      <c r="F37">
        <v>23</v>
      </c>
      <c r="G37" s="105">
        <f t="shared" si="0"/>
        <v>0</v>
      </c>
    </row>
    <row r="38" spans="2:7" ht="12.75" customHeight="1">
      <c r="E38" s="90"/>
      <c r="F38">
        <v>24</v>
      </c>
      <c r="G38" s="105">
        <f t="shared" si="0"/>
        <v>0</v>
      </c>
    </row>
    <row r="39" spans="2:7" ht="12.75" customHeight="1">
      <c r="E39" s="90"/>
      <c r="F39">
        <v>27</v>
      </c>
      <c r="G39" s="105">
        <f t="shared" si="0"/>
        <v>0</v>
      </c>
    </row>
    <row r="40" spans="2:7" ht="12.75" customHeight="1">
      <c r="E40" s="90"/>
      <c r="F40">
        <v>28</v>
      </c>
      <c r="G40" s="105">
        <f t="shared" si="0"/>
        <v>0</v>
      </c>
    </row>
    <row r="41" spans="2:7" ht="12.75" customHeight="1">
      <c r="E41" s="90"/>
      <c r="F41">
        <v>29</v>
      </c>
      <c r="G41" s="105">
        <f t="shared" ref="G41:G43" si="1">IF(E41="",0,1)</f>
        <v>0</v>
      </c>
    </row>
    <row r="42" spans="2:7" ht="12.75" customHeight="1">
      <c r="E42" s="90"/>
      <c r="F42">
        <v>30</v>
      </c>
      <c r="G42" s="105">
        <f t="shared" si="1"/>
        <v>0</v>
      </c>
    </row>
    <row r="43" spans="2:7" ht="12.75" customHeight="1">
      <c r="B43" s="87"/>
      <c r="E43" s="90"/>
      <c r="F43">
        <v>31</v>
      </c>
      <c r="G43" s="105">
        <f t="shared" si="1"/>
        <v>0</v>
      </c>
    </row>
    <row r="45" spans="2:7" ht="12.75" customHeight="1">
      <c r="G45" s="105">
        <f>SUM(G21:G43)</f>
        <v>1</v>
      </c>
    </row>
    <row r="46" spans="2:7">
      <c r="B46" s="108"/>
    </row>
    <row r="56" spans="3:3">
      <c r="C56" s="87"/>
    </row>
    <row r="57" spans="3:3">
      <c r="C57" s="87"/>
    </row>
    <row r="58" spans="3:3">
      <c r="C58" s="87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I63"/>
  <sheetViews>
    <sheetView topLeftCell="A4" workbookViewId="0">
      <selection activeCell="E15" sqref="E15"/>
    </sheetView>
  </sheetViews>
  <sheetFormatPr defaultColWidth="11" defaultRowHeight="15"/>
  <cols>
    <col min="3" max="3" width="14.140625" customWidth="1"/>
    <col min="4" max="4" width="18" customWidth="1"/>
  </cols>
  <sheetData>
    <row r="1" spans="1:9" ht="15.75" thickBot="1">
      <c r="A1" s="138">
        <v>258.47000000000003</v>
      </c>
    </row>
    <row r="2" spans="1:9" ht="15.75" thickBot="1">
      <c r="A2" s="138">
        <v>9486.92</v>
      </c>
      <c r="B2" s="112" t="s">
        <v>191</v>
      </c>
      <c r="C2" s="109" t="s">
        <v>192</v>
      </c>
      <c r="D2" s="111" t="s">
        <v>193</v>
      </c>
    </row>
    <row r="3" spans="1:9">
      <c r="B3" s="127">
        <v>43074</v>
      </c>
      <c r="C3" s="118">
        <v>0</v>
      </c>
      <c r="D3" s="114">
        <v>24736.65</v>
      </c>
      <c r="E3" t="s">
        <v>194</v>
      </c>
    </row>
    <row r="4" spans="1:9">
      <c r="B4" s="127">
        <f>EDATE(B3,1)</f>
        <v>43105</v>
      </c>
      <c r="C4" s="118">
        <f>C3+A$1</f>
        <v>258.47000000000003</v>
      </c>
      <c r="D4" s="114">
        <f>D3-A$1</f>
        <v>24478.18</v>
      </c>
      <c r="E4" t="s">
        <v>194</v>
      </c>
    </row>
    <row r="5" spans="1:9">
      <c r="B5" s="127">
        <f>EDATE(B4,1)</f>
        <v>43136</v>
      </c>
      <c r="C5" s="118">
        <f>C4+A$1</f>
        <v>516.94000000000005</v>
      </c>
      <c r="D5" s="114">
        <f t="shared" ref="D5:D61" si="0">D4-A$1</f>
        <v>24219.71</v>
      </c>
      <c r="E5" t="s">
        <v>194</v>
      </c>
    </row>
    <row r="6" spans="1:9">
      <c r="B6" s="127">
        <f t="shared" ref="B6:B63" si="1">EDATE(B5,1)</f>
        <v>43164</v>
      </c>
      <c r="C6" s="118">
        <f t="shared" ref="C6:C62" si="2">C5+A$1</f>
        <v>775.41000000000008</v>
      </c>
      <c r="D6" s="114">
        <f t="shared" si="0"/>
        <v>23961.239999999998</v>
      </c>
      <c r="E6" t="s">
        <v>194</v>
      </c>
    </row>
    <row r="7" spans="1:9">
      <c r="B7" s="127">
        <f t="shared" si="1"/>
        <v>43195</v>
      </c>
      <c r="C7" s="118">
        <f t="shared" si="2"/>
        <v>1033.8800000000001</v>
      </c>
      <c r="D7" s="114">
        <f t="shared" si="0"/>
        <v>23702.769999999997</v>
      </c>
      <c r="E7" t="s">
        <v>194</v>
      </c>
    </row>
    <row r="8" spans="1:9">
      <c r="B8" s="127">
        <f t="shared" si="1"/>
        <v>43225</v>
      </c>
      <c r="C8" s="118">
        <f t="shared" si="2"/>
        <v>1292.3500000000001</v>
      </c>
      <c r="D8" s="114">
        <f t="shared" si="0"/>
        <v>23444.299999999996</v>
      </c>
      <c r="E8" t="s">
        <v>194</v>
      </c>
    </row>
    <row r="9" spans="1:9">
      <c r="B9" s="127">
        <f t="shared" si="1"/>
        <v>43256</v>
      </c>
      <c r="C9" s="118">
        <f t="shared" si="2"/>
        <v>1550.8200000000002</v>
      </c>
      <c r="D9" s="114">
        <f t="shared" si="0"/>
        <v>23185.829999999994</v>
      </c>
      <c r="E9" t="s">
        <v>194</v>
      </c>
    </row>
    <row r="10" spans="1:9">
      <c r="B10" s="127">
        <f t="shared" si="1"/>
        <v>43286</v>
      </c>
      <c r="C10" s="118">
        <f t="shared" si="2"/>
        <v>1809.2900000000002</v>
      </c>
      <c r="D10" s="114">
        <f t="shared" si="0"/>
        <v>22927.359999999993</v>
      </c>
      <c r="E10" t="s">
        <v>194</v>
      </c>
    </row>
    <row r="11" spans="1:9">
      <c r="B11" s="127">
        <f t="shared" si="1"/>
        <v>43317</v>
      </c>
      <c r="C11" s="118">
        <f t="shared" si="2"/>
        <v>2067.7600000000002</v>
      </c>
      <c r="D11" s="114">
        <f t="shared" si="0"/>
        <v>22668.889999999992</v>
      </c>
      <c r="E11" t="s">
        <v>194</v>
      </c>
    </row>
    <row r="12" spans="1:9">
      <c r="B12" s="127">
        <f t="shared" si="1"/>
        <v>43348</v>
      </c>
      <c r="C12" s="118">
        <f t="shared" si="2"/>
        <v>2326.2300000000005</v>
      </c>
      <c r="D12" s="114">
        <f t="shared" si="0"/>
        <v>22410.419999999991</v>
      </c>
      <c r="E12" t="s">
        <v>194</v>
      </c>
    </row>
    <row r="13" spans="1:9">
      <c r="B13" s="127">
        <f t="shared" si="1"/>
        <v>43378</v>
      </c>
      <c r="C13" s="118">
        <f t="shared" si="2"/>
        <v>2584.7000000000007</v>
      </c>
      <c r="D13" s="114">
        <f t="shared" si="0"/>
        <v>22151.94999999999</v>
      </c>
      <c r="E13" t="s">
        <v>194</v>
      </c>
    </row>
    <row r="14" spans="1:9">
      <c r="B14" s="127">
        <f t="shared" si="1"/>
        <v>43409</v>
      </c>
      <c r="C14" s="118">
        <f t="shared" si="2"/>
        <v>2843.170000000001</v>
      </c>
      <c r="D14" s="114">
        <f t="shared" si="0"/>
        <v>21893.479999999989</v>
      </c>
      <c r="E14" t="s">
        <v>194</v>
      </c>
    </row>
    <row r="15" spans="1:9">
      <c r="B15" s="127">
        <f t="shared" si="1"/>
        <v>43439</v>
      </c>
      <c r="C15" s="118">
        <f t="shared" si="2"/>
        <v>3101.6400000000012</v>
      </c>
      <c r="D15" s="114">
        <f t="shared" si="0"/>
        <v>21635.009999999987</v>
      </c>
      <c r="E15" t="s">
        <v>194</v>
      </c>
      <c r="G15">
        <f>H15</f>
        <v>125</v>
      </c>
      <c r="H15">
        <v>125</v>
      </c>
      <c r="I15">
        <f>H15*12</f>
        <v>1500</v>
      </c>
    </row>
    <row r="16" spans="1:9">
      <c r="B16" s="127">
        <f t="shared" si="1"/>
        <v>43470</v>
      </c>
      <c r="C16" s="118">
        <f t="shared" si="2"/>
        <v>3360.1100000000015</v>
      </c>
      <c r="D16" s="114">
        <f t="shared" si="0"/>
        <v>21376.539999999986</v>
      </c>
      <c r="G16">
        <f>G$15+G15</f>
        <v>250</v>
      </c>
    </row>
    <row r="17" spans="2:7">
      <c r="B17" s="127">
        <f t="shared" si="1"/>
        <v>43501</v>
      </c>
      <c r="C17" s="118">
        <f t="shared" si="2"/>
        <v>3618.5800000000017</v>
      </c>
      <c r="D17" s="114">
        <f t="shared" si="0"/>
        <v>21118.069999999985</v>
      </c>
      <c r="G17">
        <f>G$15+G16</f>
        <v>375</v>
      </c>
    </row>
    <row r="18" spans="2:7">
      <c r="B18" s="127">
        <f t="shared" si="1"/>
        <v>43529</v>
      </c>
      <c r="C18" s="118">
        <f t="shared" si="2"/>
        <v>3877.050000000002</v>
      </c>
      <c r="D18" s="114">
        <f t="shared" si="0"/>
        <v>20859.599999999984</v>
      </c>
      <c r="G18">
        <f t="shared" ref="G18:G63" si="3">G$15+G17</f>
        <v>500</v>
      </c>
    </row>
    <row r="19" spans="2:7">
      <c r="B19" s="127">
        <f t="shared" si="1"/>
        <v>43560</v>
      </c>
      <c r="C19" s="118">
        <f t="shared" si="2"/>
        <v>4135.5200000000023</v>
      </c>
      <c r="D19" s="114">
        <f t="shared" si="0"/>
        <v>20601.129999999983</v>
      </c>
      <c r="G19">
        <f t="shared" si="3"/>
        <v>625</v>
      </c>
    </row>
    <row r="20" spans="2:7">
      <c r="B20" s="127">
        <f t="shared" si="1"/>
        <v>43590</v>
      </c>
      <c r="C20" s="118">
        <f t="shared" si="2"/>
        <v>4393.9900000000025</v>
      </c>
      <c r="D20" s="114">
        <f t="shared" si="0"/>
        <v>20342.659999999982</v>
      </c>
      <c r="G20">
        <f t="shared" si="3"/>
        <v>750</v>
      </c>
    </row>
    <row r="21" spans="2:7">
      <c r="B21" s="127">
        <f t="shared" si="1"/>
        <v>43621</v>
      </c>
      <c r="C21" s="118">
        <f t="shared" si="2"/>
        <v>4652.4600000000028</v>
      </c>
      <c r="D21" s="114">
        <f t="shared" si="0"/>
        <v>20084.189999999981</v>
      </c>
      <c r="G21">
        <f t="shared" si="3"/>
        <v>875</v>
      </c>
    </row>
    <row r="22" spans="2:7">
      <c r="B22" s="127">
        <f t="shared" si="1"/>
        <v>43651</v>
      </c>
      <c r="C22" s="118">
        <f t="shared" si="2"/>
        <v>4910.930000000003</v>
      </c>
      <c r="D22" s="114">
        <f t="shared" si="0"/>
        <v>19825.719999999979</v>
      </c>
      <c r="G22">
        <f t="shared" si="3"/>
        <v>1000</v>
      </c>
    </row>
    <row r="23" spans="2:7">
      <c r="B23" s="127">
        <f t="shared" si="1"/>
        <v>43682</v>
      </c>
      <c r="C23" s="118">
        <f t="shared" si="2"/>
        <v>5169.4000000000033</v>
      </c>
      <c r="D23" s="114">
        <f t="shared" si="0"/>
        <v>19567.249999999978</v>
      </c>
      <c r="G23">
        <f t="shared" si="3"/>
        <v>1125</v>
      </c>
    </row>
    <row r="24" spans="2:7">
      <c r="B24" s="127">
        <f t="shared" si="1"/>
        <v>43713</v>
      </c>
      <c r="C24" s="118">
        <f t="shared" si="2"/>
        <v>5427.8700000000035</v>
      </c>
      <c r="D24" s="114">
        <f t="shared" si="0"/>
        <v>19308.779999999977</v>
      </c>
      <c r="G24">
        <f t="shared" si="3"/>
        <v>1250</v>
      </c>
    </row>
    <row r="25" spans="2:7">
      <c r="B25" s="127">
        <f t="shared" si="1"/>
        <v>43743</v>
      </c>
      <c r="C25" s="118">
        <f t="shared" si="2"/>
        <v>5686.3400000000038</v>
      </c>
      <c r="D25" s="114">
        <f t="shared" si="0"/>
        <v>19050.309999999976</v>
      </c>
      <c r="G25">
        <f t="shared" si="3"/>
        <v>1375</v>
      </c>
    </row>
    <row r="26" spans="2:7">
      <c r="B26" s="127">
        <f t="shared" si="1"/>
        <v>43774</v>
      </c>
      <c r="C26" s="118">
        <f t="shared" si="2"/>
        <v>5944.810000000004</v>
      </c>
      <c r="D26" s="114">
        <f t="shared" si="0"/>
        <v>18791.839999999975</v>
      </c>
      <c r="G26">
        <f t="shared" si="3"/>
        <v>1500</v>
      </c>
    </row>
    <row r="27" spans="2:7">
      <c r="B27" s="127">
        <f t="shared" si="1"/>
        <v>43804</v>
      </c>
      <c r="C27" s="118">
        <f t="shared" si="2"/>
        <v>6203.2800000000043</v>
      </c>
      <c r="D27" s="114">
        <f t="shared" si="0"/>
        <v>18533.369999999974</v>
      </c>
      <c r="G27">
        <f t="shared" si="3"/>
        <v>1625</v>
      </c>
    </row>
    <row r="28" spans="2:7">
      <c r="B28" s="127">
        <f t="shared" si="1"/>
        <v>43835</v>
      </c>
      <c r="C28" s="118">
        <f t="shared" si="2"/>
        <v>6461.7500000000045</v>
      </c>
      <c r="D28" s="114">
        <f t="shared" si="0"/>
        <v>18274.899999999972</v>
      </c>
      <c r="G28">
        <f t="shared" si="3"/>
        <v>1750</v>
      </c>
    </row>
    <row r="29" spans="2:7">
      <c r="B29" s="127">
        <f t="shared" si="1"/>
        <v>43866</v>
      </c>
      <c r="C29" s="118">
        <f t="shared" si="2"/>
        <v>6720.2200000000048</v>
      </c>
      <c r="D29" s="114">
        <f t="shared" si="0"/>
        <v>18016.429999999971</v>
      </c>
      <c r="G29">
        <f t="shared" si="3"/>
        <v>1875</v>
      </c>
    </row>
    <row r="30" spans="2:7">
      <c r="B30" s="127">
        <f t="shared" si="1"/>
        <v>43895</v>
      </c>
      <c r="C30" s="118">
        <f t="shared" si="2"/>
        <v>6978.6900000000051</v>
      </c>
      <c r="D30" s="114">
        <f t="shared" si="0"/>
        <v>17757.95999999997</v>
      </c>
      <c r="G30">
        <f t="shared" si="3"/>
        <v>2000</v>
      </c>
    </row>
    <row r="31" spans="2:7">
      <c r="B31" s="127">
        <f t="shared" si="1"/>
        <v>43926</v>
      </c>
      <c r="C31" s="118">
        <f t="shared" si="2"/>
        <v>7237.1600000000053</v>
      </c>
      <c r="D31" s="114">
        <f t="shared" si="0"/>
        <v>17499.489999999969</v>
      </c>
      <c r="G31">
        <f t="shared" si="3"/>
        <v>2125</v>
      </c>
    </row>
    <row r="32" spans="2:7">
      <c r="B32" s="127">
        <f t="shared" si="1"/>
        <v>43956</v>
      </c>
      <c r="C32" s="118">
        <f t="shared" si="2"/>
        <v>7495.6300000000056</v>
      </c>
      <c r="D32" s="114">
        <f t="shared" si="0"/>
        <v>17241.019999999968</v>
      </c>
      <c r="G32">
        <f t="shared" si="3"/>
        <v>2250</v>
      </c>
    </row>
    <row r="33" spans="2:7">
      <c r="B33" s="127">
        <f t="shared" si="1"/>
        <v>43987</v>
      </c>
      <c r="C33" s="118">
        <f t="shared" si="2"/>
        <v>7754.1000000000058</v>
      </c>
      <c r="D33" s="114">
        <f t="shared" si="0"/>
        <v>16982.549999999967</v>
      </c>
      <c r="G33">
        <f t="shared" si="3"/>
        <v>2375</v>
      </c>
    </row>
    <row r="34" spans="2:7">
      <c r="B34" s="127">
        <f t="shared" si="1"/>
        <v>44017</v>
      </c>
      <c r="C34" s="118">
        <f t="shared" si="2"/>
        <v>8012.5700000000061</v>
      </c>
      <c r="D34" s="114">
        <f t="shared" si="0"/>
        <v>16724.079999999965</v>
      </c>
      <c r="G34">
        <f t="shared" si="3"/>
        <v>2500</v>
      </c>
    </row>
    <row r="35" spans="2:7">
      <c r="B35" s="127">
        <f t="shared" si="1"/>
        <v>44048</v>
      </c>
      <c r="C35" s="118">
        <f t="shared" si="2"/>
        <v>8271.0400000000063</v>
      </c>
      <c r="D35" s="114">
        <f t="shared" si="0"/>
        <v>16465.609999999964</v>
      </c>
      <c r="G35">
        <f t="shared" si="3"/>
        <v>2625</v>
      </c>
    </row>
    <row r="36" spans="2:7">
      <c r="B36" s="127">
        <f t="shared" si="1"/>
        <v>44079</v>
      </c>
      <c r="C36" s="118">
        <f t="shared" si="2"/>
        <v>8529.5100000000057</v>
      </c>
      <c r="D36" s="114">
        <f t="shared" si="0"/>
        <v>16207.139999999965</v>
      </c>
      <c r="G36">
        <f t="shared" si="3"/>
        <v>2750</v>
      </c>
    </row>
    <row r="37" spans="2:7">
      <c r="B37" s="127">
        <f t="shared" si="1"/>
        <v>44109</v>
      </c>
      <c r="C37" s="118">
        <f t="shared" si="2"/>
        <v>8787.980000000005</v>
      </c>
      <c r="D37" s="114">
        <f t="shared" si="0"/>
        <v>15948.669999999966</v>
      </c>
      <c r="G37">
        <f t="shared" si="3"/>
        <v>2875</v>
      </c>
    </row>
    <row r="38" spans="2:7">
      <c r="B38" s="127">
        <f t="shared" si="1"/>
        <v>44140</v>
      </c>
      <c r="C38" s="118">
        <f t="shared" si="2"/>
        <v>9046.4500000000044</v>
      </c>
      <c r="D38" s="114">
        <f t="shared" si="0"/>
        <v>15690.199999999966</v>
      </c>
      <c r="G38">
        <f t="shared" si="3"/>
        <v>3000</v>
      </c>
    </row>
    <row r="39" spans="2:7">
      <c r="B39" s="127">
        <f t="shared" si="1"/>
        <v>44170</v>
      </c>
      <c r="C39" s="118">
        <f t="shared" si="2"/>
        <v>9304.9200000000037</v>
      </c>
      <c r="D39" s="114">
        <f t="shared" si="0"/>
        <v>15431.729999999967</v>
      </c>
      <c r="G39">
        <f t="shared" si="3"/>
        <v>3125</v>
      </c>
    </row>
    <row r="40" spans="2:7">
      <c r="B40" s="127">
        <f t="shared" si="1"/>
        <v>44201</v>
      </c>
      <c r="C40" s="118">
        <f t="shared" si="2"/>
        <v>9563.3900000000031</v>
      </c>
      <c r="D40" s="114">
        <f>D39-A$1</f>
        <v>15173.259999999967</v>
      </c>
      <c r="G40">
        <f t="shared" si="3"/>
        <v>3250</v>
      </c>
    </row>
    <row r="41" spans="2:7">
      <c r="B41" s="127">
        <f t="shared" si="1"/>
        <v>44232</v>
      </c>
      <c r="C41" s="118">
        <f t="shared" si="2"/>
        <v>9821.8600000000024</v>
      </c>
      <c r="D41" s="114">
        <f t="shared" si="0"/>
        <v>14914.789999999968</v>
      </c>
      <c r="G41">
        <f t="shared" si="3"/>
        <v>3375</v>
      </c>
    </row>
    <row r="42" spans="2:7">
      <c r="B42" s="127">
        <f t="shared" si="1"/>
        <v>44260</v>
      </c>
      <c r="C42" s="118">
        <f t="shared" si="2"/>
        <v>10080.330000000002</v>
      </c>
      <c r="D42" s="114">
        <f t="shared" si="0"/>
        <v>14656.319999999969</v>
      </c>
      <c r="G42">
        <f t="shared" si="3"/>
        <v>3500</v>
      </c>
    </row>
    <row r="43" spans="2:7">
      <c r="B43" s="127">
        <f t="shared" si="1"/>
        <v>44291</v>
      </c>
      <c r="C43" s="118">
        <f t="shared" si="2"/>
        <v>10338.800000000001</v>
      </c>
      <c r="D43" s="114">
        <f t="shared" si="0"/>
        <v>14397.849999999969</v>
      </c>
      <c r="G43">
        <f t="shared" si="3"/>
        <v>3625</v>
      </c>
    </row>
    <row r="44" spans="2:7">
      <c r="B44" s="127">
        <f t="shared" si="1"/>
        <v>44321</v>
      </c>
      <c r="C44" s="118">
        <f t="shared" si="2"/>
        <v>10597.27</v>
      </c>
      <c r="D44" s="114">
        <f t="shared" si="0"/>
        <v>14139.37999999997</v>
      </c>
      <c r="G44">
        <f t="shared" si="3"/>
        <v>3750</v>
      </c>
    </row>
    <row r="45" spans="2:7">
      <c r="B45" s="127">
        <f t="shared" si="1"/>
        <v>44352</v>
      </c>
      <c r="C45" s="118">
        <f t="shared" si="2"/>
        <v>10855.74</v>
      </c>
      <c r="D45" s="114">
        <f t="shared" si="0"/>
        <v>13880.909999999971</v>
      </c>
      <c r="G45">
        <f t="shared" si="3"/>
        <v>3875</v>
      </c>
    </row>
    <row r="46" spans="2:7">
      <c r="B46" s="127">
        <f t="shared" si="1"/>
        <v>44382</v>
      </c>
      <c r="C46" s="118">
        <f t="shared" si="2"/>
        <v>11114.21</v>
      </c>
      <c r="D46" s="114">
        <f t="shared" si="0"/>
        <v>13622.439999999971</v>
      </c>
      <c r="G46">
        <f t="shared" si="3"/>
        <v>4000</v>
      </c>
    </row>
    <row r="47" spans="2:7">
      <c r="B47" s="127">
        <f t="shared" si="1"/>
        <v>44413</v>
      </c>
      <c r="C47" s="118">
        <f t="shared" si="2"/>
        <v>11372.679999999998</v>
      </c>
      <c r="D47" s="114">
        <f t="shared" si="0"/>
        <v>13363.969999999972</v>
      </c>
      <c r="G47">
        <f t="shared" si="3"/>
        <v>4125</v>
      </c>
    </row>
    <row r="48" spans="2:7">
      <c r="B48" s="127">
        <f t="shared" si="1"/>
        <v>44444</v>
      </c>
      <c r="C48" s="118">
        <f t="shared" si="2"/>
        <v>11631.149999999998</v>
      </c>
      <c r="D48" s="114">
        <f t="shared" si="0"/>
        <v>13105.499999999973</v>
      </c>
      <c r="G48">
        <f t="shared" si="3"/>
        <v>4250</v>
      </c>
    </row>
    <row r="49" spans="2:9">
      <c r="B49" s="127">
        <f t="shared" si="1"/>
        <v>44474</v>
      </c>
      <c r="C49" s="118">
        <f t="shared" si="2"/>
        <v>11889.619999999997</v>
      </c>
      <c r="D49" s="114">
        <f t="shared" si="0"/>
        <v>12847.029999999973</v>
      </c>
      <c r="G49">
        <f t="shared" si="3"/>
        <v>4375</v>
      </c>
    </row>
    <row r="50" spans="2:9">
      <c r="B50" s="127">
        <f t="shared" si="1"/>
        <v>44505</v>
      </c>
      <c r="C50" s="118">
        <f t="shared" si="2"/>
        <v>12148.089999999997</v>
      </c>
      <c r="D50" s="114">
        <f t="shared" si="0"/>
        <v>12588.559999999974</v>
      </c>
      <c r="G50">
        <f t="shared" si="3"/>
        <v>4500</v>
      </c>
    </row>
    <row r="51" spans="2:9">
      <c r="B51" s="127">
        <f t="shared" si="1"/>
        <v>44535</v>
      </c>
      <c r="C51" s="118">
        <f t="shared" si="2"/>
        <v>12406.559999999996</v>
      </c>
      <c r="D51" s="114">
        <f t="shared" si="0"/>
        <v>12330.089999999975</v>
      </c>
      <c r="G51">
        <f t="shared" si="3"/>
        <v>4625</v>
      </c>
    </row>
    <row r="52" spans="2:9">
      <c r="B52" s="127">
        <f t="shared" si="1"/>
        <v>44566</v>
      </c>
      <c r="C52" s="118">
        <f t="shared" si="2"/>
        <v>12665.029999999995</v>
      </c>
      <c r="D52" s="114">
        <f t="shared" si="0"/>
        <v>12071.619999999975</v>
      </c>
      <c r="G52">
        <f t="shared" si="3"/>
        <v>4750</v>
      </c>
    </row>
    <row r="53" spans="2:9">
      <c r="B53" s="127">
        <f t="shared" si="1"/>
        <v>44597</v>
      </c>
      <c r="C53" s="118">
        <f t="shared" si="2"/>
        <v>12923.499999999995</v>
      </c>
      <c r="D53" s="114">
        <f t="shared" si="0"/>
        <v>11813.149999999976</v>
      </c>
      <c r="G53">
        <f t="shared" si="3"/>
        <v>4875</v>
      </c>
    </row>
    <row r="54" spans="2:9">
      <c r="B54" s="127">
        <f t="shared" si="1"/>
        <v>44625</v>
      </c>
      <c r="C54" s="118">
        <f t="shared" si="2"/>
        <v>13181.969999999994</v>
      </c>
      <c r="D54" s="114">
        <f>D53-A$1</f>
        <v>11554.679999999977</v>
      </c>
      <c r="G54">
        <f t="shared" si="3"/>
        <v>5000</v>
      </c>
    </row>
    <row r="55" spans="2:9">
      <c r="B55" s="127">
        <f t="shared" si="1"/>
        <v>44656</v>
      </c>
      <c r="C55" s="118">
        <f t="shared" si="2"/>
        <v>13440.439999999993</v>
      </c>
      <c r="D55" s="114">
        <f t="shared" si="0"/>
        <v>11296.209999999977</v>
      </c>
      <c r="G55">
        <f t="shared" si="3"/>
        <v>5125</v>
      </c>
    </row>
    <row r="56" spans="2:9">
      <c r="B56" s="127">
        <f t="shared" si="1"/>
        <v>44686</v>
      </c>
      <c r="C56" s="118">
        <f t="shared" si="2"/>
        <v>13698.909999999993</v>
      </c>
      <c r="D56" s="114">
        <f t="shared" si="0"/>
        <v>11037.739999999978</v>
      </c>
      <c r="G56">
        <f t="shared" si="3"/>
        <v>5250</v>
      </c>
    </row>
    <row r="57" spans="2:9">
      <c r="B57" s="127">
        <f t="shared" si="1"/>
        <v>44717</v>
      </c>
      <c r="C57" s="118">
        <f t="shared" si="2"/>
        <v>13957.379999999992</v>
      </c>
      <c r="D57" s="114">
        <f t="shared" si="0"/>
        <v>10779.269999999979</v>
      </c>
      <c r="G57">
        <f t="shared" si="3"/>
        <v>5375</v>
      </c>
    </row>
    <row r="58" spans="2:9">
      <c r="B58" s="127">
        <f t="shared" si="1"/>
        <v>44747</v>
      </c>
      <c r="C58" s="118">
        <f t="shared" si="2"/>
        <v>14215.849999999991</v>
      </c>
      <c r="D58" s="114">
        <f t="shared" si="0"/>
        <v>10520.799999999979</v>
      </c>
      <c r="G58">
        <f t="shared" si="3"/>
        <v>5500</v>
      </c>
    </row>
    <row r="59" spans="2:9">
      <c r="B59" s="127">
        <f t="shared" si="1"/>
        <v>44778</v>
      </c>
      <c r="C59" s="118">
        <f t="shared" si="2"/>
        <v>14474.319999999991</v>
      </c>
      <c r="D59" s="114">
        <f t="shared" si="0"/>
        <v>10262.32999999998</v>
      </c>
      <c r="G59">
        <f t="shared" si="3"/>
        <v>5625</v>
      </c>
    </row>
    <row r="60" spans="2:9">
      <c r="B60" s="127">
        <f t="shared" si="1"/>
        <v>44809</v>
      </c>
      <c r="C60" s="118">
        <f t="shared" si="2"/>
        <v>14732.78999999999</v>
      </c>
      <c r="D60" s="114">
        <f t="shared" si="0"/>
        <v>10003.859999999981</v>
      </c>
      <c r="G60">
        <f t="shared" si="3"/>
        <v>5750</v>
      </c>
    </row>
    <row r="61" spans="2:9">
      <c r="B61" s="127">
        <f t="shared" si="1"/>
        <v>44839</v>
      </c>
      <c r="C61" s="118">
        <f t="shared" si="2"/>
        <v>14991.259999999989</v>
      </c>
      <c r="D61" s="114">
        <f t="shared" si="0"/>
        <v>9745.3899999999812</v>
      </c>
      <c r="G61">
        <f t="shared" si="3"/>
        <v>5875</v>
      </c>
    </row>
    <row r="62" spans="2:9">
      <c r="B62" s="127">
        <f t="shared" si="1"/>
        <v>44870</v>
      </c>
      <c r="C62" s="118">
        <f t="shared" si="2"/>
        <v>15249.729999999989</v>
      </c>
      <c r="D62" s="114">
        <f>D61-A$1</f>
        <v>9486.9199999999819</v>
      </c>
      <c r="G62">
        <f t="shared" si="3"/>
        <v>6000</v>
      </c>
    </row>
    <row r="63" spans="2:9" ht="15.75" thickBot="1">
      <c r="B63" s="139">
        <f t="shared" si="1"/>
        <v>44900</v>
      </c>
      <c r="C63" s="131">
        <f>C62+A$2</f>
        <v>24736.649999999987</v>
      </c>
      <c r="D63" s="129">
        <f>D62-A$2</f>
        <v>-1.8189894035458565E-11</v>
      </c>
      <c r="G63">
        <f t="shared" si="3"/>
        <v>6125</v>
      </c>
      <c r="H63" s="170">
        <f>G63+'12'!A109</f>
        <v>8907.0300000000007</v>
      </c>
      <c r="I63" s="170">
        <f>H63-D62</f>
        <v>-579.88999999998123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M105"/>
  <sheetViews>
    <sheetView topLeftCell="A4" workbookViewId="0">
      <selection activeCell="M28" sqref="M28"/>
    </sheetView>
  </sheetViews>
  <sheetFormatPr defaultColWidth="8" defaultRowHeight="15"/>
  <cols>
    <col min="1" max="2" width="19.5703125" customWidth="1"/>
    <col min="3" max="3" width="13.28515625" customWidth="1"/>
    <col min="4" max="4" width="8" customWidth="1"/>
    <col min="5" max="5" width="12.7109375" customWidth="1"/>
    <col min="6" max="6" width="8" customWidth="1"/>
    <col min="7" max="7" width="12" customWidth="1"/>
    <col min="9" max="9" width="24.85546875" customWidth="1"/>
    <col min="10" max="10" width="13.85546875" customWidth="1"/>
    <col min="11" max="11" width="11.140625" customWidth="1"/>
    <col min="12" max="12" width="19.85546875" customWidth="1"/>
    <col min="13" max="13" width="12.7109375" customWidth="1"/>
    <col min="258" max="258" width="19.5703125" customWidth="1"/>
    <col min="259" max="259" width="13.28515625" customWidth="1"/>
    <col min="260" max="260" width="8" customWidth="1"/>
    <col min="261" max="261" width="12.7109375" customWidth="1"/>
    <col min="262" max="262" width="8" customWidth="1"/>
    <col min="263" max="263" width="12" customWidth="1"/>
    <col min="265" max="265" width="24.85546875" customWidth="1"/>
    <col min="266" max="266" width="13.85546875" customWidth="1"/>
    <col min="267" max="267" width="11.140625" customWidth="1"/>
    <col min="268" max="268" width="19.85546875" customWidth="1"/>
    <col min="269" max="269" width="12.7109375" customWidth="1"/>
    <col min="514" max="514" width="19.5703125" customWidth="1"/>
    <col min="515" max="515" width="13.28515625" customWidth="1"/>
    <col min="516" max="516" width="8" customWidth="1"/>
    <col min="517" max="517" width="12.7109375" customWidth="1"/>
    <col min="518" max="518" width="8" customWidth="1"/>
    <col min="519" max="519" width="12" customWidth="1"/>
    <col min="521" max="521" width="24.85546875" customWidth="1"/>
    <col min="522" max="522" width="13.85546875" customWidth="1"/>
    <col min="523" max="523" width="11.140625" customWidth="1"/>
    <col min="524" max="524" width="19.85546875" customWidth="1"/>
    <col min="525" max="525" width="12.7109375" customWidth="1"/>
    <col min="770" max="770" width="19.5703125" customWidth="1"/>
    <col min="771" max="771" width="13.28515625" customWidth="1"/>
    <col min="772" max="772" width="8" customWidth="1"/>
    <col min="773" max="773" width="12.7109375" customWidth="1"/>
    <col min="774" max="774" width="8" customWidth="1"/>
    <col min="775" max="775" width="12" customWidth="1"/>
    <col min="777" max="777" width="24.85546875" customWidth="1"/>
    <col min="778" max="778" width="13.85546875" customWidth="1"/>
    <col min="779" max="779" width="11.140625" customWidth="1"/>
    <col min="780" max="780" width="19.85546875" customWidth="1"/>
    <col min="781" max="781" width="12.7109375" customWidth="1"/>
    <col min="1026" max="1026" width="19.5703125" customWidth="1"/>
    <col min="1027" max="1027" width="13.28515625" customWidth="1"/>
    <col min="1028" max="1028" width="8" customWidth="1"/>
    <col min="1029" max="1029" width="12.7109375" customWidth="1"/>
    <col min="1030" max="1030" width="8" customWidth="1"/>
    <col min="1031" max="1031" width="12" customWidth="1"/>
    <col min="1033" max="1033" width="24.85546875" customWidth="1"/>
    <col min="1034" max="1034" width="13.85546875" customWidth="1"/>
    <col min="1035" max="1035" width="11.140625" customWidth="1"/>
    <col min="1036" max="1036" width="19.85546875" customWidth="1"/>
    <col min="1037" max="1037" width="12.7109375" customWidth="1"/>
    <col min="1282" max="1282" width="19.5703125" customWidth="1"/>
    <col min="1283" max="1283" width="13.28515625" customWidth="1"/>
    <col min="1284" max="1284" width="8" customWidth="1"/>
    <col min="1285" max="1285" width="12.7109375" customWidth="1"/>
    <col min="1286" max="1286" width="8" customWidth="1"/>
    <col min="1287" max="1287" width="12" customWidth="1"/>
    <col min="1289" max="1289" width="24.85546875" customWidth="1"/>
    <col min="1290" max="1290" width="13.85546875" customWidth="1"/>
    <col min="1291" max="1291" width="11.140625" customWidth="1"/>
    <col min="1292" max="1292" width="19.85546875" customWidth="1"/>
    <col min="1293" max="1293" width="12.7109375" customWidth="1"/>
    <col min="1538" max="1538" width="19.5703125" customWidth="1"/>
    <col min="1539" max="1539" width="13.28515625" customWidth="1"/>
    <col min="1540" max="1540" width="8" customWidth="1"/>
    <col min="1541" max="1541" width="12.7109375" customWidth="1"/>
    <col min="1542" max="1542" width="8" customWidth="1"/>
    <col min="1543" max="1543" width="12" customWidth="1"/>
    <col min="1545" max="1545" width="24.85546875" customWidth="1"/>
    <col min="1546" max="1546" width="13.85546875" customWidth="1"/>
    <col min="1547" max="1547" width="11.140625" customWidth="1"/>
    <col min="1548" max="1548" width="19.85546875" customWidth="1"/>
    <col min="1549" max="1549" width="12.7109375" customWidth="1"/>
    <col min="1794" max="1794" width="19.5703125" customWidth="1"/>
    <col min="1795" max="1795" width="13.28515625" customWidth="1"/>
    <col min="1796" max="1796" width="8" customWidth="1"/>
    <col min="1797" max="1797" width="12.7109375" customWidth="1"/>
    <col min="1798" max="1798" width="8" customWidth="1"/>
    <col min="1799" max="1799" width="12" customWidth="1"/>
    <col min="1801" max="1801" width="24.85546875" customWidth="1"/>
    <col min="1802" max="1802" width="13.85546875" customWidth="1"/>
    <col min="1803" max="1803" width="11.140625" customWidth="1"/>
    <col min="1804" max="1804" width="19.85546875" customWidth="1"/>
    <col min="1805" max="1805" width="12.7109375" customWidth="1"/>
    <col min="2050" max="2050" width="19.5703125" customWidth="1"/>
    <col min="2051" max="2051" width="13.28515625" customWidth="1"/>
    <col min="2052" max="2052" width="8" customWidth="1"/>
    <col min="2053" max="2053" width="12.7109375" customWidth="1"/>
    <col min="2054" max="2054" width="8" customWidth="1"/>
    <col min="2055" max="2055" width="12" customWidth="1"/>
    <col min="2057" max="2057" width="24.85546875" customWidth="1"/>
    <col min="2058" max="2058" width="13.85546875" customWidth="1"/>
    <col min="2059" max="2059" width="11.140625" customWidth="1"/>
    <col min="2060" max="2060" width="19.85546875" customWidth="1"/>
    <col min="2061" max="2061" width="12.7109375" customWidth="1"/>
    <col min="2306" max="2306" width="19.5703125" customWidth="1"/>
    <col min="2307" max="2307" width="13.28515625" customWidth="1"/>
    <col min="2308" max="2308" width="8" customWidth="1"/>
    <col min="2309" max="2309" width="12.7109375" customWidth="1"/>
    <col min="2310" max="2310" width="8" customWidth="1"/>
    <col min="2311" max="2311" width="12" customWidth="1"/>
    <col min="2313" max="2313" width="24.85546875" customWidth="1"/>
    <col min="2314" max="2314" width="13.85546875" customWidth="1"/>
    <col min="2315" max="2315" width="11.140625" customWidth="1"/>
    <col min="2316" max="2316" width="19.85546875" customWidth="1"/>
    <col min="2317" max="2317" width="12.7109375" customWidth="1"/>
    <col min="2562" max="2562" width="19.5703125" customWidth="1"/>
    <col min="2563" max="2563" width="13.28515625" customWidth="1"/>
    <col min="2564" max="2564" width="8" customWidth="1"/>
    <col min="2565" max="2565" width="12.7109375" customWidth="1"/>
    <col min="2566" max="2566" width="8" customWidth="1"/>
    <col min="2567" max="2567" width="12" customWidth="1"/>
    <col min="2569" max="2569" width="24.85546875" customWidth="1"/>
    <col min="2570" max="2570" width="13.85546875" customWidth="1"/>
    <col min="2571" max="2571" width="11.140625" customWidth="1"/>
    <col min="2572" max="2572" width="19.85546875" customWidth="1"/>
    <col min="2573" max="2573" width="12.7109375" customWidth="1"/>
    <col min="2818" max="2818" width="19.5703125" customWidth="1"/>
    <col min="2819" max="2819" width="13.28515625" customWidth="1"/>
    <col min="2820" max="2820" width="8" customWidth="1"/>
    <col min="2821" max="2821" width="12.7109375" customWidth="1"/>
    <col min="2822" max="2822" width="8" customWidth="1"/>
    <col min="2823" max="2823" width="12" customWidth="1"/>
    <col min="2825" max="2825" width="24.85546875" customWidth="1"/>
    <col min="2826" max="2826" width="13.85546875" customWidth="1"/>
    <col min="2827" max="2827" width="11.140625" customWidth="1"/>
    <col min="2828" max="2828" width="19.85546875" customWidth="1"/>
    <col min="2829" max="2829" width="12.7109375" customWidth="1"/>
    <col min="3074" max="3074" width="19.5703125" customWidth="1"/>
    <col min="3075" max="3075" width="13.28515625" customWidth="1"/>
    <col min="3076" max="3076" width="8" customWidth="1"/>
    <col min="3077" max="3077" width="12.7109375" customWidth="1"/>
    <col min="3078" max="3078" width="8" customWidth="1"/>
    <col min="3079" max="3079" width="12" customWidth="1"/>
    <col min="3081" max="3081" width="24.85546875" customWidth="1"/>
    <col min="3082" max="3082" width="13.85546875" customWidth="1"/>
    <col min="3083" max="3083" width="11.140625" customWidth="1"/>
    <col min="3084" max="3084" width="19.85546875" customWidth="1"/>
    <col min="3085" max="3085" width="12.7109375" customWidth="1"/>
    <col min="3330" max="3330" width="19.5703125" customWidth="1"/>
    <col min="3331" max="3331" width="13.28515625" customWidth="1"/>
    <col min="3332" max="3332" width="8" customWidth="1"/>
    <col min="3333" max="3333" width="12.7109375" customWidth="1"/>
    <col min="3334" max="3334" width="8" customWidth="1"/>
    <col min="3335" max="3335" width="12" customWidth="1"/>
    <col min="3337" max="3337" width="24.85546875" customWidth="1"/>
    <col min="3338" max="3338" width="13.85546875" customWidth="1"/>
    <col min="3339" max="3339" width="11.140625" customWidth="1"/>
    <col min="3340" max="3340" width="19.85546875" customWidth="1"/>
    <col min="3341" max="3341" width="12.7109375" customWidth="1"/>
    <col min="3586" max="3586" width="19.5703125" customWidth="1"/>
    <col min="3587" max="3587" width="13.28515625" customWidth="1"/>
    <col min="3588" max="3588" width="8" customWidth="1"/>
    <col min="3589" max="3589" width="12.7109375" customWidth="1"/>
    <col min="3590" max="3590" width="8" customWidth="1"/>
    <col min="3591" max="3591" width="12" customWidth="1"/>
    <col min="3593" max="3593" width="24.85546875" customWidth="1"/>
    <col min="3594" max="3594" width="13.85546875" customWidth="1"/>
    <col min="3595" max="3595" width="11.140625" customWidth="1"/>
    <col min="3596" max="3596" width="19.85546875" customWidth="1"/>
    <col min="3597" max="3597" width="12.7109375" customWidth="1"/>
    <col min="3842" max="3842" width="19.5703125" customWidth="1"/>
    <col min="3843" max="3843" width="13.28515625" customWidth="1"/>
    <col min="3844" max="3844" width="8" customWidth="1"/>
    <col min="3845" max="3845" width="12.7109375" customWidth="1"/>
    <col min="3846" max="3846" width="8" customWidth="1"/>
    <col min="3847" max="3847" width="12" customWidth="1"/>
    <col min="3849" max="3849" width="24.85546875" customWidth="1"/>
    <col min="3850" max="3850" width="13.85546875" customWidth="1"/>
    <col min="3851" max="3851" width="11.140625" customWidth="1"/>
    <col min="3852" max="3852" width="19.85546875" customWidth="1"/>
    <col min="3853" max="3853" width="12.7109375" customWidth="1"/>
    <col min="4098" max="4098" width="19.5703125" customWidth="1"/>
    <col min="4099" max="4099" width="13.28515625" customWidth="1"/>
    <col min="4100" max="4100" width="8" customWidth="1"/>
    <col min="4101" max="4101" width="12.7109375" customWidth="1"/>
    <col min="4102" max="4102" width="8" customWidth="1"/>
    <col min="4103" max="4103" width="12" customWidth="1"/>
    <col min="4105" max="4105" width="24.85546875" customWidth="1"/>
    <col min="4106" max="4106" width="13.85546875" customWidth="1"/>
    <col min="4107" max="4107" width="11.140625" customWidth="1"/>
    <col min="4108" max="4108" width="19.85546875" customWidth="1"/>
    <col min="4109" max="4109" width="12.7109375" customWidth="1"/>
    <col min="4354" max="4354" width="19.5703125" customWidth="1"/>
    <col min="4355" max="4355" width="13.28515625" customWidth="1"/>
    <col min="4356" max="4356" width="8" customWidth="1"/>
    <col min="4357" max="4357" width="12.7109375" customWidth="1"/>
    <col min="4358" max="4358" width="8" customWidth="1"/>
    <col min="4359" max="4359" width="12" customWidth="1"/>
    <col min="4361" max="4361" width="24.85546875" customWidth="1"/>
    <col min="4362" max="4362" width="13.85546875" customWidth="1"/>
    <col min="4363" max="4363" width="11.140625" customWidth="1"/>
    <col min="4364" max="4364" width="19.85546875" customWidth="1"/>
    <col min="4365" max="4365" width="12.7109375" customWidth="1"/>
    <col min="4610" max="4610" width="19.5703125" customWidth="1"/>
    <col min="4611" max="4611" width="13.28515625" customWidth="1"/>
    <col min="4612" max="4612" width="8" customWidth="1"/>
    <col min="4613" max="4613" width="12.7109375" customWidth="1"/>
    <col min="4614" max="4614" width="8" customWidth="1"/>
    <col min="4615" max="4615" width="12" customWidth="1"/>
    <col min="4617" max="4617" width="24.85546875" customWidth="1"/>
    <col min="4618" max="4618" width="13.85546875" customWidth="1"/>
    <col min="4619" max="4619" width="11.140625" customWidth="1"/>
    <col min="4620" max="4620" width="19.85546875" customWidth="1"/>
    <col min="4621" max="4621" width="12.7109375" customWidth="1"/>
    <col min="4866" max="4866" width="19.5703125" customWidth="1"/>
    <col min="4867" max="4867" width="13.28515625" customWidth="1"/>
    <col min="4868" max="4868" width="8" customWidth="1"/>
    <col min="4869" max="4869" width="12.7109375" customWidth="1"/>
    <col min="4870" max="4870" width="8" customWidth="1"/>
    <col min="4871" max="4871" width="12" customWidth="1"/>
    <col min="4873" max="4873" width="24.85546875" customWidth="1"/>
    <col min="4874" max="4874" width="13.85546875" customWidth="1"/>
    <col min="4875" max="4875" width="11.140625" customWidth="1"/>
    <col min="4876" max="4876" width="19.85546875" customWidth="1"/>
    <col min="4877" max="4877" width="12.7109375" customWidth="1"/>
    <col min="5122" max="5122" width="19.5703125" customWidth="1"/>
    <col min="5123" max="5123" width="13.28515625" customWidth="1"/>
    <col min="5124" max="5124" width="8" customWidth="1"/>
    <col min="5125" max="5125" width="12.7109375" customWidth="1"/>
    <col min="5126" max="5126" width="8" customWidth="1"/>
    <col min="5127" max="5127" width="12" customWidth="1"/>
    <col min="5129" max="5129" width="24.85546875" customWidth="1"/>
    <col min="5130" max="5130" width="13.85546875" customWidth="1"/>
    <col min="5131" max="5131" width="11.140625" customWidth="1"/>
    <col min="5132" max="5132" width="19.85546875" customWidth="1"/>
    <col min="5133" max="5133" width="12.7109375" customWidth="1"/>
    <col min="5378" max="5378" width="19.5703125" customWidth="1"/>
    <col min="5379" max="5379" width="13.28515625" customWidth="1"/>
    <col min="5380" max="5380" width="8" customWidth="1"/>
    <col min="5381" max="5381" width="12.7109375" customWidth="1"/>
    <col min="5382" max="5382" width="8" customWidth="1"/>
    <col min="5383" max="5383" width="12" customWidth="1"/>
    <col min="5385" max="5385" width="24.85546875" customWidth="1"/>
    <col min="5386" max="5386" width="13.85546875" customWidth="1"/>
    <col min="5387" max="5387" width="11.140625" customWidth="1"/>
    <col min="5388" max="5388" width="19.85546875" customWidth="1"/>
    <col min="5389" max="5389" width="12.7109375" customWidth="1"/>
    <col min="5634" max="5634" width="19.5703125" customWidth="1"/>
    <col min="5635" max="5635" width="13.28515625" customWidth="1"/>
    <col min="5636" max="5636" width="8" customWidth="1"/>
    <col min="5637" max="5637" width="12.7109375" customWidth="1"/>
    <col min="5638" max="5638" width="8" customWidth="1"/>
    <col min="5639" max="5639" width="12" customWidth="1"/>
    <col min="5641" max="5641" width="24.85546875" customWidth="1"/>
    <col min="5642" max="5642" width="13.85546875" customWidth="1"/>
    <col min="5643" max="5643" width="11.140625" customWidth="1"/>
    <col min="5644" max="5644" width="19.85546875" customWidth="1"/>
    <col min="5645" max="5645" width="12.7109375" customWidth="1"/>
    <col min="5890" max="5890" width="19.5703125" customWidth="1"/>
    <col min="5891" max="5891" width="13.28515625" customWidth="1"/>
    <col min="5892" max="5892" width="8" customWidth="1"/>
    <col min="5893" max="5893" width="12.7109375" customWidth="1"/>
    <col min="5894" max="5894" width="8" customWidth="1"/>
    <col min="5895" max="5895" width="12" customWidth="1"/>
    <col min="5897" max="5897" width="24.85546875" customWidth="1"/>
    <col min="5898" max="5898" width="13.85546875" customWidth="1"/>
    <col min="5899" max="5899" width="11.140625" customWidth="1"/>
    <col min="5900" max="5900" width="19.85546875" customWidth="1"/>
    <col min="5901" max="5901" width="12.7109375" customWidth="1"/>
    <col min="6146" max="6146" width="19.5703125" customWidth="1"/>
    <col min="6147" max="6147" width="13.28515625" customWidth="1"/>
    <col min="6148" max="6148" width="8" customWidth="1"/>
    <col min="6149" max="6149" width="12.7109375" customWidth="1"/>
    <col min="6150" max="6150" width="8" customWidth="1"/>
    <col min="6151" max="6151" width="12" customWidth="1"/>
    <col min="6153" max="6153" width="24.85546875" customWidth="1"/>
    <col min="6154" max="6154" width="13.85546875" customWidth="1"/>
    <col min="6155" max="6155" width="11.140625" customWidth="1"/>
    <col min="6156" max="6156" width="19.85546875" customWidth="1"/>
    <col min="6157" max="6157" width="12.7109375" customWidth="1"/>
    <col min="6402" max="6402" width="19.5703125" customWidth="1"/>
    <col min="6403" max="6403" width="13.28515625" customWidth="1"/>
    <col min="6404" max="6404" width="8" customWidth="1"/>
    <col min="6405" max="6405" width="12.7109375" customWidth="1"/>
    <col min="6406" max="6406" width="8" customWidth="1"/>
    <col min="6407" max="6407" width="12" customWidth="1"/>
    <col min="6409" max="6409" width="24.85546875" customWidth="1"/>
    <col min="6410" max="6410" width="13.85546875" customWidth="1"/>
    <col min="6411" max="6411" width="11.140625" customWidth="1"/>
    <col min="6412" max="6412" width="19.85546875" customWidth="1"/>
    <col min="6413" max="6413" width="12.7109375" customWidth="1"/>
    <col min="6658" max="6658" width="19.5703125" customWidth="1"/>
    <col min="6659" max="6659" width="13.28515625" customWidth="1"/>
    <col min="6660" max="6660" width="8" customWidth="1"/>
    <col min="6661" max="6661" width="12.7109375" customWidth="1"/>
    <col min="6662" max="6662" width="8" customWidth="1"/>
    <col min="6663" max="6663" width="12" customWidth="1"/>
    <col min="6665" max="6665" width="24.85546875" customWidth="1"/>
    <col min="6666" max="6666" width="13.85546875" customWidth="1"/>
    <col min="6667" max="6667" width="11.140625" customWidth="1"/>
    <col min="6668" max="6668" width="19.85546875" customWidth="1"/>
    <col min="6669" max="6669" width="12.7109375" customWidth="1"/>
    <col min="6914" max="6914" width="19.5703125" customWidth="1"/>
    <col min="6915" max="6915" width="13.28515625" customWidth="1"/>
    <col min="6916" max="6916" width="8" customWidth="1"/>
    <col min="6917" max="6917" width="12.7109375" customWidth="1"/>
    <col min="6918" max="6918" width="8" customWidth="1"/>
    <col min="6919" max="6919" width="12" customWidth="1"/>
    <col min="6921" max="6921" width="24.85546875" customWidth="1"/>
    <col min="6922" max="6922" width="13.85546875" customWidth="1"/>
    <col min="6923" max="6923" width="11.140625" customWidth="1"/>
    <col min="6924" max="6924" width="19.85546875" customWidth="1"/>
    <col min="6925" max="6925" width="12.7109375" customWidth="1"/>
    <col min="7170" max="7170" width="19.5703125" customWidth="1"/>
    <col min="7171" max="7171" width="13.28515625" customWidth="1"/>
    <col min="7172" max="7172" width="8" customWidth="1"/>
    <col min="7173" max="7173" width="12.7109375" customWidth="1"/>
    <col min="7174" max="7174" width="8" customWidth="1"/>
    <col min="7175" max="7175" width="12" customWidth="1"/>
    <col min="7177" max="7177" width="24.85546875" customWidth="1"/>
    <col min="7178" max="7178" width="13.85546875" customWidth="1"/>
    <col min="7179" max="7179" width="11.140625" customWidth="1"/>
    <col min="7180" max="7180" width="19.85546875" customWidth="1"/>
    <col min="7181" max="7181" width="12.7109375" customWidth="1"/>
    <col min="7426" max="7426" width="19.5703125" customWidth="1"/>
    <col min="7427" max="7427" width="13.28515625" customWidth="1"/>
    <col min="7428" max="7428" width="8" customWidth="1"/>
    <col min="7429" max="7429" width="12.7109375" customWidth="1"/>
    <col min="7430" max="7430" width="8" customWidth="1"/>
    <col min="7431" max="7431" width="12" customWidth="1"/>
    <col min="7433" max="7433" width="24.85546875" customWidth="1"/>
    <col min="7434" max="7434" width="13.85546875" customWidth="1"/>
    <col min="7435" max="7435" width="11.140625" customWidth="1"/>
    <col min="7436" max="7436" width="19.85546875" customWidth="1"/>
    <col min="7437" max="7437" width="12.7109375" customWidth="1"/>
    <col min="7682" max="7682" width="19.5703125" customWidth="1"/>
    <col min="7683" max="7683" width="13.28515625" customWidth="1"/>
    <col min="7684" max="7684" width="8" customWidth="1"/>
    <col min="7685" max="7685" width="12.7109375" customWidth="1"/>
    <col min="7686" max="7686" width="8" customWidth="1"/>
    <col min="7687" max="7687" width="12" customWidth="1"/>
    <col min="7689" max="7689" width="24.85546875" customWidth="1"/>
    <col min="7690" max="7690" width="13.85546875" customWidth="1"/>
    <col min="7691" max="7691" width="11.140625" customWidth="1"/>
    <col min="7692" max="7692" width="19.85546875" customWidth="1"/>
    <col min="7693" max="7693" width="12.7109375" customWidth="1"/>
    <col min="7938" max="7938" width="19.5703125" customWidth="1"/>
    <col min="7939" max="7939" width="13.28515625" customWidth="1"/>
    <col min="7940" max="7940" width="8" customWidth="1"/>
    <col min="7941" max="7941" width="12.7109375" customWidth="1"/>
    <col min="7942" max="7942" width="8" customWidth="1"/>
    <col min="7943" max="7943" width="12" customWidth="1"/>
    <col min="7945" max="7945" width="24.85546875" customWidth="1"/>
    <col min="7946" max="7946" width="13.85546875" customWidth="1"/>
    <col min="7947" max="7947" width="11.140625" customWidth="1"/>
    <col min="7948" max="7948" width="19.85546875" customWidth="1"/>
    <col min="7949" max="7949" width="12.7109375" customWidth="1"/>
    <col min="8194" max="8194" width="19.5703125" customWidth="1"/>
    <col min="8195" max="8195" width="13.28515625" customWidth="1"/>
    <col min="8196" max="8196" width="8" customWidth="1"/>
    <col min="8197" max="8197" width="12.7109375" customWidth="1"/>
    <col min="8198" max="8198" width="8" customWidth="1"/>
    <col min="8199" max="8199" width="12" customWidth="1"/>
    <col min="8201" max="8201" width="24.85546875" customWidth="1"/>
    <col min="8202" max="8202" width="13.85546875" customWidth="1"/>
    <col min="8203" max="8203" width="11.140625" customWidth="1"/>
    <col min="8204" max="8204" width="19.85546875" customWidth="1"/>
    <col min="8205" max="8205" width="12.7109375" customWidth="1"/>
    <col min="8450" max="8450" width="19.5703125" customWidth="1"/>
    <col min="8451" max="8451" width="13.28515625" customWidth="1"/>
    <col min="8452" max="8452" width="8" customWidth="1"/>
    <col min="8453" max="8453" width="12.7109375" customWidth="1"/>
    <col min="8454" max="8454" width="8" customWidth="1"/>
    <col min="8455" max="8455" width="12" customWidth="1"/>
    <col min="8457" max="8457" width="24.85546875" customWidth="1"/>
    <col min="8458" max="8458" width="13.85546875" customWidth="1"/>
    <col min="8459" max="8459" width="11.140625" customWidth="1"/>
    <col min="8460" max="8460" width="19.85546875" customWidth="1"/>
    <col min="8461" max="8461" width="12.7109375" customWidth="1"/>
    <col min="8706" max="8706" width="19.5703125" customWidth="1"/>
    <col min="8707" max="8707" width="13.28515625" customWidth="1"/>
    <col min="8708" max="8708" width="8" customWidth="1"/>
    <col min="8709" max="8709" width="12.7109375" customWidth="1"/>
    <col min="8710" max="8710" width="8" customWidth="1"/>
    <col min="8711" max="8711" width="12" customWidth="1"/>
    <col min="8713" max="8713" width="24.85546875" customWidth="1"/>
    <col min="8714" max="8714" width="13.85546875" customWidth="1"/>
    <col min="8715" max="8715" width="11.140625" customWidth="1"/>
    <col min="8716" max="8716" width="19.85546875" customWidth="1"/>
    <col min="8717" max="8717" width="12.7109375" customWidth="1"/>
    <col min="8962" max="8962" width="19.5703125" customWidth="1"/>
    <col min="8963" max="8963" width="13.28515625" customWidth="1"/>
    <col min="8964" max="8964" width="8" customWidth="1"/>
    <col min="8965" max="8965" width="12.7109375" customWidth="1"/>
    <col min="8966" max="8966" width="8" customWidth="1"/>
    <col min="8967" max="8967" width="12" customWidth="1"/>
    <col min="8969" max="8969" width="24.85546875" customWidth="1"/>
    <col min="8970" max="8970" width="13.85546875" customWidth="1"/>
    <col min="8971" max="8971" width="11.140625" customWidth="1"/>
    <col min="8972" max="8972" width="19.85546875" customWidth="1"/>
    <col min="8973" max="8973" width="12.7109375" customWidth="1"/>
    <col min="9218" max="9218" width="19.5703125" customWidth="1"/>
    <col min="9219" max="9219" width="13.28515625" customWidth="1"/>
    <col min="9220" max="9220" width="8" customWidth="1"/>
    <col min="9221" max="9221" width="12.7109375" customWidth="1"/>
    <col min="9222" max="9222" width="8" customWidth="1"/>
    <col min="9223" max="9223" width="12" customWidth="1"/>
    <col min="9225" max="9225" width="24.85546875" customWidth="1"/>
    <col min="9226" max="9226" width="13.85546875" customWidth="1"/>
    <col min="9227" max="9227" width="11.140625" customWidth="1"/>
    <col min="9228" max="9228" width="19.85546875" customWidth="1"/>
    <col min="9229" max="9229" width="12.7109375" customWidth="1"/>
    <col min="9474" max="9474" width="19.5703125" customWidth="1"/>
    <col min="9475" max="9475" width="13.28515625" customWidth="1"/>
    <col min="9476" max="9476" width="8" customWidth="1"/>
    <col min="9477" max="9477" width="12.7109375" customWidth="1"/>
    <col min="9478" max="9478" width="8" customWidth="1"/>
    <col min="9479" max="9479" width="12" customWidth="1"/>
    <col min="9481" max="9481" width="24.85546875" customWidth="1"/>
    <col min="9482" max="9482" width="13.85546875" customWidth="1"/>
    <col min="9483" max="9483" width="11.140625" customWidth="1"/>
    <col min="9484" max="9484" width="19.85546875" customWidth="1"/>
    <col min="9485" max="9485" width="12.7109375" customWidth="1"/>
    <col min="9730" max="9730" width="19.5703125" customWidth="1"/>
    <col min="9731" max="9731" width="13.28515625" customWidth="1"/>
    <col min="9732" max="9732" width="8" customWidth="1"/>
    <col min="9733" max="9733" width="12.7109375" customWidth="1"/>
    <col min="9734" max="9734" width="8" customWidth="1"/>
    <col min="9735" max="9735" width="12" customWidth="1"/>
    <col min="9737" max="9737" width="24.85546875" customWidth="1"/>
    <col min="9738" max="9738" width="13.85546875" customWidth="1"/>
    <col min="9739" max="9739" width="11.140625" customWidth="1"/>
    <col min="9740" max="9740" width="19.85546875" customWidth="1"/>
    <col min="9741" max="9741" width="12.7109375" customWidth="1"/>
    <col min="9986" max="9986" width="19.5703125" customWidth="1"/>
    <col min="9987" max="9987" width="13.28515625" customWidth="1"/>
    <col min="9988" max="9988" width="8" customWidth="1"/>
    <col min="9989" max="9989" width="12.7109375" customWidth="1"/>
    <col min="9990" max="9990" width="8" customWidth="1"/>
    <col min="9991" max="9991" width="12" customWidth="1"/>
    <col min="9993" max="9993" width="24.85546875" customWidth="1"/>
    <col min="9994" max="9994" width="13.85546875" customWidth="1"/>
    <col min="9995" max="9995" width="11.140625" customWidth="1"/>
    <col min="9996" max="9996" width="19.85546875" customWidth="1"/>
    <col min="9997" max="9997" width="12.7109375" customWidth="1"/>
    <col min="10242" max="10242" width="19.5703125" customWidth="1"/>
    <col min="10243" max="10243" width="13.28515625" customWidth="1"/>
    <col min="10244" max="10244" width="8" customWidth="1"/>
    <col min="10245" max="10245" width="12.7109375" customWidth="1"/>
    <col min="10246" max="10246" width="8" customWidth="1"/>
    <col min="10247" max="10247" width="12" customWidth="1"/>
    <col min="10249" max="10249" width="24.85546875" customWidth="1"/>
    <col min="10250" max="10250" width="13.85546875" customWidth="1"/>
    <col min="10251" max="10251" width="11.140625" customWidth="1"/>
    <col min="10252" max="10252" width="19.85546875" customWidth="1"/>
    <col min="10253" max="10253" width="12.7109375" customWidth="1"/>
    <col min="10498" max="10498" width="19.5703125" customWidth="1"/>
    <col min="10499" max="10499" width="13.28515625" customWidth="1"/>
    <col min="10500" max="10500" width="8" customWidth="1"/>
    <col min="10501" max="10501" width="12.7109375" customWidth="1"/>
    <col min="10502" max="10502" width="8" customWidth="1"/>
    <col min="10503" max="10503" width="12" customWidth="1"/>
    <col min="10505" max="10505" width="24.85546875" customWidth="1"/>
    <col min="10506" max="10506" width="13.85546875" customWidth="1"/>
    <col min="10507" max="10507" width="11.140625" customWidth="1"/>
    <col min="10508" max="10508" width="19.85546875" customWidth="1"/>
    <col min="10509" max="10509" width="12.7109375" customWidth="1"/>
    <col min="10754" max="10754" width="19.5703125" customWidth="1"/>
    <col min="10755" max="10755" width="13.28515625" customWidth="1"/>
    <col min="10756" max="10756" width="8" customWidth="1"/>
    <col min="10757" max="10757" width="12.7109375" customWidth="1"/>
    <col min="10758" max="10758" width="8" customWidth="1"/>
    <col min="10759" max="10759" width="12" customWidth="1"/>
    <col min="10761" max="10761" width="24.85546875" customWidth="1"/>
    <col min="10762" max="10762" width="13.85546875" customWidth="1"/>
    <col min="10763" max="10763" width="11.140625" customWidth="1"/>
    <col min="10764" max="10764" width="19.85546875" customWidth="1"/>
    <col min="10765" max="10765" width="12.7109375" customWidth="1"/>
    <col min="11010" max="11010" width="19.5703125" customWidth="1"/>
    <col min="11011" max="11011" width="13.28515625" customWidth="1"/>
    <col min="11012" max="11012" width="8" customWidth="1"/>
    <col min="11013" max="11013" width="12.7109375" customWidth="1"/>
    <col min="11014" max="11014" width="8" customWidth="1"/>
    <col min="11015" max="11015" width="12" customWidth="1"/>
    <col min="11017" max="11017" width="24.85546875" customWidth="1"/>
    <col min="11018" max="11018" width="13.85546875" customWidth="1"/>
    <col min="11019" max="11019" width="11.140625" customWidth="1"/>
    <col min="11020" max="11020" width="19.85546875" customWidth="1"/>
    <col min="11021" max="11021" width="12.7109375" customWidth="1"/>
    <col min="11266" max="11266" width="19.5703125" customWidth="1"/>
    <col min="11267" max="11267" width="13.28515625" customWidth="1"/>
    <col min="11268" max="11268" width="8" customWidth="1"/>
    <col min="11269" max="11269" width="12.7109375" customWidth="1"/>
    <col min="11270" max="11270" width="8" customWidth="1"/>
    <col min="11271" max="11271" width="12" customWidth="1"/>
    <col min="11273" max="11273" width="24.85546875" customWidth="1"/>
    <col min="11274" max="11274" width="13.85546875" customWidth="1"/>
    <col min="11275" max="11275" width="11.140625" customWidth="1"/>
    <col min="11276" max="11276" width="19.85546875" customWidth="1"/>
    <col min="11277" max="11277" width="12.7109375" customWidth="1"/>
    <col min="11522" max="11522" width="19.5703125" customWidth="1"/>
    <col min="11523" max="11523" width="13.28515625" customWidth="1"/>
    <col min="11524" max="11524" width="8" customWidth="1"/>
    <col min="11525" max="11525" width="12.7109375" customWidth="1"/>
    <col min="11526" max="11526" width="8" customWidth="1"/>
    <col min="11527" max="11527" width="12" customWidth="1"/>
    <col min="11529" max="11529" width="24.85546875" customWidth="1"/>
    <col min="11530" max="11530" width="13.85546875" customWidth="1"/>
    <col min="11531" max="11531" width="11.140625" customWidth="1"/>
    <col min="11532" max="11532" width="19.85546875" customWidth="1"/>
    <col min="11533" max="11533" width="12.7109375" customWidth="1"/>
    <col min="11778" max="11778" width="19.5703125" customWidth="1"/>
    <col min="11779" max="11779" width="13.28515625" customWidth="1"/>
    <col min="11780" max="11780" width="8" customWidth="1"/>
    <col min="11781" max="11781" width="12.7109375" customWidth="1"/>
    <col min="11782" max="11782" width="8" customWidth="1"/>
    <col min="11783" max="11783" width="12" customWidth="1"/>
    <col min="11785" max="11785" width="24.85546875" customWidth="1"/>
    <col min="11786" max="11786" width="13.85546875" customWidth="1"/>
    <col min="11787" max="11787" width="11.140625" customWidth="1"/>
    <col min="11788" max="11788" width="19.85546875" customWidth="1"/>
    <col min="11789" max="11789" width="12.7109375" customWidth="1"/>
    <col min="12034" max="12034" width="19.5703125" customWidth="1"/>
    <col min="12035" max="12035" width="13.28515625" customWidth="1"/>
    <col min="12036" max="12036" width="8" customWidth="1"/>
    <col min="12037" max="12037" width="12.7109375" customWidth="1"/>
    <col min="12038" max="12038" width="8" customWidth="1"/>
    <col min="12039" max="12039" width="12" customWidth="1"/>
    <col min="12041" max="12041" width="24.85546875" customWidth="1"/>
    <col min="12042" max="12042" width="13.85546875" customWidth="1"/>
    <col min="12043" max="12043" width="11.140625" customWidth="1"/>
    <col min="12044" max="12044" width="19.85546875" customWidth="1"/>
    <col min="12045" max="12045" width="12.7109375" customWidth="1"/>
    <col min="12290" max="12290" width="19.5703125" customWidth="1"/>
    <col min="12291" max="12291" width="13.28515625" customWidth="1"/>
    <col min="12292" max="12292" width="8" customWidth="1"/>
    <col min="12293" max="12293" width="12.7109375" customWidth="1"/>
    <col min="12294" max="12294" width="8" customWidth="1"/>
    <col min="12295" max="12295" width="12" customWidth="1"/>
    <col min="12297" max="12297" width="24.85546875" customWidth="1"/>
    <col min="12298" max="12298" width="13.85546875" customWidth="1"/>
    <col min="12299" max="12299" width="11.140625" customWidth="1"/>
    <col min="12300" max="12300" width="19.85546875" customWidth="1"/>
    <col min="12301" max="12301" width="12.7109375" customWidth="1"/>
    <col min="12546" max="12546" width="19.5703125" customWidth="1"/>
    <col min="12547" max="12547" width="13.28515625" customWidth="1"/>
    <col min="12548" max="12548" width="8" customWidth="1"/>
    <col min="12549" max="12549" width="12.7109375" customWidth="1"/>
    <col min="12550" max="12550" width="8" customWidth="1"/>
    <col min="12551" max="12551" width="12" customWidth="1"/>
    <col min="12553" max="12553" width="24.85546875" customWidth="1"/>
    <col min="12554" max="12554" width="13.85546875" customWidth="1"/>
    <col min="12555" max="12555" width="11.140625" customWidth="1"/>
    <col min="12556" max="12556" width="19.85546875" customWidth="1"/>
    <col min="12557" max="12557" width="12.7109375" customWidth="1"/>
    <col min="12802" max="12802" width="19.5703125" customWidth="1"/>
    <col min="12803" max="12803" width="13.28515625" customWidth="1"/>
    <col min="12804" max="12804" width="8" customWidth="1"/>
    <col min="12805" max="12805" width="12.7109375" customWidth="1"/>
    <col min="12806" max="12806" width="8" customWidth="1"/>
    <col min="12807" max="12807" width="12" customWidth="1"/>
    <col min="12809" max="12809" width="24.85546875" customWidth="1"/>
    <col min="12810" max="12810" width="13.85546875" customWidth="1"/>
    <col min="12811" max="12811" width="11.140625" customWidth="1"/>
    <col min="12812" max="12812" width="19.85546875" customWidth="1"/>
    <col min="12813" max="12813" width="12.7109375" customWidth="1"/>
    <col min="13058" max="13058" width="19.5703125" customWidth="1"/>
    <col min="13059" max="13059" width="13.28515625" customWidth="1"/>
    <col min="13060" max="13060" width="8" customWidth="1"/>
    <col min="13061" max="13061" width="12.7109375" customWidth="1"/>
    <col min="13062" max="13062" width="8" customWidth="1"/>
    <col min="13063" max="13063" width="12" customWidth="1"/>
    <col min="13065" max="13065" width="24.85546875" customWidth="1"/>
    <col min="13066" max="13066" width="13.85546875" customWidth="1"/>
    <col min="13067" max="13067" width="11.140625" customWidth="1"/>
    <col min="13068" max="13068" width="19.85546875" customWidth="1"/>
    <col min="13069" max="13069" width="12.7109375" customWidth="1"/>
    <col min="13314" max="13314" width="19.5703125" customWidth="1"/>
    <col min="13315" max="13315" width="13.28515625" customWidth="1"/>
    <col min="13316" max="13316" width="8" customWidth="1"/>
    <col min="13317" max="13317" width="12.7109375" customWidth="1"/>
    <col min="13318" max="13318" width="8" customWidth="1"/>
    <col min="13319" max="13319" width="12" customWidth="1"/>
    <col min="13321" max="13321" width="24.85546875" customWidth="1"/>
    <col min="13322" max="13322" width="13.85546875" customWidth="1"/>
    <col min="13323" max="13323" width="11.140625" customWidth="1"/>
    <col min="13324" max="13324" width="19.85546875" customWidth="1"/>
    <col min="13325" max="13325" width="12.7109375" customWidth="1"/>
    <col min="13570" max="13570" width="19.5703125" customWidth="1"/>
    <col min="13571" max="13571" width="13.28515625" customWidth="1"/>
    <col min="13572" max="13572" width="8" customWidth="1"/>
    <col min="13573" max="13573" width="12.7109375" customWidth="1"/>
    <col min="13574" max="13574" width="8" customWidth="1"/>
    <col min="13575" max="13575" width="12" customWidth="1"/>
    <col min="13577" max="13577" width="24.85546875" customWidth="1"/>
    <col min="13578" max="13578" width="13.85546875" customWidth="1"/>
    <col min="13579" max="13579" width="11.140625" customWidth="1"/>
    <col min="13580" max="13580" width="19.85546875" customWidth="1"/>
    <col min="13581" max="13581" width="12.7109375" customWidth="1"/>
    <col min="13826" max="13826" width="19.5703125" customWidth="1"/>
    <col min="13827" max="13827" width="13.28515625" customWidth="1"/>
    <col min="13828" max="13828" width="8" customWidth="1"/>
    <col min="13829" max="13829" width="12.7109375" customWidth="1"/>
    <col min="13830" max="13830" width="8" customWidth="1"/>
    <col min="13831" max="13831" width="12" customWidth="1"/>
    <col min="13833" max="13833" width="24.85546875" customWidth="1"/>
    <col min="13834" max="13834" width="13.85546875" customWidth="1"/>
    <col min="13835" max="13835" width="11.140625" customWidth="1"/>
    <col min="13836" max="13836" width="19.85546875" customWidth="1"/>
    <col min="13837" max="13837" width="12.7109375" customWidth="1"/>
    <col min="14082" max="14082" width="19.5703125" customWidth="1"/>
    <col min="14083" max="14083" width="13.28515625" customWidth="1"/>
    <col min="14084" max="14084" width="8" customWidth="1"/>
    <col min="14085" max="14085" width="12.7109375" customWidth="1"/>
    <col min="14086" max="14086" width="8" customWidth="1"/>
    <col min="14087" max="14087" width="12" customWidth="1"/>
    <col min="14089" max="14089" width="24.85546875" customWidth="1"/>
    <col min="14090" max="14090" width="13.85546875" customWidth="1"/>
    <col min="14091" max="14091" width="11.140625" customWidth="1"/>
    <col min="14092" max="14092" width="19.85546875" customWidth="1"/>
    <col min="14093" max="14093" width="12.7109375" customWidth="1"/>
    <col min="14338" max="14338" width="19.5703125" customWidth="1"/>
    <col min="14339" max="14339" width="13.28515625" customWidth="1"/>
    <col min="14340" max="14340" width="8" customWidth="1"/>
    <col min="14341" max="14341" width="12.7109375" customWidth="1"/>
    <col min="14342" max="14342" width="8" customWidth="1"/>
    <col min="14343" max="14343" width="12" customWidth="1"/>
    <col min="14345" max="14345" width="24.85546875" customWidth="1"/>
    <col min="14346" max="14346" width="13.85546875" customWidth="1"/>
    <col min="14347" max="14347" width="11.140625" customWidth="1"/>
    <col min="14348" max="14348" width="19.85546875" customWidth="1"/>
    <col min="14349" max="14349" width="12.7109375" customWidth="1"/>
    <col min="14594" max="14594" width="19.5703125" customWidth="1"/>
    <col min="14595" max="14595" width="13.28515625" customWidth="1"/>
    <col min="14596" max="14596" width="8" customWidth="1"/>
    <col min="14597" max="14597" width="12.7109375" customWidth="1"/>
    <col min="14598" max="14598" width="8" customWidth="1"/>
    <col min="14599" max="14599" width="12" customWidth="1"/>
    <col min="14601" max="14601" width="24.85546875" customWidth="1"/>
    <col min="14602" max="14602" width="13.85546875" customWidth="1"/>
    <col min="14603" max="14603" width="11.140625" customWidth="1"/>
    <col min="14604" max="14604" width="19.85546875" customWidth="1"/>
    <col min="14605" max="14605" width="12.7109375" customWidth="1"/>
    <col min="14850" max="14850" width="19.5703125" customWidth="1"/>
    <col min="14851" max="14851" width="13.28515625" customWidth="1"/>
    <col min="14852" max="14852" width="8" customWidth="1"/>
    <col min="14853" max="14853" width="12.7109375" customWidth="1"/>
    <col min="14854" max="14854" width="8" customWidth="1"/>
    <col min="14855" max="14855" width="12" customWidth="1"/>
    <col min="14857" max="14857" width="24.85546875" customWidth="1"/>
    <col min="14858" max="14858" width="13.85546875" customWidth="1"/>
    <col min="14859" max="14859" width="11.140625" customWidth="1"/>
    <col min="14860" max="14860" width="19.85546875" customWidth="1"/>
    <col min="14861" max="14861" width="12.7109375" customWidth="1"/>
    <col min="15106" max="15106" width="19.5703125" customWidth="1"/>
    <col min="15107" max="15107" width="13.28515625" customWidth="1"/>
    <col min="15108" max="15108" width="8" customWidth="1"/>
    <col min="15109" max="15109" width="12.7109375" customWidth="1"/>
    <col min="15110" max="15110" width="8" customWidth="1"/>
    <col min="15111" max="15111" width="12" customWidth="1"/>
    <col min="15113" max="15113" width="24.85546875" customWidth="1"/>
    <col min="15114" max="15114" width="13.85546875" customWidth="1"/>
    <col min="15115" max="15115" width="11.140625" customWidth="1"/>
    <col min="15116" max="15116" width="19.85546875" customWidth="1"/>
    <col min="15117" max="15117" width="12.7109375" customWidth="1"/>
    <col min="15362" max="15362" width="19.5703125" customWidth="1"/>
    <col min="15363" max="15363" width="13.28515625" customWidth="1"/>
    <col min="15364" max="15364" width="8" customWidth="1"/>
    <col min="15365" max="15365" width="12.7109375" customWidth="1"/>
    <col min="15366" max="15366" width="8" customWidth="1"/>
    <col min="15367" max="15367" width="12" customWidth="1"/>
    <col min="15369" max="15369" width="24.85546875" customWidth="1"/>
    <col min="15370" max="15370" width="13.85546875" customWidth="1"/>
    <col min="15371" max="15371" width="11.140625" customWidth="1"/>
    <col min="15372" max="15372" width="19.85546875" customWidth="1"/>
    <col min="15373" max="15373" width="12.7109375" customWidth="1"/>
    <col min="15618" max="15618" width="19.5703125" customWidth="1"/>
    <col min="15619" max="15619" width="13.28515625" customWidth="1"/>
    <col min="15620" max="15620" width="8" customWidth="1"/>
    <col min="15621" max="15621" width="12.7109375" customWidth="1"/>
    <col min="15622" max="15622" width="8" customWidth="1"/>
    <col min="15623" max="15623" width="12" customWidth="1"/>
    <col min="15625" max="15625" width="24.85546875" customWidth="1"/>
    <col min="15626" max="15626" width="13.85546875" customWidth="1"/>
    <col min="15627" max="15627" width="11.140625" customWidth="1"/>
    <col min="15628" max="15628" width="19.85546875" customWidth="1"/>
    <col min="15629" max="15629" width="12.7109375" customWidth="1"/>
    <col min="15874" max="15874" width="19.5703125" customWidth="1"/>
    <col min="15875" max="15875" width="13.28515625" customWidth="1"/>
    <col min="15876" max="15876" width="8" customWidth="1"/>
    <col min="15877" max="15877" width="12.7109375" customWidth="1"/>
    <col min="15878" max="15878" width="8" customWidth="1"/>
    <col min="15879" max="15879" width="12" customWidth="1"/>
    <col min="15881" max="15881" width="24.85546875" customWidth="1"/>
    <col min="15882" max="15882" width="13.85546875" customWidth="1"/>
    <col min="15883" max="15883" width="11.140625" customWidth="1"/>
    <col min="15884" max="15884" width="19.85546875" customWidth="1"/>
    <col min="15885" max="15885" width="12.7109375" customWidth="1"/>
    <col min="16130" max="16130" width="19.5703125" customWidth="1"/>
    <col min="16131" max="16131" width="13.28515625" customWidth="1"/>
    <col min="16132" max="16132" width="8" customWidth="1"/>
    <col min="16133" max="16133" width="12.7109375" customWidth="1"/>
    <col min="16134" max="16134" width="8" customWidth="1"/>
    <col min="16135" max="16135" width="12" customWidth="1"/>
    <col min="16137" max="16137" width="24.85546875" customWidth="1"/>
    <col min="16138" max="16138" width="13.85546875" customWidth="1"/>
    <col min="16139" max="16139" width="11.140625" customWidth="1"/>
    <col min="16140" max="16140" width="19.85546875" customWidth="1"/>
    <col min="16141" max="16141" width="12.7109375" customWidth="1"/>
  </cols>
  <sheetData>
    <row r="1" spans="1:13" ht="13.5" customHeight="1" thickBot="1">
      <c r="A1" s="109" t="s">
        <v>162</v>
      </c>
      <c r="B1" s="166" t="s">
        <v>586</v>
      </c>
      <c r="C1" s="110" t="s">
        <v>163</v>
      </c>
      <c r="D1" s="111" t="s">
        <v>164</v>
      </c>
      <c r="E1" s="111" t="s">
        <v>165</v>
      </c>
      <c r="I1" s="112" t="s">
        <v>166</v>
      </c>
      <c r="J1" s="109" t="s">
        <v>167</v>
      </c>
      <c r="K1" s="111" t="s">
        <v>168</v>
      </c>
      <c r="L1" s="111" t="s">
        <v>169</v>
      </c>
      <c r="M1" s="111" t="s">
        <v>165</v>
      </c>
    </row>
    <row r="2" spans="1:13" ht="12.75" customHeight="1">
      <c r="A2" s="171">
        <v>39479</v>
      </c>
      <c r="B2" s="167"/>
      <c r="C2" s="113" t="s">
        <v>170</v>
      </c>
      <c r="D2" s="114">
        <f>848.08</f>
        <v>848.08</v>
      </c>
      <c r="E2" s="115">
        <v>0</v>
      </c>
      <c r="G2" s="116">
        <f t="shared" ref="G2:G23" si="0">D2*6</f>
        <v>5088.4800000000005</v>
      </c>
      <c r="I2" s="117"/>
      <c r="J2" s="118"/>
      <c r="K2" s="114"/>
      <c r="L2" s="114"/>
      <c r="M2" s="115">
        <v>0</v>
      </c>
    </row>
    <row r="3" spans="1:13" ht="12.75" customHeight="1">
      <c r="A3" s="171">
        <v>39661</v>
      </c>
      <c r="B3" s="167"/>
      <c r="C3" s="119">
        <v>5.323E-2</v>
      </c>
      <c r="D3" s="114">
        <v>914</v>
      </c>
      <c r="E3" s="120">
        <f t="shared" ref="E3:E15" si="1">D3-D2</f>
        <v>65.919999999999959</v>
      </c>
      <c r="G3" s="116">
        <f t="shared" si="0"/>
        <v>5484</v>
      </c>
      <c r="I3" s="117"/>
      <c r="J3" s="118"/>
      <c r="K3" s="114"/>
      <c r="L3" s="121"/>
      <c r="M3" s="120">
        <f t="shared" ref="M3:M16" si="2">L3-L2</f>
        <v>0</v>
      </c>
    </row>
    <row r="4" spans="1:13" ht="12.75" customHeight="1">
      <c r="A4" s="171">
        <v>39845</v>
      </c>
      <c r="B4" s="167"/>
      <c r="C4" s="119">
        <v>2.1350000000000001E-2</v>
      </c>
      <c r="D4" s="114">
        <f>577.6</f>
        <v>577.6</v>
      </c>
      <c r="E4" s="120">
        <f t="shared" si="1"/>
        <v>-336.4</v>
      </c>
      <c r="G4" s="116">
        <f t="shared" si="0"/>
        <v>3465.6000000000004</v>
      </c>
      <c r="I4" s="117"/>
      <c r="J4" s="118"/>
      <c r="K4" s="114"/>
      <c r="L4" s="122"/>
      <c r="M4" s="120">
        <f t="shared" si="2"/>
        <v>0</v>
      </c>
    </row>
    <row r="5" spans="1:13" ht="12.75" customHeight="1">
      <c r="A5" s="171">
        <v>40026</v>
      </c>
      <c r="B5" s="167"/>
      <c r="C5" s="119">
        <v>1.3339999999999999E-2</v>
      </c>
      <c r="D5" s="121">
        <v>505.94</v>
      </c>
      <c r="E5" s="120">
        <f t="shared" si="1"/>
        <v>-71.660000000000025</v>
      </c>
      <c r="G5" s="116">
        <f t="shared" si="0"/>
        <v>3035.64</v>
      </c>
      <c r="I5" s="117"/>
      <c r="J5" s="123"/>
      <c r="K5" s="121"/>
      <c r="L5" s="121"/>
      <c r="M5" s="120">
        <f t="shared" si="2"/>
        <v>0</v>
      </c>
    </row>
    <row r="6" spans="1:13" ht="12.75" customHeight="1">
      <c r="A6" s="171">
        <v>40210</v>
      </c>
      <c r="B6" s="167"/>
      <c r="C6" s="119">
        <v>1.225E-2</v>
      </c>
      <c r="D6" s="121">
        <v>496.71</v>
      </c>
      <c r="E6" s="120">
        <f t="shared" si="1"/>
        <v>-9.2300000000000182</v>
      </c>
      <c r="G6" s="116">
        <f t="shared" si="0"/>
        <v>2980.2599999999998</v>
      </c>
      <c r="I6" s="117"/>
      <c r="J6" s="123"/>
      <c r="K6" s="121"/>
      <c r="L6" s="121"/>
      <c r="M6" s="120">
        <f t="shared" si="2"/>
        <v>0</v>
      </c>
    </row>
    <row r="7" spans="1:13" ht="12.75" customHeight="1">
      <c r="A7" s="171">
        <v>40391</v>
      </c>
      <c r="B7" s="167"/>
      <c r="C7" s="119">
        <v>1.421E-2</v>
      </c>
      <c r="D7" s="121">
        <v>513.17999999999995</v>
      </c>
      <c r="E7" s="120">
        <f t="shared" si="1"/>
        <v>16.46999999999997</v>
      </c>
      <c r="G7" s="116">
        <f t="shared" si="0"/>
        <v>3079.08</v>
      </c>
      <c r="I7" s="117"/>
      <c r="J7" s="123"/>
      <c r="K7" s="121"/>
      <c r="L7" s="121"/>
      <c r="M7" s="120">
        <f t="shared" si="2"/>
        <v>0</v>
      </c>
    </row>
    <row r="8" spans="1:13" ht="12.75" customHeight="1">
      <c r="A8" s="171">
        <v>40575</v>
      </c>
      <c r="B8" s="167"/>
      <c r="C8" s="119">
        <v>1.7139999999999999E-2</v>
      </c>
      <c r="D8" s="124">
        <v>538.1</v>
      </c>
      <c r="E8" s="120">
        <f t="shared" si="1"/>
        <v>24.920000000000073</v>
      </c>
      <c r="G8" s="116">
        <f t="shared" si="0"/>
        <v>3228.6000000000004</v>
      </c>
      <c r="I8" s="117"/>
      <c r="J8" s="125"/>
      <c r="K8" s="124"/>
      <c r="L8" s="121"/>
      <c r="M8" s="120">
        <f t="shared" si="2"/>
        <v>0</v>
      </c>
    </row>
    <row r="9" spans="1:13" ht="12.75" customHeight="1">
      <c r="A9" s="171">
        <v>40756</v>
      </c>
      <c r="B9" s="167"/>
      <c r="C9" s="119">
        <v>2.0969999999999999E-2</v>
      </c>
      <c r="D9" s="121">
        <v>571.29</v>
      </c>
      <c r="E9" s="120">
        <f t="shared" si="1"/>
        <v>33.189999999999941</v>
      </c>
      <c r="G9" s="116">
        <f t="shared" si="0"/>
        <v>3427.74</v>
      </c>
      <c r="I9" s="117"/>
      <c r="J9" s="123"/>
      <c r="K9" s="121"/>
      <c r="L9" s="121"/>
      <c r="M9" s="120">
        <f t="shared" si="2"/>
        <v>0</v>
      </c>
    </row>
    <row r="10" spans="1:13" ht="12.75" customHeight="1">
      <c r="A10" s="172">
        <v>40940</v>
      </c>
      <c r="B10" s="168"/>
      <c r="C10" s="119">
        <v>1.678E-2</v>
      </c>
      <c r="D10" s="121">
        <v>535.46</v>
      </c>
      <c r="E10" s="120">
        <f t="shared" si="1"/>
        <v>-35.829999999999927</v>
      </c>
      <c r="G10" s="116">
        <f t="shared" si="0"/>
        <v>3212.76</v>
      </c>
      <c r="I10" s="126"/>
      <c r="J10" s="123"/>
      <c r="K10" s="121"/>
      <c r="L10" s="121"/>
      <c r="M10" s="120">
        <f t="shared" si="2"/>
        <v>0</v>
      </c>
    </row>
    <row r="11" spans="1:13" ht="12.75" customHeight="1">
      <c r="A11" s="171">
        <v>41122</v>
      </c>
      <c r="B11" s="167"/>
      <c r="C11" s="119">
        <f>(1.377-0.5)/100</f>
        <v>8.77E-3</v>
      </c>
      <c r="D11" s="121">
        <f>471.35</f>
        <v>471.35</v>
      </c>
      <c r="E11" s="120">
        <f t="shared" si="1"/>
        <v>-64.110000000000014</v>
      </c>
      <c r="G11" s="116">
        <f t="shared" si="0"/>
        <v>2828.1000000000004</v>
      </c>
      <c r="I11" s="117"/>
      <c r="J11" s="123"/>
      <c r="K11" s="121"/>
      <c r="L11" s="121"/>
      <c r="M11" s="120">
        <f t="shared" si="2"/>
        <v>0</v>
      </c>
    </row>
    <row r="12" spans="1:13" ht="12.75" customHeight="1">
      <c r="A12" s="171">
        <v>41306</v>
      </c>
      <c r="B12" s="167"/>
      <c r="C12" s="119">
        <f>0.594/100</f>
        <v>5.94E-3</v>
      </c>
      <c r="D12" s="121">
        <v>450.15</v>
      </c>
      <c r="E12" s="120">
        <v>-21.2</v>
      </c>
      <c r="G12" s="116">
        <f t="shared" si="0"/>
        <v>2700.8999999999996</v>
      </c>
      <c r="I12" s="117"/>
      <c r="J12" s="123"/>
      <c r="K12" s="121"/>
      <c r="L12" s="121"/>
      <c r="M12" s="120">
        <v>0</v>
      </c>
    </row>
    <row r="13" spans="1:13" ht="12.75" customHeight="1">
      <c r="A13" s="171">
        <v>41487</v>
      </c>
      <c r="B13" s="167"/>
      <c r="C13" s="119">
        <f>0.542/100</f>
        <v>5.4200000000000003E-3</v>
      </c>
      <c r="D13" s="121">
        <v>446.36</v>
      </c>
      <c r="E13" s="120">
        <v>-3.77</v>
      </c>
      <c r="G13" s="116">
        <f t="shared" si="0"/>
        <v>2678.16</v>
      </c>
      <c r="I13" s="117"/>
      <c r="J13" s="123"/>
      <c r="K13" s="121"/>
      <c r="L13" s="121"/>
      <c r="M13" s="120">
        <v>0</v>
      </c>
    </row>
    <row r="14" spans="1:13" ht="12.75" customHeight="1">
      <c r="A14" s="171">
        <v>41671</v>
      </c>
      <c r="B14" s="167"/>
      <c r="C14" s="119">
        <f>0.549/100</f>
        <v>5.4900000000000001E-3</v>
      </c>
      <c r="D14" s="121">
        <f>446.86</f>
        <v>446.86</v>
      </c>
      <c r="E14" s="120">
        <f t="shared" si="1"/>
        <v>0.5</v>
      </c>
      <c r="G14" s="116">
        <f t="shared" si="0"/>
        <v>2681.16</v>
      </c>
      <c r="I14" s="127">
        <f>EDATE(A14,2)</f>
        <v>41730</v>
      </c>
      <c r="J14" s="212">
        <v>153293.20000000001</v>
      </c>
      <c r="K14" s="213">
        <v>15951.99</v>
      </c>
      <c r="L14" s="213">
        <f t="shared" ref="L14:L19" si="3">K14-J14</f>
        <v>-137341.21000000002</v>
      </c>
      <c r="M14" s="120">
        <f t="shared" si="2"/>
        <v>-137341.21000000002</v>
      </c>
    </row>
    <row r="15" spans="1:13" ht="12.75" customHeight="1">
      <c r="A15" s="171">
        <f>EDATE(A14,6)</f>
        <v>41852</v>
      </c>
      <c r="B15" s="167">
        <v>151411.95000000001</v>
      </c>
      <c r="C15" s="119">
        <f>(0.969-0.5)/100</f>
        <v>4.6899999999999997E-3</v>
      </c>
      <c r="D15" s="121">
        <f>318.97+122.27</f>
        <v>441.24</v>
      </c>
      <c r="E15" s="120">
        <f t="shared" si="1"/>
        <v>-5.6200000000000045</v>
      </c>
      <c r="G15" s="116">
        <f t="shared" si="0"/>
        <v>2647.44</v>
      </c>
      <c r="I15" s="127">
        <f t="shared" ref="I15:I62" si="4">EDATE(A15,2)</f>
        <v>41913</v>
      </c>
      <c r="J15" s="214">
        <f>151411.95+18544.65-(198.04*2)</f>
        <v>169560.52000000002</v>
      </c>
      <c r="K15" s="213">
        <v>17897.71</v>
      </c>
      <c r="L15" s="213">
        <f t="shared" si="3"/>
        <v>-151662.81000000003</v>
      </c>
      <c r="M15" s="120">
        <f t="shared" si="2"/>
        <v>-14321.600000000006</v>
      </c>
    </row>
    <row r="16" spans="1:13" ht="12.75" customHeight="1">
      <c r="A16" s="171">
        <f t="shared" ref="A16:A79" si="5">EDATE(A15,6)</f>
        <v>42036</v>
      </c>
      <c r="B16" s="167">
        <v>149494.24</v>
      </c>
      <c r="C16" s="119">
        <f>0.00255</f>
        <v>2.5500000000000002E-3</v>
      </c>
      <c r="D16" s="121">
        <f>426.61</f>
        <v>426.61</v>
      </c>
      <c r="E16" s="120">
        <f>D16-D15</f>
        <v>-14.629999999999995</v>
      </c>
      <c r="G16" s="116">
        <f t="shared" si="0"/>
        <v>2559.66</v>
      </c>
      <c r="I16" s="127">
        <f t="shared" si="4"/>
        <v>42095</v>
      </c>
      <c r="J16" s="214">
        <f>149494.24+18544.65-(198.04*(2+6))</f>
        <v>166454.56999999998</v>
      </c>
      <c r="K16" s="213">
        <v>20433.009999999998</v>
      </c>
      <c r="L16" s="213">
        <f t="shared" si="3"/>
        <v>-146021.55999999997</v>
      </c>
      <c r="M16" s="120">
        <f t="shared" si="2"/>
        <v>5641.2500000000582</v>
      </c>
    </row>
    <row r="17" spans="1:13" ht="12.75" customHeight="1">
      <c r="A17" s="171">
        <f t="shared" si="5"/>
        <v>42217</v>
      </c>
      <c r="B17" s="167">
        <v>147495.79</v>
      </c>
      <c r="C17" s="119">
        <v>1.6138095238095241E-3</v>
      </c>
      <c r="D17" s="121">
        <v>420.38</v>
      </c>
      <c r="E17" s="120">
        <f>D17-D16</f>
        <v>-6.2300000000000182</v>
      </c>
      <c r="G17" s="116">
        <f t="shared" si="0"/>
        <v>2522.2799999999997</v>
      </c>
      <c r="I17" s="127">
        <f t="shared" si="4"/>
        <v>42278</v>
      </c>
      <c r="J17" s="214">
        <f>147495.79+18544.65-(198.04*(2+12))</f>
        <v>163267.88</v>
      </c>
      <c r="K17" s="213">
        <v>17715.88</v>
      </c>
      <c r="L17" s="213">
        <f t="shared" si="3"/>
        <v>-145552</v>
      </c>
      <c r="M17" s="120">
        <f t="shared" ref="M17:M22" si="6">L17-L16</f>
        <v>469.55999999996857</v>
      </c>
    </row>
    <row r="18" spans="1:13" ht="12.75" customHeight="1">
      <c r="A18" s="171">
        <f t="shared" si="5"/>
        <v>42401</v>
      </c>
      <c r="B18" s="167">
        <v>145458.18</v>
      </c>
      <c r="C18" s="119">
        <f>-0.00008</f>
        <v>-8.0000000000000007E-5</v>
      </c>
      <c r="D18" s="121">
        <v>409.48</v>
      </c>
      <c r="E18" s="120">
        <v>-10.89</v>
      </c>
      <c r="G18" s="116">
        <f t="shared" si="0"/>
        <v>2456.88</v>
      </c>
      <c r="I18" s="127">
        <f t="shared" si="4"/>
        <v>42461</v>
      </c>
      <c r="J18" s="214">
        <f>145458.18+18544.65-(198.04*(2+18))</f>
        <v>160042.03</v>
      </c>
      <c r="K18" s="213">
        <f>1167.12+4510.82+2610.71+5004.39+800+2627.7+1337.06</f>
        <v>18057.800000000003</v>
      </c>
      <c r="L18" s="213">
        <f t="shared" si="3"/>
        <v>-141984.22999999998</v>
      </c>
      <c r="M18" s="120">
        <f t="shared" si="6"/>
        <v>3567.7700000000186</v>
      </c>
    </row>
    <row r="19" spans="1:13" ht="12.75" customHeight="1">
      <c r="A19" s="171">
        <f t="shared" si="5"/>
        <v>42583</v>
      </c>
      <c r="B19" s="167">
        <v>143356.97</v>
      </c>
      <c r="C19" s="119">
        <f>-0.048%</f>
        <v>-4.8000000000000001E-4</v>
      </c>
      <c r="D19" s="121">
        <v>406.97</v>
      </c>
      <c r="E19" s="120">
        <f t="shared" ref="E19:E24" si="7">D19-D18</f>
        <v>-2.5099999999999909</v>
      </c>
      <c r="G19" s="116">
        <f t="shared" si="0"/>
        <v>2441.8200000000002</v>
      </c>
      <c r="I19" s="127">
        <f t="shared" si="4"/>
        <v>42644</v>
      </c>
      <c r="J19" s="214">
        <f>143356.97+18544.65-(198.04*(2+24))</f>
        <v>156752.57999999999</v>
      </c>
      <c r="K19" s="213">
        <f>18827.92-5007.8+(833*5.448)</f>
        <v>18358.304</v>
      </c>
      <c r="L19" s="213">
        <f t="shared" si="3"/>
        <v>-138394.27599999998</v>
      </c>
      <c r="M19" s="120">
        <f t="shared" si="6"/>
        <v>3589.9539999999979</v>
      </c>
    </row>
    <row r="20" spans="1:13" ht="12.75" customHeight="1">
      <c r="A20" s="171">
        <f t="shared" si="5"/>
        <v>42767</v>
      </c>
      <c r="B20" s="167">
        <v>141384.89000000001</v>
      </c>
      <c r="C20" s="119">
        <f>-0.00106</f>
        <v>-1.06E-3</v>
      </c>
      <c r="D20" s="121">
        <v>403.39</v>
      </c>
      <c r="E20" s="120">
        <f t="shared" si="7"/>
        <v>-3.5800000000000409</v>
      </c>
      <c r="G20" s="116">
        <f t="shared" si="0"/>
        <v>2420.34</v>
      </c>
      <c r="I20" s="127">
        <f t="shared" si="4"/>
        <v>42826</v>
      </c>
      <c r="J20" s="214">
        <f>141384.89+18544.65-(198.04*(2+30))</f>
        <v>153592.26</v>
      </c>
      <c r="K20" s="213">
        <f>19200-5007.8+(833*7.9)</f>
        <v>20772.900000000001</v>
      </c>
      <c r="L20" s="213">
        <f>K20-J20</f>
        <v>-132819.36000000002</v>
      </c>
      <c r="M20" s="120">
        <f t="shared" si="6"/>
        <v>5574.9159999999683</v>
      </c>
    </row>
    <row r="21" spans="1:13" ht="12.75" customHeight="1">
      <c r="A21" s="171">
        <f t="shared" si="5"/>
        <v>42948</v>
      </c>
      <c r="B21" s="167">
        <v>139093.28</v>
      </c>
      <c r="C21" s="119">
        <v>-1.56E-3</v>
      </c>
      <c r="D21" s="121">
        <v>400.38</v>
      </c>
      <c r="E21" s="120">
        <f t="shared" si="7"/>
        <v>-3.0099999999999909</v>
      </c>
      <c r="G21" s="116">
        <f t="shared" si="0"/>
        <v>2402.2799999999997</v>
      </c>
      <c r="I21" s="127">
        <f t="shared" si="4"/>
        <v>43009</v>
      </c>
      <c r="J21" s="214">
        <f>139093.28+18544.65-(198.04*(2+36))</f>
        <v>150112.41</v>
      </c>
      <c r="K21" s="213">
        <f>11743+(306*21.51)</f>
        <v>18325.060000000001</v>
      </c>
      <c r="L21" s="213">
        <f>K21-J21</f>
        <v>-131787.35</v>
      </c>
      <c r="M21" s="120">
        <f t="shared" si="6"/>
        <v>1032.0100000000093</v>
      </c>
    </row>
    <row r="22" spans="1:13" ht="12.75" customHeight="1">
      <c r="A22" s="171">
        <f t="shared" si="5"/>
        <v>43132</v>
      </c>
      <c r="B22" s="167">
        <v>136928.69</v>
      </c>
      <c r="C22" s="119">
        <v>-1.9124999999999997E-3</v>
      </c>
      <c r="D22" s="121">
        <v>398.31</v>
      </c>
      <c r="E22" s="120">
        <f t="shared" si="7"/>
        <v>-2.0699999999999932</v>
      </c>
      <c r="G22" s="116">
        <f t="shared" si="0"/>
        <v>2389.86</v>
      </c>
      <c r="I22" s="127">
        <f t="shared" si="4"/>
        <v>43191</v>
      </c>
      <c r="J22" s="214">
        <f>B22+Coche!D6</f>
        <v>160889.93</v>
      </c>
      <c r="K22" s="213">
        <v>20719.909999999996</v>
      </c>
      <c r="L22" s="213">
        <f>K22-J22</f>
        <v>-140170.01999999999</v>
      </c>
      <c r="M22" s="120">
        <f t="shared" si="6"/>
        <v>-8382.6699999999837</v>
      </c>
    </row>
    <row r="23" spans="1:13" ht="12.75" customHeight="1">
      <c r="A23" s="171">
        <f t="shared" si="5"/>
        <v>43313</v>
      </c>
      <c r="B23" s="167">
        <v>134748.99</v>
      </c>
      <c r="C23" s="119">
        <v>-1.6900000000000001E-3</v>
      </c>
      <c r="D23" s="121">
        <v>399.58584259812636</v>
      </c>
      <c r="E23" s="120">
        <f t="shared" si="7"/>
        <v>1.2758425981263599</v>
      </c>
      <c r="G23" s="116">
        <f t="shared" si="0"/>
        <v>2397.5150555887581</v>
      </c>
      <c r="I23" s="127">
        <f t="shared" si="4"/>
        <v>43374</v>
      </c>
      <c r="J23" s="214">
        <f>B23+Coche!D12</f>
        <v>157159.40999999997</v>
      </c>
      <c r="K23" s="213">
        <v>23252.510000000002</v>
      </c>
      <c r="L23" s="213">
        <f>K23-J23</f>
        <v>-133906.89999999997</v>
      </c>
      <c r="M23" s="120">
        <f t="shared" ref="M23" si="8">L23-L22</f>
        <v>6263.1200000000244</v>
      </c>
    </row>
    <row r="24" spans="1:13" ht="12.75" customHeight="1">
      <c r="A24" s="171">
        <f t="shared" si="5"/>
        <v>43497</v>
      </c>
      <c r="B24" s="167">
        <v>132572.97</v>
      </c>
      <c r="C24" s="119">
        <f>Hipoteca!B$6/100</f>
        <v>-1.6900000000000001E-3</v>
      </c>
      <c r="D24" s="121">
        <f>Hipoteca!B$13</f>
        <v>399.58579898879282</v>
      </c>
      <c r="E24" s="120">
        <f t="shared" si="7"/>
        <v>-4.3609333545191475E-5</v>
      </c>
      <c r="I24" s="127">
        <f t="shared" si="4"/>
        <v>43556</v>
      </c>
      <c r="J24" s="214">
        <f>B24+Coche!D18</f>
        <v>153432.56999999998</v>
      </c>
      <c r="K24" s="213"/>
      <c r="L24" s="213"/>
      <c r="M24" s="120"/>
    </row>
    <row r="25" spans="1:13" ht="12.75" customHeight="1">
      <c r="A25" s="171">
        <f t="shared" si="5"/>
        <v>43678</v>
      </c>
      <c r="B25" s="167"/>
      <c r="C25" s="119"/>
      <c r="D25" s="121"/>
      <c r="E25" s="120"/>
      <c r="I25" s="127">
        <f t="shared" si="4"/>
        <v>43739</v>
      </c>
      <c r="J25" s="214"/>
      <c r="K25" s="213"/>
      <c r="L25" s="213"/>
      <c r="M25" s="120"/>
    </row>
    <row r="26" spans="1:13" ht="12.75" customHeight="1">
      <c r="A26" s="171">
        <f t="shared" si="5"/>
        <v>43862</v>
      </c>
      <c r="B26" s="167"/>
      <c r="C26" s="119"/>
      <c r="D26" s="121"/>
      <c r="E26" s="120"/>
      <c r="I26" s="127">
        <f t="shared" si="4"/>
        <v>43922</v>
      </c>
      <c r="J26" s="214"/>
      <c r="K26" s="213"/>
      <c r="L26" s="213"/>
      <c r="M26" s="120"/>
    </row>
    <row r="27" spans="1:13" ht="12.75" customHeight="1">
      <c r="A27" s="171">
        <f t="shared" si="5"/>
        <v>44044</v>
      </c>
      <c r="B27" s="167"/>
      <c r="C27" s="119"/>
      <c r="D27" s="121"/>
      <c r="E27" s="120"/>
      <c r="I27" s="127">
        <f t="shared" si="4"/>
        <v>44105</v>
      </c>
      <c r="J27" s="214"/>
      <c r="K27" s="213"/>
      <c r="L27" s="213"/>
      <c r="M27" s="120"/>
    </row>
    <row r="28" spans="1:13" ht="12.75" customHeight="1">
      <c r="A28" s="171">
        <f t="shared" si="5"/>
        <v>44228</v>
      </c>
      <c r="B28" s="167"/>
      <c r="C28" s="119"/>
      <c r="D28" s="121"/>
      <c r="E28" s="120"/>
      <c r="I28" s="127">
        <f t="shared" si="4"/>
        <v>44287</v>
      </c>
      <c r="J28" s="214"/>
      <c r="K28" s="213"/>
      <c r="L28" s="213"/>
      <c r="M28" s="120"/>
    </row>
    <row r="29" spans="1:13" ht="12.75" customHeight="1">
      <c r="A29" s="171">
        <f t="shared" si="5"/>
        <v>44409</v>
      </c>
      <c r="B29" s="167"/>
      <c r="C29" s="119"/>
      <c r="D29" s="121"/>
      <c r="E29" s="120"/>
      <c r="I29" s="127">
        <f t="shared" si="4"/>
        <v>44470</v>
      </c>
      <c r="J29" s="214"/>
      <c r="K29" s="213"/>
      <c r="L29" s="213"/>
      <c r="M29" s="120"/>
    </row>
    <row r="30" spans="1:13" ht="12.75" customHeight="1">
      <c r="A30" s="171">
        <f t="shared" si="5"/>
        <v>44593</v>
      </c>
      <c r="B30" s="167"/>
      <c r="C30" s="119"/>
      <c r="D30" s="121"/>
      <c r="E30" s="120"/>
      <c r="I30" s="127">
        <f t="shared" si="4"/>
        <v>44652</v>
      </c>
      <c r="J30" s="214"/>
      <c r="K30" s="213"/>
      <c r="L30" s="213"/>
      <c r="M30" s="120"/>
    </row>
    <row r="31" spans="1:13" ht="12.75" customHeight="1">
      <c r="A31" s="171">
        <f t="shared" si="5"/>
        <v>44774</v>
      </c>
      <c r="B31" s="167"/>
      <c r="C31" s="119"/>
      <c r="D31" s="121"/>
      <c r="E31" s="120"/>
      <c r="I31" s="127">
        <f t="shared" si="4"/>
        <v>44835</v>
      </c>
      <c r="J31" s="214"/>
      <c r="K31" s="213"/>
      <c r="L31" s="213"/>
      <c r="M31" s="120"/>
    </row>
    <row r="32" spans="1:13" ht="12.75" customHeight="1">
      <c r="A32" s="171">
        <f t="shared" si="5"/>
        <v>44958</v>
      </c>
      <c r="B32" s="167"/>
      <c r="C32" s="119"/>
      <c r="D32" s="121"/>
      <c r="E32" s="120"/>
      <c r="I32" s="127">
        <f t="shared" si="4"/>
        <v>45017</v>
      </c>
      <c r="J32" s="214"/>
      <c r="K32" s="213"/>
      <c r="L32" s="213"/>
      <c r="M32" s="120"/>
    </row>
    <row r="33" spans="1:13" ht="12.75" customHeight="1">
      <c r="A33" s="171">
        <f t="shared" si="5"/>
        <v>45139</v>
      </c>
      <c r="B33" s="167"/>
      <c r="C33" s="119"/>
      <c r="D33" s="121"/>
      <c r="E33" s="120"/>
      <c r="I33" s="127">
        <f t="shared" si="4"/>
        <v>45200</v>
      </c>
      <c r="J33" s="214"/>
      <c r="K33" s="213"/>
      <c r="L33" s="213"/>
      <c r="M33" s="120"/>
    </row>
    <row r="34" spans="1:13" ht="12.75" customHeight="1">
      <c r="A34" s="171">
        <f t="shared" si="5"/>
        <v>45323</v>
      </c>
      <c r="B34" s="167"/>
      <c r="C34" s="119"/>
      <c r="D34" s="121"/>
      <c r="E34" s="120"/>
      <c r="I34" s="127">
        <f t="shared" si="4"/>
        <v>45383</v>
      </c>
      <c r="J34" s="214"/>
      <c r="K34" s="213"/>
      <c r="L34" s="213"/>
      <c r="M34" s="120"/>
    </row>
    <row r="35" spans="1:13" ht="12.75" customHeight="1">
      <c r="A35" s="171">
        <f t="shared" si="5"/>
        <v>45505</v>
      </c>
      <c r="B35" s="167"/>
      <c r="C35" s="119"/>
      <c r="D35" s="121"/>
      <c r="E35" s="120"/>
      <c r="I35" s="127">
        <f t="shared" si="4"/>
        <v>45566</v>
      </c>
      <c r="J35" s="214"/>
      <c r="K35" s="213"/>
      <c r="L35" s="213"/>
      <c r="M35" s="120"/>
    </row>
    <row r="36" spans="1:13" ht="12.75" customHeight="1">
      <c r="A36" s="171">
        <f t="shared" si="5"/>
        <v>45689</v>
      </c>
      <c r="B36" s="167"/>
      <c r="C36" s="119"/>
      <c r="D36" s="121"/>
      <c r="E36" s="120"/>
      <c r="I36" s="127">
        <f t="shared" si="4"/>
        <v>45748</v>
      </c>
      <c r="J36" s="214"/>
      <c r="K36" s="213"/>
      <c r="L36" s="213"/>
      <c r="M36" s="120"/>
    </row>
    <row r="37" spans="1:13" ht="12.75" customHeight="1">
      <c r="A37" s="171">
        <f t="shared" si="5"/>
        <v>45870</v>
      </c>
      <c r="B37" s="167"/>
      <c r="C37" s="119"/>
      <c r="D37" s="121"/>
      <c r="E37" s="120"/>
      <c r="I37" s="127">
        <f t="shared" si="4"/>
        <v>45931</v>
      </c>
      <c r="J37" s="214"/>
      <c r="K37" s="213"/>
      <c r="L37" s="213"/>
      <c r="M37" s="120"/>
    </row>
    <row r="38" spans="1:13" ht="12.75" customHeight="1">
      <c r="A38" s="171">
        <f t="shared" si="5"/>
        <v>46054</v>
      </c>
      <c r="B38" s="167"/>
      <c r="C38" s="119"/>
      <c r="D38" s="121"/>
      <c r="E38" s="120"/>
      <c r="I38" s="127">
        <f t="shared" si="4"/>
        <v>46113</v>
      </c>
      <c r="J38" s="214"/>
      <c r="K38" s="213"/>
      <c r="L38" s="213"/>
      <c r="M38" s="120"/>
    </row>
    <row r="39" spans="1:13" ht="12.75" customHeight="1">
      <c r="A39" s="171">
        <f t="shared" si="5"/>
        <v>46235</v>
      </c>
      <c r="B39" s="167"/>
      <c r="C39" s="119"/>
      <c r="D39" s="121"/>
      <c r="E39" s="120"/>
      <c r="I39" s="127">
        <f t="shared" si="4"/>
        <v>46296</v>
      </c>
      <c r="J39" s="214"/>
      <c r="K39" s="213"/>
      <c r="L39" s="213"/>
      <c r="M39" s="120"/>
    </row>
    <row r="40" spans="1:13" ht="12.75" customHeight="1">
      <c r="A40" s="171">
        <f t="shared" si="5"/>
        <v>46419</v>
      </c>
      <c r="B40" s="167"/>
      <c r="C40" s="119"/>
      <c r="D40" s="121"/>
      <c r="E40" s="120"/>
      <c r="I40" s="127">
        <f t="shared" si="4"/>
        <v>46478</v>
      </c>
      <c r="J40" s="214"/>
      <c r="K40" s="213"/>
      <c r="L40" s="213"/>
      <c r="M40" s="120"/>
    </row>
    <row r="41" spans="1:13" ht="12.75" customHeight="1">
      <c r="A41" s="171">
        <f t="shared" si="5"/>
        <v>46600</v>
      </c>
      <c r="B41" s="167"/>
      <c r="C41" s="119"/>
      <c r="D41" s="121"/>
      <c r="E41" s="120"/>
      <c r="I41" s="127">
        <f t="shared" si="4"/>
        <v>46661</v>
      </c>
      <c r="J41" s="214"/>
      <c r="K41" s="213"/>
      <c r="L41" s="213"/>
      <c r="M41" s="120"/>
    </row>
    <row r="42" spans="1:13" ht="12.75" customHeight="1">
      <c r="A42" s="171">
        <f t="shared" si="5"/>
        <v>46784</v>
      </c>
      <c r="B42" s="167"/>
      <c r="C42" s="119"/>
      <c r="D42" s="121"/>
      <c r="E42" s="120"/>
      <c r="I42" s="127">
        <f t="shared" si="4"/>
        <v>46844</v>
      </c>
      <c r="J42" s="214"/>
      <c r="K42" s="213"/>
      <c r="L42" s="213"/>
      <c r="M42" s="120"/>
    </row>
    <row r="43" spans="1:13" ht="12.75" customHeight="1">
      <c r="A43" s="171">
        <f t="shared" si="5"/>
        <v>46966</v>
      </c>
      <c r="B43" s="167"/>
      <c r="C43" s="119"/>
      <c r="D43" s="121"/>
      <c r="E43" s="120"/>
      <c r="I43" s="127">
        <f t="shared" si="4"/>
        <v>47027</v>
      </c>
      <c r="J43" s="214"/>
      <c r="K43" s="213"/>
      <c r="L43" s="213"/>
      <c r="M43" s="120"/>
    </row>
    <row r="44" spans="1:13" ht="12.75" customHeight="1">
      <c r="A44" s="171">
        <f t="shared" si="5"/>
        <v>47150</v>
      </c>
      <c r="B44" s="167"/>
      <c r="C44" s="119"/>
      <c r="D44" s="121"/>
      <c r="E44" s="120"/>
      <c r="I44" s="127">
        <f t="shared" si="4"/>
        <v>47209</v>
      </c>
      <c r="J44" s="214"/>
      <c r="K44" s="213"/>
      <c r="L44" s="213"/>
      <c r="M44" s="120"/>
    </row>
    <row r="45" spans="1:13" ht="12.75" customHeight="1">
      <c r="A45" s="171">
        <f t="shared" si="5"/>
        <v>47331</v>
      </c>
      <c r="B45" s="167"/>
      <c r="C45" s="119"/>
      <c r="D45" s="121"/>
      <c r="E45" s="120"/>
      <c r="I45" s="127">
        <f t="shared" si="4"/>
        <v>47392</v>
      </c>
      <c r="J45" s="214"/>
      <c r="K45" s="213"/>
      <c r="L45" s="213"/>
      <c r="M45" s="120"/>
    </row>
    <row r="46" spans="1:13" ht="12.75" customHeight="1">
      <c r="A46" s="171">
        <f t="shared" si="5"/>
        <v>47515</v>
      </c>
      <c r="B46" s="167"/>
      <c r="C46" s="119"/>
      <c r="D46" s="121"/>
      <c r="E46" s="120"/>
      <c r="I46" s="127">
        <f t="shared" si="4"/>
        <v>47574</v>
      </c>
      <c r="J46" s="214"/>
      <c r="K46" s="213"/>
      <c r="L46" s="213"/>
      <c r="M46" s="120"/>
    </row>
    <row r="47" spans="1:13" ht="12.75" customHeight="1">
      <c r="A47" s="171">
        <f t="shared" si="5"/>
        <v>47696</v>
      </c>
      <c r="B47" s="167"/>
      <c r="C47" s="119"/>
      <c r="D47" s="121"/>
      <c r="E47" s="120"/>
      <c r="I47" s="127">
        <f t="shared" si="4"/>
        <v>47757</v>
      </c>
      <c r="J47" s="214"/>
      <c r="K47" s="213"/>
      <c r="L47" s="213"/>
      <c r="M47" s="120"/>
    </row>
    <row r="48" spans="1:13" ht="12.75" customHeight="1">
      <c r="A48" s="171">
        <f t="shared" si="5"/>
        <v>47880</v>
      </c>
      <c r="B48" s="167"/>
      <c r="C48" s="119"/>
      <c r="D48" s="121"/>
      <c r="E48" s="120"/>
      <c r="I48" s="127">
        <f t="shared" si="4"/>
        <v>47939</v>
      </c>
      <c r="J48" s="214"/>
      <c r="K48" s="213"/>
      <c r="L48" s="213"/>
      <c r="M48" s="120"/>
    </row>
    <row r="49" spans="1:13" ht="12.75" customHeight="1">
      <c r="A49" s="171">
        <f t="shared" si="5"/>
        <v>48061</v>
      </c>
      <c r="B49" s="167"/>
      <c r="C49" s="119"/>
      <c r="D49" s="121"/>
      <c r="E49" s="120"/>
      <c r="I49" s="127">
        <f t="shared" si="4"/>
        <v>48122</v>
      </c>
      <c r="J49" s="214"/>
      <c r="K49" s="213"/>
      <c r="L49" s="213"/>
      <c r="M49" s="120"/>
    </row>
    <row r="50" spans="1:13" ht="12.75" customHeight="1">
      <c r="A50" s="171">
        <f t="shared" si="5"/>
        <v>48245</v>
      </c>
      <c r="B50" s="167"/>
      <c r="C50" s="119"/>
      <c r="D50" s="121"/>
      <c r="E50" s="120"/>
      <c r="I50" s="127">
        <f t="shared" si="4"/>
        <v>48305</v>
      </c>
      <c r="J50" s="214"/>
      <c r="K50" s="213"/>
      <c r="L50" s="213"/>
      <c r="M50" s="120"/>
    </row>
    <row r="51" spans="1:13" ht="12.75" customHeight="1">
      <c r="A51" s="171">
        <f t="shared" si="5"/>
        <v>48427</v>
      </c>
      <c r="B51" s="167"/>
      <c r="C51" s="119"/>
      <c r="D51" s="121"/>
      <c r="E51" s="120"/>
      <c r="I51" s="127">
        <f t="shared" si="4"/>
        <v>48488</v>
      </c>
      <c r="J51" s="214"/>
      <c r="K51" s="213"/>
      <c r="L51" s="213"/>
      <c r="M51" s="120"/>
    </row>
    <row r="52" spans="1:13" ht="12.75" customHeight="1">
      <c r="A52" s="171">
        <f t="shared" si="5"/>
        <v>48611</v>
      </c>
      <c r="B52" s="167"/>
      <c r="C52" s="119"/>
      <c r="D52" s="121"/>
      <c r="E52" s="120"/>
      <c r="I52" s="127">
        <f t="shared" si="4"/>
        <v>48670</v>
      </c>
      <c r="J52" s="214"/>
      <c r="K52" s="213"/>
      <c r="L52" s="213"/>
      <c r="M52" s="120"/>
    </row>
    <row r="53" spans="1:13" ht="12.75" customHeight="1">
      <c r="A53" s="171">
        <f t="shared" si="5"/>
        <v>48792</v>
      </c>
      <c r="B53" s="167"/>
      <c r="C53" s="119"/>
      <c r="D53" s="121"/>
      <c r="E53" s="120"/>
      <c r="I53" s="127">
        <f t="shared" si="4"/>
        <v>48853</v>
      </c>
      <c r="J53" s="214"/>
      <c r="K53" s="213"/>
      <c r="L53" s="213"/>
      <c r="M53" s="120"/>
    </row>
    <row r="54" spans="1:13" ht="12.75" customHeight="1">
      <c r="A54" s="171">
        <f t="shared" si="5"/>
        <v>48976</v>
      </c>
      <c r="B54" s="167"/>
      <c r="C54" s="119"/>
      <c r="D54" s="121"/>
      <c r="E54" s="120"/>
      <c r="I54" s="127">
        <f t="shared" si="4"/>
        <v>49035</v>
      </c>
      <c r="J54" s="214"/>
      <c r="K54" s="213"/>
      <c r="L54" s="213"/>
      <c r="M54" s="120"/>
    </row>
    <row r="55" spans="1:13" ht="12.75" customHeight="1">
      <c r="A55" s="171">
        <f t="shared" si="5"/>
        <v>49157</v>
      </c>
      <c r="B55" s="167"/>
      <c r="C55" s="119"/>
      <c r="D55" s="121"/>
      <c r="E55" s="120"/>
      <c r="I55" s="127">
        <f t="shared" si="4"/>
        <v>49218</v>
      </c>
      <c r="J55" s="214"/>
      <c r="K55" s="213"/>
      <c r="L55" s="213"/>
      <c r="M55" s="120"/>
    </row>
    <row r="56" spans="1:13" ht="12.75" customHeight="1">
      <c r="A56" s="171">
        <f t="shared" si="5"/>
        <v>49341</v>
      </c>
      <c r="B56" s="167"/>
      <c r="C56" s="119"/>
      <c r="D56" s="121"/>
      <c r="E56" s="120"/>
      <c r="I56" s="127">
        <f t="shared" si="4"/>
        <v>49400</v>
      </c>
      <c r="J56" s="214"/>
      <c r="K56" s="213"/>
      <c r="L56" s="213"/>
      <c r="M56" s="120"/>
    </row>
    <row r="57" spans="1:13" ht="12.75" customHeight="1">
      <c r="A57" s="171">
        <f t="shared" si="5"/>
        <v>49522</v>
      </c>
      <c r="B57" s="167"/>
      <c r="C57" s="119"/>
      <c r="D57" s="121"/>
      <c r="E57" s="120"/>
      <c r="I57" s="127">
        <f t="shared" si="4"/>
        <v>49583</v>
      </c>
      <c r="J57" s="214"/>
      <c r="K57" s="213"/>
      <c r="L57" s="213"/>
      <c r="M57" s="120"/>
    </row>
    <row r="58" spans="1:13" ht="12.75" customHeight="1">
      <c r="A58" s="171">
        <f t="shared" si="5"/>
        <v>49706</v>
      </c>
      <c r="B58" s="167"/>
      <c r="C58" s="119"/>
      <c r="D58" s="121"/>
      <c r="E58" s="120"/>
      <c r="I58" s="127">
        <f t="shared" si="4"/>
        <v>49766</v>
      </c>
      <c r="J58" s="214"/>
      <c r="K58" s="213"/>
      <c r="L58" s="213"/>
      <c r="M58" s="120"/>
    </row>
    <row r="59" spans="1:13" ht="12.75" customHeight="1">
      <c r="A59" s="171">
        <f t="shared" si="5"/>
        <v>49888</v>
      </c>
      <c r="B59" s="167"/>
      <c r="C59" s="119"/>
      <c r="D59" s="121"/>
      <c r="E59" s="120"/>
      <c r="I59" s="127">
        <f t="shared" si="4"/>
        <v>49949</v>
      </c>
      <c r="J59" s="214"/>
      <c r="K59" s="213"/>
      <c r="L59" s="213"/>
      <c r="M59" s="120"/>
    </row>
    <row r="60" spans="1:13" ht="12.75" customHeight="1">
      <c r="A60" s="171">
        <f t="shared" si="5"/>
        <v>50072</v>
      </c>
      <c r="B60" s="167"/>
      <c r="C60" s="119"/>
      <c r="D60" s="121"/>
      <c r="E60" s="120"/>
      <c r="I60" s="127">
        <f t="shared" si="4"/>
        <v>50131</v>
      </c>
      <c r="J60" s="214"/>
      <c r="K60" s="213"/>
      <c r="L60" s="213"/>
      <c r="M60" s="120"/>
    </row>
    <row r="61" spans="1:13" ht="12.75" customHeight="1">
      <c r="A61" s="171">
        <f t="shared" si="5"/>
        <v>50253</v>
      </c>
      <c r="B61" s="167"/>
      <c r="C61" s="119"/>
      <c r="D61" s="121"/>
      <c r="E61" s="120"/>
      <c r="I61" s="127">
        <f t="shared" si="4"/>
        <v>50314</v>
      </c>
      <c r="J61" s="214"/>
      <c r="K61" s="213"/>
      <c r="L61" s="213"/>
      <c r="M61" s="120"/>
    </row>
    <row r="62" spans="1:13" ht="12.75" customHeight="1">
      <c r="A62" s="171">
        <f t="shared" si="5"/>
        <v>50437</v>
      </c>
      <c r="B62" s="167"/>
      <c r="C62" s="119"/>
      <c r="D62" s="121"/>
      <c r="E62" s="120"/>
      <c r="I62" s="127">
        <f t="shared" si="4"/>
        <v>50496</v>
      </c>
      <c r="J62" s="214"/>
      <c r="K62" s="213"/>
      <c r="L62" s="213"/>
      <c r="M62" s="120"/>
    </row>
    <row r="63" spans="1:13" ht="12.75" customHeight="1">
      <c r="A63" s="171">
        <f t="shared" si="5"/>
        <v>50618</v>
      </c>
      <c r="B63" s="167"/>
      <c r="C63" s="119"/>
      <c r="D63" s="121"/>
      <c r="E63" s="120"/>
      <c r="I63" s="127">
        <f t="shared" ref="I63:I82" si="9">EDATE(A63,2)</f>
        <v>50679</v>
      </c>
      <c r="J63" s="214"/>
      <c r="K63" s="213"/>
      <c r="L63" s="213"/>
      <c r="M63" s="120"/>
    </row>
    <row r="64" spans="1:13" ht="12.75" customHeight="1">
      <c r="A64" s="171">
        <f t="shared" si="5"/>
        <v>50802</v>
      </c>
      <c r="B64" s="167"/>
      <c r="C64" s="119"/>
      <c r="D64" s="121"/>
      <c r="E64" s="120"/>
      <c r="I64" s="127">
        <f t="shared" si="9"/>
        <v>50861</v>
      </c>
      <c r="J64" s="214"/>
      <c r="K64" s="213"/>
      <c r="L64" s="213"/>
      <c r="M64" s="120"/>
    </row>
    <row r="65" spans="1:13" ht="12.75" customHeight="1">
      <c r="A65" s="171">
        <f t="shared" si="5"/>
        <v>50983</v>
      </c>
      <c r="B65" s="167"/>
      <c r="C65" s="119"/>
      <c r="D65" s="121"/>
      <c r="E65" s="120"/>
      <c r="I65" s="127">
        <f t="shared" si="9"/>
        <v>51044</v>
      </c>
      <c r="J65" s="214"/>
      <c r="K65" s="213"/>
      <c r="L65" s="213"/>
      <c r="M65" s="120"/>
    </row>
    <row r="66" spans="1:13" ht="12.75" customHeight="1">
      <c r="A66" s="171">
        <f t="shared" si="5"/>
        <v>51167</v>
      </c>
      <c r="B66" s="167"/>
      <c r="C66" s="119"/>
      <c r="D66" s="121"/>
      <c r="E66" s="120"/>
      <c r="I66" s="127">
        <f t="shared" si="9"/>
        <v>51227</v>
      </c>
      <c r="J66" s="214"/>
      <c r="K66" s="213"/>
      <c r="L66" s="213"/>
      <c r="M66" s="120"/>
    </row>
    <row r="67" spans="1:13" ht="12.75" customHeight="1">
      <c r="A67" s="171">
        <f t="shared" si="5"/>
        <v>51349</v>
      </c>
      <c r="B67" s="167"/>
      <c r="C67" s="119"/>
      <c r="D67" s="121"/>
      <c r="E67" s="120"/>
      <c r="I67" s="127">
        <f t="shared" si="9"/>
        <v>51410</v>
      </c>
      <c r="J67" s="214"/>
      <c r="K67" s="213"/>
      <c r="L67" s="213"/>
      <c r="M67" s="120"/>
    </row>
    <row r="68" spans="1:13" ht="12.75" customHeight="1">
      <c r="A68" s="171">
        <f t="shared" si="5"/>
        <v>51533</v>
      </c>
      <c r="B68" s="167"/>
      <c r="C68" s="119"/>
      <c r="D68" s="121"/>
      <c r="E68" s="120"/>
      <c r="I68" s="127">
        <f t="shared" si="9"/>
        <v>51592</v>
      </c>
      <c r="J68" s="214"/>
      <c r="K68" s="213"/>
      <c r="L68" s="213"/>
      <c r="M68" s="120"/>
    </row>
    <row r="69" spans="1:13" ht="12.75" customHeight="1">
      <c r="A69" s="171">
        <f t="shared" si="5"/>
        <v>51714</v>
      </c>
      <c r="B69" s="167"/>
      <c r="C69" s="119"/>
      <c r="D69" s="121"/>
      <c r="E69" s="120"/>
      <c r="I69" s="127">
        <f t="shared" si="9"/>
        <v>51775</v>
      </c>
      <c r="J69" s="214"/>
      <c r="K69" s="213"/>
      <c r="L69" s="213"/>
      <c r="M69" s="120"/>
    </row>
    <row r="70" spans="1:13" ht="12.75" customHeight="1">
      <c r="A70" s="171">
        <f t="shared" si="5"/>
        <v>51898</v>
      </c>
      <c r="B70" s="167"/>
      <c r="C70" s="119"/>
      <c r="D70" s="121"/>
      <c r="E70" s="120"/>
      <c r="I70" s="127">
        <f t="shared" si="9"/>
        <v>51957</v>
      </c>
      <c r="J70" s="214"/>
      <c r="K70" s="213"/>
      <c r="L70" s="213"/>
      <c r="M70" s="120"/>
    </row>
    <row r="71" spans="1:13" ht="12.75" customHeight="1">
      <c r="A71" s="171">
        <f t="shared" si="5"/>
        <v>52079</v>
      </c>
      <c r="B71" s="167"/>
      <c r="C71" s="119"/>
      <c r="D71" s="121"/>
      <c r="E71" s="120"/>
      <c r="I71" s="127">
        <f t="shared" si="9"/>
        <v>52140</v>
      </c>
      <c r="J71" s="214"/>
      <c r="K71" s="213"/>
      <c r="L71" s="213"/>
      <c r="M71" s="120"/>
    </row>
    <row r="72" spans="1:13" ht="12.75" customHeight="1">
      <c r="A72" s="171">
        <f t="shared" si="5"/>
        <v>52263</v>
      </c>
      <c r="B72" s="167"/>
      <c r="C72" s="119"/>
      <c r="D72" s="121"/>
      <c r="E72" s="120"/>
      <c r="I72" s="127">
        <f t="shared" si="9"/>
        <v>52322</v>
      </c>
      <c r="J72" s="214"/>
      <c r="K72" s="213"/>
      <c r="L72" s="213"/>
      <c r="M72" s="120"/>
    </row>
    <row r="73" spans="1:13" ht="12.75" customHeight="1">
      <c r="A73" s="171">
        <f t="shared" si="5"/>
        <v>52444</v>
      </c>
      <c r="B73" s="167"/>
      <c r="C73" s="119"/>
      <c r="D73" s="121"/>
      <c r="E73" s="120"/>
      <c r="I73" s="127">
        <f t="shared" si="9"/>
        <v>52505</v>
      </c>
      <c r="J73" s="214"/>
      <c r="K73" s="213"/>
      <c r="L73" s="213"/>
      <c r="M73" s="120"/>
    </row>
    <row r="74" spans="1:13" ht="12.75" customHeight="1">
      <c r="A74" s="171">
        <f t="shared" si="5"/>
        <v>52628</v>
      </c>
      <c r="B74" s="167"/>
      <c r="C74" s="119"/>
      <c r="D74" s="121"/>
      <c r="E74" s="120"/>
      <c r="I74" s="127">
        <f t="shared" si="9"/>
        <v>52688</v>
      </c>
      <c r="J74" s="214"/>
      <c r="K74" s="213"/>
      <c r="L74" s="213"/>
      <c r="M74" s="120"/>
    </row>
    <row r="75" spans="1:13" ht="12.75" customHeight="1">
      <c r="A75" s="171">
        <f t="shared" si="5"/>
        <v>52810</v>
      </c>
      <c r="B75" s="167"/>
      <c r="C75" s="119"/>
      <c r="D75" s="121"/>
      <c r="E75" s="120"/>
      <c r="I75" s="127">
        <f t="shared" si="9"/>
        <v>52871</v>
      </c>
      <c r="J75" s="214"/>
      <c r="K75" s="213"/>
      <c r="L75" s="213"/>
      <c r="M75" s="120"/>
    </row>
    <row r="76" spans="1:13" ht="12.75" customHeight="1">
      <c r="A76" s="171">
        <f t="shared" si="5"/>
        <v>52994</v>
      </c>
      <c r="B76" s="167"/>
      <c r="C76" s="119"/>
      <c r="D76" s="121"/>
      <c r="E76" s="120"/>
      <c r="I76" s="127">
        <f t="shared" si="9"/>
        <v>53053</v>
      </c>
      <c r="J76" s="214"/>
      <c r="K76" s="213"/>
      <c r="L76" s="213"/>
      <c r="M76" s="120"/>
    </row>
    <row r="77" spans="1:13" ht="12.75" customHeight="1">
      <c r="A77" s="171">
        <f t="shared" si="5"/>
        <v>53175</v>
      </c>
      <c r="B77" s="167"/>
      <c r="C77" s="119"/>
      <c r="D77" s="121"/>
      <c r="E77" s="120"/>
      <c r="I77" s="127">
        <f t="shared" si="9"/>
        <v>53236</v>
      </c>
      <c r="J77" s="214"/>
      <c r="K77" s="213"/>
      <c r="L77" s="213"/>
      <c r="M77" s="120"/>
    </row>
    <row r="78" spans="1:13" ht="12.75" customHeight="1">
      <c r="A78" s="171">
        <f t="shared" si="5"/>
        <v>53359</v>
      </c>
      <c r="B78" s="167"/>
      <c r="C78" s="119"/>
      <c r="D78" s="121"/>
      <c r="E78" s="120"/>
      <c r="I78" s="127">
        <f t="shared" si="9"/>
        <v>53418</v>
      </c>
      <c r="J78" s="214"/>
      <c r="K78" s="213"/>
      <c r="L78" s="213"/>
      <c r="M78" s="120"/>
    </row>
    <row r="79" spans="1:13" ht="12.75" customHeight="1">
      <c r="A79" s="171">
        <f t="shared" si="5"/>
        <v>53540</v>
      </c>
      <c r="B79" s="167"/>
      <c r="C79" s="119"/>
      <c r="D79" s="121"/>
      <c r="E79" s="120"/>
      <c r="I79" s="127">
        <f t="shared" si="9"/>
        <v>53601</v>
      </c>
      <c r="J79" s="214"/>
      <c r="K79" s="213"/>
      <c r="L79" s="213"/>
      <c r="M79" s="120"/>
    </row>
    <row r="80" spans="1:13" ht="12.75" customHeight="1">
      <c r="A80" s="171">
        <f t="shared" ref="A80:A82" si="10">EDATE(A79,6)</f>
        <v>53724</v>
      </c>
      <c r="B80" s="167"/>
      <c r="C80" s="119"/>
      <c r="D80" s="121"/>
      <c r="E80" s="120"/>
      <c r="I80" s="127">
        <f t="shared" si="9"/>
        <v>53783</v>
      </c>
      <c r="J80" s="214"/>
      <c r="K80" s="213"/>
      <c r="L80" s="213"/>
      <c r="M80" s="120"/>
    </row>
    <row r="81" spans="1:13" ht="12.75" customHeight="1">
      <c r="A81" s="171">
        <f t="shared" si="10"/>
        <v>53905</v>
      </c>
      <c r="B81" s="167"/>
      <c r="C81" s="119"/>
      <c r="D81" s="121"/>
      <c r="E81" s="120"/>
      <c r="I81" s="127">
        <f t="shared" si="9"/>
        <v>53966</v>
      </c>
      <c r="J81" s="214"/>
      <c r="K81" s="213"/>
      <c r="L81" s="213"/>
      <c r="M81" s="120"/>
    </row>
    <row r="82" spans="1:13" ht="13.5" customHeight="1" thickBot="1">
      <c r="A82" s="173">
        <f t="shared" si="10"/>
        <v>54089</v>
      </c>
      <c r="B82" s="169"/>
      <c r="C82" s="128"/>
      <c r="D82" s="129"/>
      <c r="E82" s="130"/>
      <c r="I82" s="139">
        <f t="shared" si="9"/>
        <v>54149</v>
      </c>
      <c r="J82" s="215"/>
      <c r="K82" s="216"/>
      <c r="L82" s="216"/>
      <c r="M82" s="130"/>
    </row>
    <row r="83" spans="1:13" ht="12.75" customHeight="1">
      <c r="C83" s="132">
        <f>AVERAGE(C3:C82)</f>
        <v>8.8759686147186125E-3</v>
      </c>
      <c r="D83" s="133">
        <f>AVERAGE(D2:D82)</f>
        <v>496.56572354725716</v>
      </c>
      <c r="E83" s="134">
        <f>AVERAGE(E3:E82)</f>
        <v>-20.384736409600325</v>
      </c>
      <c r="M83" s="134">
        <f>AVERAGE(M3:M82)</f>
        <v>-6376.5190476190455</v>
      </c>
    </row>
    <row r="85" spans="1:13">
      <c r="E85" t="s">
        <v>171</v>
      </c>
      <c r="G85" s="116">
        <f>SUM(G2:G82)</f>
        <v>66128.555055588746</v>
      </c>
      <c r="M85" t="s">
        <v>171</v>
      </c>
    </row>
    <row r="104" spans="7:7">
      <c r="G104">
        <f>198.04*12*5</f>
        <v>11882.4</v>
      </c>
    </row>
    <row r="105" spans="7:7">
      <c r="G105">
        <f>G104+6662.25</f>
        <v>18544.650000000001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I53"/>
  <sheetViews>
    <sheetView topLeftCell="A37" workbookViewId="0">
      <selection activeCell="B51" sqref="B51"/>
    </sheetView>
  </sheetViews>
  <sheetFormatPr defaultColWidth="8" defaultRowHeight="15"/>
  <cols>
    <col min="1" max="1" width="8" customWidth="1"/>
    <col min="2" max="2" width="12.28515625" customWidth="1"/>
    <col min="3" max="5" width="8" customWidth="1"/>
    <col min="6" max="6" width="12.28515625" customWidth="1"/>
    <col min="7" max="7" width="9" customWidth="1"/>
    <col min="257" max="257" width="8" customWidth="1"/>
    <col min="258" max="258" width="12.28515625" customWidth="1"/>
    <col min="259" max="261" width="8" customWidth="1"/>
    <col min="262" max="262" width="12.28515625" customWidth="1"/>
    <col min="263" max="263" width="9" customWidth="1"/>
    <col min="513" max="513" width="8" customWidth="1"/>
    <col min="514" max="514" width="12.28515625" customWidth="1"/>
    <col min="515" max="517" width="8" customWidth="1"/>
    <col min="518" max="518" width="12.28515625" customWidth="1"/>
    <col min="519" max="519" width="9" customWidth="1"/>
    <col min="769" max="769" width="8" customWidth="1"/>
    <col min="770" max="770" width="12.28515625" customWidth="1"/>
    <col min="771" max="773" width="8" customWidth="1"/>
    <col min="774" max="774" width="12.28515625" customWidth="1"/>
    <col min="775" max="775" width="9" customWidth="1"/>
    <col min="1025" max="1025" width="8" customWidth="1"/>
    <col min="1026" max="1026" width="12.28515625" customWidth="1"/>
    <col min="1027" max="1029" width="8" customWidth="1"/>
    <col min="1030" max="1030" width="12.28515625" customWidth="1"/>
    <col min="1031" max="1031" width="9" customWidth="1"/>
    <col min="1281" max="1281" width="8" customWidth="1"/>
    <col min="1282" max="1282" width="12.28515625" customWidth="1"/>
    <col min="1283" max="1285" width="8" customWidth="1"/>
    <col min="1286" max="1286" width="12.28515625" customWidth="1"/>
    <col min="1287" max="1287" width="9" customWidth="1"/>
    <col min="1537" max="1537" width="8" customWidth="1"/>
    <col min="1538" max="1538" width="12.28515625" customWidth="1"/>
    <col min="1539" max="1541" width="8" customWidth="1"/>
    <col min="1542" max="1542" width="12.28515625" customWidth="1"/>
    <col min="1543" max="1543" width="9" customWidth="1"/>
    <col min="1793" max="1793" width="8" customWidth="1"/>
    <col min="1794" max="1794" width="12.28515625" customWidth="1"/>
    <col min="1795" max="1797" width="8" customWidth="1"/>
    <col min="1798" max="1798" width="12.28515625" customWidth="1"/>
    <col min="1799" max="1799" width="9" customWidth="1"/>
    <col min="2049" max="2049" width="8" customWidth="1"/>
    <col min="2050" max="2050" width="12.28515625" customWidth="1"/>
    <col min="2051" max="2053" width="8" customWidth="1"/>
    <col min="2054" max="2054" width="12.28515625" customWidth="1"/>
    <col min="2055" max="2055" width="9" customWidth="1"/>
    <col min="2305" max="2305" width="8" customWidth="1"/>
    <col min="2306" max="2306" width="12.28515625" customWidth="1"/>
    <col min="2307" max="2309" width="8" customWidth="1"/>
    <col min="2310" max="2310" width="12.28515625" customWidth="1"/>
    <col min="2311" max="2311" width="9" customWidth="1"/>
    <col min="2561" max="2561" width="8" customWidth="1"/>
    <col min="2562" max="2562" width="12.28515625" customWidth="1"/>
    <col min="2563" max="2565" width="8" customWidth="1"/>
    <col min="2566" max="2566" width="12.28515625" customWidth="1"/>
    <col min="2567" max="2567" width="9" customWidth="1"/>
    <col min="2817" max="2817" width="8" customWidth="1"/>
    <col min="2818" max="2818" width="12.28515625" customWidth="1"/>
    <col min="2819" max="2821" width="8" customWidth="1"/>
    <col min="2822" max="2822" width="12.28515625" customWidth="1"/>
    <col min="2823" max="2823" width="9" customWidth="1"/>
    <col min="3073" max="3073" width="8" customWidth="1"/>
    <col min="3074" max="3074" width="12.28515625" customWidth="1"/>
    <col min="3075" max="3077" width="8" customWidth="1"/>
    <col min="3078" max="3078" width="12.28515625" customWidth="1"/>
    <col min="3079" max="3079" width="9" customWidth="1"/>
    <col min="3329" max="3329" width="8" customWidth="1"/>
    <col min="3330" max="3330" width="12.28515625" customWidth="1"/>
    <col min="3331" max="3333" width="8" customWidth="1"/>
    <col min="3334" max="3334" width="12.28515625" customWidth="1"/>
    <col min="3335" max="3335" width="9" customWidth="1"/>
    <col min="3585" max="3585" width="8" customWidth="1"/>
    <col min="3586" max="3586" width="12.28515625" customWidth="1"/>
    <col min="3587" max="3589" width="8" customWidth="1"/>
    <col min="3590" max="3590" width="12.28515625" customWidth="1"/>
    <col min="3591" max="3591" width="9" customWidth="1"/>
    <col min="3841" max="3841" width="8" customWidth="1"/>
    <col min="3842" max="3842" width="12.28515625" customWidth="1"/>
    <col min="3843" max="3845" width="8" customWidth="1"/>
    <col min="3846" max="3846" width="12.28515625" customWidth="1"/>
    <col min="3847" max="3847" width="9" customWidth="1"/>
    <col min="4097" max="4097" width="8" customWidth="1"/>
    <col min="4098" max="4098" width="12.28515625" customWidth="1"/>
    <col min="4099" max="4101" width="8" customWidth="1"/>
    <col min="4102" max="4102" width="12.28515625" customWidth="1"/>
    <col min="4103" max="4103" width="9" customWidth="1"/>
    <col min="4353" max="4353" width="8" customWidth="1"/>
    <col min="4354" max="4354" width="12.28515625" customWidth="1"/>
    <col min="4355" max="4357" width="8" customWidth="1"/>
    <col min="4358" max="4358" width="12.28515625" customWidth="1"/>
    <col min="4359" max="4359" width="9" customWidth="1"/>
    <col min="4609" max="4609" width="8" customWidth="1"/>
    <col min="4610" max="4610" width="12.28515625" customWidth="1"/>
    <col min="4611" max="4613" width="8" customWidth="1"/>
    <col min="4614" max="4614" width="12.28515625" customWidth="1"/>
    <col min="4615" max="4615" width="9" customWidth="1"/>
    <col min="4865" max="4865" width="8" customWidth="1"/>
    <col min="4866" max="4866" width="12.28515625" customWidth="1"/>
    <col min="4867" max="4869" width="8" customWidth="1"/>
    <col min="4870" max="4870" width="12.28515625" customWidth="1"/>
    <col min="4871" max="4871" width="9" customWidth="1"/>
    <col min="5121" max="5121" width="8" customWidth="1"/>
    <col min="5122" max="5122" width="12.28515625" customWidth="1"/>
    <col min="5123" max="5125" width="8" customWidth="1"/>
    <col min="5126" max="5126" width="12.28515625" customWidth="1"/>
    <col min="5127" max="5127" width="9" customWidth="1"/>
    <col min="5377" max="5377" width="8" customWidth="1"/>
    <col min="5378" max="5378" width="12.28515625" customWidth="1"/>
    <col min="5379" max="5381" width="8" customWidth="1"/>
    <col min="5382" max="5382" width="12.28515625" customWidth="1"/>
    <col min="5383" max="5383" width="9" customWidth="1"/>
    <col min="5633" max="5633" width="8" customWidth="1"/>
    <col min="5634" max="5634" width="12.28515625" customWidth="1"/>
    <col min="5635" max="5637" width="8" customWidth="1"/>
    <col min="5638" max="5638" width="12.28515625" customWidth="1"/>
    <col min="5639" max="5639" width="9" customWidth="1"/>
    <col min="5889" max="5889" width="8" customWidth="1"/>
    <col min="5890" max="5890" width="12.28515625" customWidth="1"/>
    <col min="5891" max="5893" width="8" customWidth="1"/>
    <col min="5894" max="5894" width="12.28515625" customWidth="1"/>
    <col min="5895" max="5895" width="9" customWidth="1"/>
    <col min="6145" max="6145" width="8" customWidth="1"/>
    <col min="6146" max="6146" width="12.28515625" customWidth="1"/>
    <col min="6147" max="6149" width="8" customWidth="1"/>
    <col min="6150" max="6150" width="12.28515625" customWidth="1"/>
    <col min="6151" max="6151" width="9" customWidth="1"/>
    <col min="6401" max="6401" width="8" customWidth="1"/>
    <col min="6402" max="6402" width="12.28515625" customWidth="1"/>
    <col min="6403" max="6405" width="8" customWidth="1"/>
    <col min="6406" max="6406" width="12.28515625" customWidth="1"/>
    <col min="6407" max="6407" width="9" customWidth="1"/>
    <col min="6657" max="6657" width="8" customWidth="1"/>
    <col min="6658" max="6658" width="12.28515625" customWidth="1"/>
    <col min="6659" max="6661" width="8" customWidth="1"/>
    <col min="6662" max="6662" width="12.28515625" customWidth="1"/>
    <col min="6663" max="6663" width="9" customWidth="1"/>
    <col min="6913" max="6913" width="8" customWidth="1"/>
    <col min="6914" max="6914" width="12.28515625" customWidth="1"/>
    <col min="6915" max="6917" width="8" customWidth="1"/>
    <col min="6918" max="6918" width="12.28515625" customWidth="1"/>
    <col min="6919" max="6919" width="9" customWidth="1"/>
    <col min="7169" max="7169" width="8" customWidth="1"/>
    <col min="7170" max="7170" width="12.28515625" customWidth="1"/>
    <col min="7171" max="7173" width="8" customWidth="1"/>
    <col min="7174" max="7174" width="12.28515625" customWidth="1"/>
    <col min="7175" max="7175" width="9" customWidth="1"/>
    <col min="7425" max="7425" width="8" customWidth="1"/>
    <col min="7426" max="7426" width="12.28515625" customWidth="1"/>
    <col min="7427" max="7429" width="8" customWidth="1"/>
    <col min="7430" max="7430" width="12.28515625" customWidth="1"/>
    <col min="7431" max="7431" width="9" customWidth="1"/>
    <col min="7681" max="7681" width="8" customWidth="1"/>
    <col min="7682" max="7682" width="12.28515625" customWidth="1"/>
    <col min="7683" max="7685" width="8" customWidth="1"/>
    <col min="7686" max="7686" width="12.28515625" customWidth="1"/>
    <col min="7687" max="7687" width="9" customWidth="1"/>
    <col min="7937" max="7937" width="8" customWidth="1"/>
    <col min="7938" max="7938" width="12.28515625" customWidth="1"/>
    <col min="7939" max="7941" width="8" customWidth="1"/>
    <col min="7942" max="7942" width="12.28515625" customWidth="1"/>
    <col min="7943" max="7943" width="9" customWidth="1"/>
    <col min="8193" max="8193" width="8" customWidth="1"/>
    <col min="8194" max="8194" width="12.28515625" customWidth="1"/>
    <col min="8195" max="8197" width="8" customWidth="1"/>
    <col min="8198" max="8198" width="12.28515625" customWidth="1"/>
    <col min="8199" max="8199" width="9" customWidth="1"/>
    <col min="8449" max="8449" width="8" customWidth="1"/>
    <col min="8450" max="8450" width="12.28515625" customWidth="1"/>
    <col min="8451" max="8453" width="8" customWidth="1"/>
    <col min="8454" max="8454" width="12.28515625" customWidth="1"/>
    <col min="8455" max="8455" width="9" customWidth="1"/>
    <col min="8705" max="8705" width="8" customWidth="1"/>
    <col min="8706" max="8706" width="12.28515625" customWidth="1"/>
    <col min="8707" max="8709" width="8" customWidth="1"/>
    <col min="8710" max="8710" width="12.28515625" customWidth="1"/>
    <col min="8711" max="8711" width="9" customWidth="1"/>
    <col min="8961" max="8961" width="8" customWidth="1"/>
    <col min="8962" max="8962" width="12.28515625" customWidth="1"/>
    <col min="8963" max="8965" width="8" customWidth="1"/>
    <col min="8966" max="8966" width="12.28515625" customWidth="1"/>
    <col min="8967" max="8967" width="9" customWidth="1"/>
    <col min="9217" max="9217" width="8" customWidth="1"/>
    <col min="9218" max="9218" width="12.28515625" customWidth="1"/>
    <col min="9219" max="9221" width="8" customWidth="1"/>
    <col min="9222" max="9222" width="12.28515625" customWidth="1"/>
    <col min="9223" max="9223" width="9" customWidth="1"/>
    <col min="9473" max="9473" width="8" customWidth="1"/>
    <col min="9474" max="9474" width="12.28515625" customWidth="1"/>
    <col min="9475" max="9477" width="8" customWidth="1"/>
    <col min="9478" max="9478" width="12.28515625" customWidth="1"/>
    <col min="9479" max="9479" width="9" customWidth="1"/>
    <col min="9729" max="9729" width="8" customWidth="1"/>
    <col min="9730" max="9730" width="12.28515625" customWidth="1"/>
    <col min="9731" max="9733" width="8" customWidth="1"/>
    <col min="9734" max="9734" width="12.28515625" customWidth="1"/>
    <col min="9735" max="9735" width="9" customWidth="1"/>
    <col min="9985" max="9985" width="8" customWidth="1"/>
    <col min="9986" max="9986" width="12.28515625" customWidth="1"/>
    <col min="9987" max="9989" width="8" customWidth="1"/>
    <col min="9990" max="9990" width="12.28515625" customWidth="1"/>
    <col min="9991" max="9991" width="9" customWidth="1"/>
    <col min="10241" max="10241" width="8" customWidth="1"/>
    <col min="10242" max="10242" width="12.28515625" customWidth="1"/>
    <col min="10243" max="10245" width="8" customWidth="1"/>
    <col min="10246" max="10246" width="12.28515625" customWidth="1"/>
    <col min="10247" max="10247" width="9" customWidth="1"/>
    <col min="10497" max="10497" width="8" customWidth="1"/>
    <col min="10498" max="10498" width="12.28515625" customWidth="1"/>
    <col min="10499" max="10501" width="8" customWidth="1"/>
    <col min="10502" max="10502" width="12.28515625" customWidth="1"/>
    <col min="10503" max="10503" width="9" customWidth="1"/>
    <col min="10753" max="10753" width="8" customWidth="1"/>
    <col min="10754" max="10754" width="12.28515625" customWidth="1"/>
    <col min="10755" max="10757" width="8" customWidth="1"/>
    <col min="10758" max="10758" width="12.28515625" customWidth="1"/>
    <col min="10759" max="10759" width="9" customWidth="1"/>
    <col min="11009" max="11009" width="8" customWidth="1"/>
    <col min="11010" max="11010" width="12.28515625" customWidth="1"/>
    <col min="11011" max="11013" width="8" customWidth="1"/>
    <col min="11014" max="11014" width="12.28515625" customWidth="1"/>
    <col min="11015" max="11015" width="9" customWidth="1"/>
    <col min="11265" max="11265" width="8" customWidth="1"/>
    <col min="11266" max="11266" width="12.28515625" customWidth="1"/>
    <col min="11267" max="11269" width="8" customWidth="1"/>
    <col min="11270" max="11270" width="12.28515625" customWidth="1"/>
    <col min="11271" max="11271" width="9" customWidth="1"/>
    <col min="11521" max="11521" width="8" customWidth="1"/>
    <col min="11522" max="11522" width="12.28515625" customWidth="1"/>
    <col min="11523" max="11525" width="8" customWidth="1"/>
    <col min="11526" max="11526" width="12.28515625" customWidth="1"/>
    <col min="11527" max="11527" width="9" customWidth="1"/>
    <col min="11777" max="11777" width="8" customWidth="1"/>
    <col min="11778" max="11778" width="12.28515625" customWidth="1"/>
    <col min="11779" max="11781" width="8" customWidth="1"/>
    <col min="11782" max="11782" width="12.28515625" customWidth="1"/>
    <col min="11783" max="11783" width="9" customWidth="1"/>
    <col min="12033" max="12033" width="8" customWidth="1"/>
    <col min="12034" max="12034" width="12.28515625" customWidth="1"/>
    <col min="12035" max="12037" width="8" customWidth="1"/>
    <col min="12038" max="12038" width="12.28515625" customWidth="1"/>
    <col min="12039" max="12039" width="9" customWidth="1"/>
    <col min="12289" max="12289" width="8" customWidth="1"/>
    <col min="12290" max="12290" width="12.28515625" customWidth="1"/>
    <col min="12291" max="12293" width="8" customWidth="1"/>
    <col min="12294" max="12294" width="12.28515625" customWidth="1"/>
    <col min="12295" max="12295" width="9" customWidth="1"/>
    <col min="12545" max="12545" width="8" customWidth="1"/>
    <col min="12546" max="12546" width="12.28515625" customWidth="1"/>
    <col min="12547" max="12549" width="8" customWidth="1"/>
    <col min="12550" max="12550" width="12.28515625" customWidth="1"/>
    <col min="12551" max="12551" width="9" customWidth="1"/>
    <col min="12801" max="12801" width="8" customWidth="1"/>
    <col min="12802" max="12802" width="12.28515625" customWidth="1"/>
    <col min="12803" max="12805" width="8" customWidth="1"/>
    <col min="12806" max="12806" width="12.28515625" customWidth="1"/>
    <col min="12807" max="12807" width="9" customWidth="1"/>
    <col min="13057" max="13057" width="8" customWidth="1"/>
    <col min="13058" max="13058" width="12.28515625" customWidth="1"/>
    <col min="13059" max="13061" width="8" customWidth="1"/>
    <col min="13062" max="13062" width="12.28515625" customWidth="1"/>
    <col min="13063" max="13063" width="9" customWidth="1"/>
    <col min="13313" max="13313" width="8" customWidth="1"/>
    <col min="13314" max="13314" width="12.28515625" customWidth="1"/>
    <col min="13315" max="13317" width="8" customWidth="1"/>
    <col min="13318" max="13318" width="12.28515625" customWidth="1"/>
    <col min="13319" max="13319" width="9" customWidth="1"/>
    <col min="13569" max="13569" width="8" customWidth="1"/>
    <col min="13570" max="13570" width="12.28515625" customWidth="1"/>
    <col min="13571" max="13573" width="8" customWidth="1"/>
    <col min="13574" max="13574" width="12.28515625" customWidth="1"/>
    <col min="13575" max="13575" width="9" customWidth="1"/>
    <col min="13825" max="13825" width="8" customWidth="1"/>
    <col min="13826" max="13826" width="12.28515625" customWidth="1"/>
    <col min="13827" max="13829" width="8" customWidth="1"/>
    <col min="13830" max="13830" width="12.28515625" customWidth="1"/>
    <col min="13831" max="13831" width="9" customWidth="1"/>
    <col min="14081" max="14081" width="8" customWidth="1"/>
    <col min="14082" max="14082" width="12.28515625" customWidth="1"/>
    <col min="14083" max="14085" width="8" customWidth="1"/>
    <col min="14086" max="14086" width="12.28515625" customWidth="1"/>
    <col min="14087" max="14087" width="9" customWidth="1"/>
    <col min="14337" max="14337" width="8" customWidth="1"/>
    <col min="14338" max="14338" width="12.28515625" customWidth="1"/>
    <col min="14339" max="14341" width="8" customWidth="1"/>
    <col min="14342" max="14342" width="12.28515625" customWidth="1"/>
    <col min="14343" max="14343" width="9" customWidth="1"/>
    <col min="14593" max="14593" width="8" customWidth="1"/>
    <col min="14594" max="14594" width="12.28515625" customWidth="1"/>
    <col min="14595" max="14597" width="8" customWidth="1"/>
    <col min="14598" max="14598" width="12.28515625" customWidth="1"/>
    <col min="14599" max="14599" width="9" customWidth="1"/>
    <col min="14849" max="14849" width="8" customWidth="1"/>
    <col min="14850" max="14850" width="12.28515625" customWidth="1"/>
    <col min="14851" max="14853" width="8" customWidth="1"/>
    <col min="14854" max="14854" width="12.28515625" customWidth="1"/>
    <col min="14855" max="14855" width="9" customWidth="1"/>
    <col min="15105" max="15105" width="8" customWidth="1"/>
    <col min="15106" max="15106" width="12.28515625" customWidth="1"/>
    <col min="15107" max="15109" width="8" customWidth="1"/>
    <col min="15110" max="15110" width="12.28515625" customWidth="1"/>
    <col min="15111" max="15111" width="9" customWidth="1"/>
    <col min="15361" max="15361" width="8" customWidth="1"/>
    <col min="15362" max="15362" width="12.28515625" customWidth="1"/>
    <col min="15363" max="15365" width="8" customWidth="1"/>
    <col min="15366" max="15366" width="12.28515625" customWidth="1"/>
    <col min="15367" max="15367" width="9" customWidth="1"/>
    <col min="15617" max="15617" width="8" customWidth="1"/>
    <col min="15618" max="15618" width="12.28515625" customWidth="1"/>
    <col min="15619" max="15621" width="8" customWidth="1"/>
    <col min="15622" max="15622" width="12.28515625" customWidth="1"/>
    <col min="15623" max="15623" width="9" customWidth="1"/>
    <col min="15873" max="15873" width="8" customWidth="1"/>
    <col min="15874" max="15874" width="12.28515625" customWidth="1"/>
    <col min="15875" max="15877" width="8" customWidth="1"/>
    <col min="15878" max="15878" width="12.28515625" customWidth="1"/>
    <col min="15879" max="15879" width="9" customWidth="1"/>
    <col min="16129" max="16129" width="8" customWidth="1"/>
    <col min="16130" max="16130" width="12.28515625" customWidth="1"/>
    <col min="16131" max="16133" width="8" customWidth="1"/>
    <col min="16134" max="16134" width="12.28515625" customWidth="1"/>
    <col min="16135" max="16135" width="9" customWidth="1"/>
  </cols>
  <sheetData>
    <row r="2" spans="3:8">
      <c r="D2">
        <v>0.14793000000000001</v>
      </c>
      <c r="E2" s="87">
        <f>C3*D2</f>
        <v>63.609900000000003</v>
      </c>
      <c r="F2" s="87">
        <f>E2*D2</f>
        <v>9.4098125070000016</v>
      </c>
    </row>
    <row r="3" spans="3:8">
      <c r="C3">
        <v>430</v>
      </c>
      <c r="D3">
        <v>0.14732000000000001</v>
      </c>
      <c r="E3" s="87">
        <f>C3*D3</f>
        <v>63.3476</v>
      </c>
      <c r="G3" s="87">
        <f>D3*E3</f>
        <v>9.3323684320000009</v>
      </c>
    </row>
    <row r="4" spans="3:8">
      <c r="D4">
        <v>5.9817000000000002E-2</v>
      </c>
      <c r="E4" s="87">
        <f>C5*D4</f>
        <v>8.8050623999999988</v>
      </c>
      <c r="F4" s="87">
        <f>E4*D4</f>
        <v>0.52669241758079999</v>
      </c>
    </row>
    <row r="5" spans="3:8">
      <c r="C5" s="87">
        <f>4.6*32</f>
        <v>147.19999999999999</v>
      </c>
      <c r="D5">
        <v>5.9851000000000001E-2</v>
      </c>
      <c r="E5" s="87">
        <f>C5*D5</f>
        <v>8.8100671999999989</v>
      </c>
      <c r="G5" s="87">
        <f>D5*E5</f>
        <v>0.52729133198719991</v>
      </c>
    </row>
    <row r="6" spans="3:8">
      <c r="F6" s="87">
        <f>SUM(F2:F4)</f>
        <v>9.9365049245808024</v>
      </c>
      <c r="G6" s="87">
        <f>SUM(G2:G5)</f>
        <v>9.8596597639872012</v>
      </c>
    </row>
    <row r="8" spans="3:8">
      <c r="F8" t="s">
        <v>172</v>
      </c>
      <c r="G8">
        <v>386785</v>
      </c>
    </row>
    <row r="9" spans="3:8">
      <c r="F9" t="s">
        <v>173</v>
      </c>
      <c r="G9">
        <v>36372553</v>
      </c>
    </row>
    <row r="13" spans="3:8">
      <c r="D13">
        <v>217.11</v>
      </c>
      <c r="E13">
        <v>6</v>
      </c>
      <c r="F13" s="87">
        <f>D13*E13</f>
        <v>1302.6600000000001</v>
      </c>
      <c r="H13" s="87">
        <f>(6*5)+2</f>
        <v>32</v>
      </c>
    </row>
    <row r="14" spans="3:8">
      <c r="F14" s="87">
        <f>F13/H13</f>
        <v>40.708125000000003</v>
      </c>
    </row>
    <row r="15" spans="3:8">
      <c r="F15" s="87">
        <f>F14*12</f>
        <v>488.49750000000006</v>
      </c>
      <c r="G15" s="87">
        <f>F14*2</f>
        <v>81.416250000000005</v>
      </c>
    </row>
    <row r="19" spans="1:9">
      <c r="A19" t="s">
        <v>174</v>
      </c>
    </row>
    <row r="21" spans="1:9">
      <c r="B21" t="s">
        <v>175</v>
      </c>
      <c r="C21" s="135"/>
      <c r="F21" t="s">
        <v>176</v>
      </c>
    </row>
    <row r="22" spans="1:9">
      <c r="B22" t="s">
        <v>177</v>
      </c>
      <c r="C22" s="135"/>
      <c r="F22" t="s">
        <v>178</v>
      </c>
    </row>
    <row r="23" spans="1:9">
      <c r="B23" t="s">
        <v>179</v>
      </c>
      <c r="C23" t="s">
        <v>411</v>
      </c>
      <c r="I23" s="92"/>
    </row>
    <row r="26" spans="1:9">
      <c r="B26" s="92" t="s">
        <v>19</v>
      </c>
    </row>
    <row r="27" spans="1:9">
      <c r="B27" t="s">
        <v>180</v>
      </c>
    </row>
    <row r="28" spans="1:9">
      <c r="B28" s="95"/>
      <c r="C28" s="92"/>
      <c r="D28" s="92"/>
      <c r="E28" s="95"/>
      <c r="F28" s="95"/>
    </row>
    <row r="33" spans="1:9" ht="150">
      <c r="B33" s="136" t="s">
        <v>181</v>
      </c>
      <c r="I33" s="136" t="s">
        <v>188</v>
      </c>
    </row>
    <row r="34" spans="1:9">
      <c r="B34" s="137" t="s">
        <v>182</v>
      </c>
      <c r="I34" t="s">
        <v>189</v>
      </c>
    </row>
    <row r="35" spans="1:9">
      <c r="B35" t="s">
        <v>183</v>
      </c>
      <c r="I35" t="s">
        <v>190</v>
      </c>
    </row>
    <row r="36" spans="1:9">
      <c r="B36" t="s">
        <v>184</v>
      </c>
    </row>
    <row r="38" spans="1:9">
      <c r="B38" t="s">
        <v>185</v>
      </c>
    </row>
    <row r="41" spans="1:9">
      <c r="A41" t="s">
        <v>186</v>
      </c>
      <c r="B41" t="s">
        <v>187</v>
      </c>
    </row>
    <row r="45" spans="1:9">
      <c r="A45" t="s">
        <v>351</v>
      </c>
      <c r="B45" t="s">
        <v>74</v>
      </c>
    </row>
    <row r="47" spans="1:9">
      <c r="A47" t="s">
        <v>507</v>
      </c>
      <c r="B47" t="s">
        <v>413</v>
      </c>
    </row>
    <row r="48" spans="1:9">
      <c r="A48" t="s">
        <v>412</v>
      </c>
      <c r="B48" t="s">
        <v>413</v>
      </c>
    </row>
    <row r="49" spans="1:2">
      <c r="A49" t="s">
        <v>59</v>
      </c>
      <c r="B49" t="s">
        <v>413</v>
      </c>
    </row>
    <row r="50" spans="1:2">
      <c r="A50" t="s">
        <v>415</v>
      </c>
      <c r="B50" t="s">
        <v>414</v>
      </c>
    </row>
    <row r="51" spans="1:2">
      <c r="A51" t="s">
        <v>623</v>
      </c>
      <c r="B51" t="s">
        <v>413</v>
      </c>
    </row>
    <row r="52" spans="1:2">
      <c r="A52" t="s">
        <v>662</v>
      </c>
      <c r="B52" t="s">
        <v>661</v>
      </c>
    </row>
    <row r="53" spans="1:2">
      <c r="A53" t="s">
        <v>691</v>
      </c>
      <c r="B53" t="s">
        <v>692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520"/>
  <sheetViews>
    <sheetView workbookViewId="0">
      <selection activeCell="B2" sqref="B2:G3"/>
    </sheetView>
  </sheetViews>
  <sheetFormatPr defaultColWidth="11.42578125" defaultRowHeight="15"/>
  <cols>
    <col min="1" max="1" width="11.42578125" style="137"/>
    <col min="2" max="2" width="10" style="137" customWidth="1"/>
    <col min="3" max="3" width="33.28515625" style="137" customWidth="1"/>
    <col min="4" max="6" width="10" style="137" customWidth="1"/>
    <col min="7" max="7" width="33.28515625" style="137" customWidth="1"/>
    <col min="8" max="9" width="11.42578125" style="137"/>
    <col min="10" max="10" width="31.28515625" style="137" customWidth="1"/>
    <col min="11" max="16384" width="11.42578125" style="137"/>
  </cols>
  <sheetData>
    <row r="1" spans="1:22" ht="16.5" thickBot="1">
      <c r="A1" s="1"/>
      <c r="B1" s="1"/>
      <c r="C1" s="1"/>
      <c r="D1" s="1"/>
      <c r="E1" s="1"/>
      <c r="F1" s="1"/>
      <c r="G1" s="1"/>
      <c r="H1" s="30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89" t="str">
        <f>'2018'!A20</f>
        <v>Cártama Gastos</v>
      </c>
      <c r="C2" s="290"/>
      <c r="D2" s="290"/>
      <c r="E2" s="290"/>
      <c r="F2" s="290"/>
      <c r="G2" s="291"/>
      <c r="H2" s="1"/>
      <c r="I2" s="302" t="s">
        <v>4</v>
      </c>
      <c r="J2" s="290"/>
      <c r="K2" s="290"/>
      <c r="L2" s="291"/>
      <c r="M2" s="1"/>
      <c r="N2" s="1"/>
      <c r="R2" s="3"/>
    </row>
    <row r="3" spans="1:22" ht="16.5" thickBot="1">
      <c r="A3" s="1"/>
      <c r="B3" s="292"/>
      <c r="C3" s="293"/>
      <c r="D3" s="293"/>
      <c r="E3" s="293"/>
      <c r="F3" s="293"/>
      <c r="G3" s="294"/>
      <c r="H3" s="1"/>
      <c r="I3" s="292"/>
      <c r="J3" s="293"/>
      <c r="K3" s="293"/>
      <c r="L3" s="294"/>
      <c r="M3" s="1"/>
      <c r="N3" s="1"/>
      <c r="R3" s="3"/>
    </row>
    <row r="4" spans="1:22" ht="15.75">
      <c r="A4" s="1"/>
      <c r="B4" s="297" t="s">
        <v>10</v>
      </c>
      <c r="C4" s="296"/>
      <c r="D4" s="295" t="s">
        <v>11</v>
      </c>
      <c r="E4" s="295"/>
      <c r="F4" s="295"/>
      <c r="G4" s="296"/>
      <c r="H4" s="1"/>
      <c r="I4" s="31" t="s">
        <v>70</v>
      </c>
      <c r="J4" s="32" t="s">
        <v>71</v>
      </c>
      <c r="K4" s="303" t="s">
        <v>72</v>
      </c>
      <c r="L4" s="304"/>
      <c r="M4" s="1"/>
      <c r="N4" s="1"/>
      <c r="R4" s="3"/>
    </row>
    <row r="5" spans="1:22" ht="15.75">
      <c r="A5" s="1" t="s">
        <v>608</v>
      </c>
      <c r="B5" s="52" t="s">
        <v>32</v>
      </c>
      <c r="C5" s="60" t="s">
        <v>33</v>
      </c>
      <c r="D5" s="52" t="s">
        <v>68</v>
      </c>
      <c r="E5" s="53" t="s">
        <v>69</v>
      </c>
      <c r="F5" s="53" t="s">
        <v>32</v>
      </c>
      <c r="G5" s="60" t="s">
        <v>33</v>
      </c>
      <c r="H5" s="1"/>
      <c r="I5" s="61" t="s">
        <v>73</v>
      </c>
      <c r="J5" s="3" t="s">
        <v>74</v>
      </c>
      <c r="K5" s="305">
        <v>1462.46</v>
      </c>
      <c r="L5" s="306"/>
      <c r="M5" s="82"/>
      <c r="N5" s="1"/>
      <c r="R5" s="3"/>
    </row>
    <row r="6" spans="1:22" ht="15.75">
      <c r="A6" s="163">
        <f>B6-E6</f>
        <v>0.62000000000000455</v>
      </c>
      <c r="B6" s="54">
        <v>401</v>
      </c>
      <c r="C6" s="36" t="s">
        <v>34</v>
      </c>
      <c r="D6" s="57"/>
      <c r="E6" s="58">
        <v>400.38</v>
      </c>
      <c r="F6" s="58"/>
      <c r="G6" s="33" t="s">
        <v>35</v>
      </c>
      <c r="H6" s="1"/>
      <c r="I6" s="62" t="s">
        <v>73</v>
      </c>
      <c r="J6" s="35" t="s">
        <v>75</v>
      </c>
      <c r="K6" s="298">
        <v>423.18</v>
      </c>
      <c r="L6" s="299"/>
      <c r="M6" s="1" t="s">
        <v>112</v>
      </c>
      <c r="N6" s="1"/>
      <c r="R6" s="3"/>
    </row>
    <row r="7" spans="1:22" ht="15.75">
      <c r="A7" s="163">
        <f>B7-E7+39.65</f>
        <v>95.65</v>
      </c>
      <c r="B7" s="55">
        <v>56</v>
      </c>
      <c r="C7" s="33" t="s">
        <v>100</v>
      </c>
      <c r="D7" s="57"/>
      <c r="E7" s="58"/>
      <c r="F7" s="58"/>
      <c r="G7" s="33" t="s">
        <v>106</v>
      </c>
      <c r="H7" s="1"/>
      <c r="I7" s="62" t="s">
        <v>76</v>
      </c>
      <c r="J7" s="35" t="s">
        <v>77</v>
      </c>
      <c r="K7" s="298">
        <v>7102.9</v>
      </c>
      <c r="L7" s="299"/>
      <c r="M7" s="1"/>
      <c r="N7" s="1"/>
      <c r="R7" s="3"/>
    </row>
    <row r="8" spans="1:22" ht="15.75">
      <c r="A8" s="163">
        <v>0</v>
      </c>
      <c r="B8" s="55">
        <v>96</v>
      </c>
      <c r="C8" s="33" t="s">
        <v>38</v>
      </c>
      <c r="D8" s="57"/>
      <c r="F8" s="58"/>
      <c r="G8" s="33" t="s">
        <v>38</v>
      </c>
      <c r="H8" s="1"/>
      <c r="I8" s="62" t="s">
        <v>76</v>
      </c>
      <c r="J8" s="35" t="s">
        <v>78</v>
      </c>
      <c r="K8" s="298">
        <v>1250</v>
      </c>
      <c r="L8" s="299"/>
      <c r="M8" s="1"/>
      <c r="N8" s="1"/>
      <c r="R8" s="3"/>
    </row>
    <row r="9" spans="1:22" ht="15.75">
      <c r="A9" s="163">
        <f t="shared" ref="A9:A12" si="0">B9-E9</f>
        <v>0</v>
      </c>
      <c r="B9" s="55">
        <v>0</v>
      </c>
      <c r="C9" s="33" t="s">
        <v>40</v>
      </c>
      <c r="D9" s="57"/>
      <c r="E9" s="58"/>
      <c r="F9" s="58"/>
      <c r="G9" s="33" t="s">
        <v>40</v>
      </c>
      <c r="H9" s="1"/>
      <c r="I9" s="62" t="s">
        <v>76</v>
      </c>
      <c r="J9" s="35" t="s">
        <v>79</v>
      </c>
      <c r="K9" s="298">
        <v>100.34</v>
      </c>
      <c r="L9" s="299"/>
      <c r="M9" s="1"/>
      <c r="N9" s="1"/>
      <c r="R9" s="3"/>
    </row>
    <row r="10" spans="1:22" ht="15.75">
      <c r="A10" s="163">
        <f t="shared" si="0"/>
        <v>3</v>
      </c>
      <c r="B10" s="55">
        <v>15</v>
      </c>
      <c r="C10" s="33" t="s">
        <v>39</v>
      </c>
      <c r="D10" s="57"/>
      <c r="E10" s="58">
        <v>12</v>
      </c>
      <c r="F10" s="58"/>
      <c r="G10" s="33" t="s">
        <v>39</v>
      </c>
      <c r="H10" s="1"/>
      <c r="I10" s="62" t="s">
        <v>76</v>
      </c>
      <c r="J10" s="35" t="s">
        <v>80</v>
      </c>
      <c r="K10" s="298">
        <f>5007.8</f>
        <v>5007.8</v>
      </c>
      <c r="L10" s="299"/>
      <c r="M10" s="82"/>
      <c r="N10" s="1"/>
      <c r="R10" s="3"/>
    </row>
    <row r="11" spans="1:22" ht="15.75">
      <c r="A11" s="163">
        <f t="shared" si="0"/>
        <v>0.76000000000000156</v>
      </c>
      <c r="B11" s="55">
        <v>31</v>
      </c>
      <c r="C11" s="33" t="s">
        <v>37</v>
      </c>
      <c r="D11" s="57"/>
      <c r="E11" s="58">
        <v>30.24</v>
      </c>
      <c r="F11" s="58"/>
      <c r="G11" s="33" t="s">
        <v>37</v>
      </c>
      <c r="H11" s="1"/>
      <c r="I11" s="62" t="s">
        <v>76</v>
      </c>
      <c r="J11" s="35" t="s">
        <v>81</v>
      </c>
      <c r="K11" s="298">
        <v>1566.09</v>
      </c>
      <c r="L11" s="299"/>
      <c r="M11" s="1" t="s">
        <v>82</v>
      </c>
      <c r="N11" s="1"/>
      <c r="R11" s="3"/>
    </row>
    <row r="12" spans="1:22" ht="15.75">
      <c r="A12" s="163">
        <f t="shared" si="0"/>
        <v>156.38</v>
      </c>
      <c r="B12" s="55">
        <v>200</v>
      </c>
      <c r="C12" s="33" t="s">
        <v>195</v>
      </c>
      <c r="D12" s="57"/>
      <c r="E12" s="58">
        <v>43.62</v>
      </c>
      <c r="F12" s="58"/>
      <c r="G12" s="33" t="s">
        <v>224</v>
      </c>
      <c r="H12" s="1"/>
      <c r="I12" s="62" t="s">
        <v>76</v>
      </c>
      <c r="J12" s="35" t="s">
        <v>115</v>
      </c>
      <c r="K12" s="298">
        <v>1800</v>
      </c>
      <c r="L12" s="299"/>
      <c r="N12" s="1"/>
      <c r="R12" s="3"/>
    </row>
    <row r="13" spans="1:22" ht="15.75">
      <c r="A13" s="163">
        <f>B13-D13-E13</f>
        <v>5</v>
      </c>
      <c r="B13" s="55">
        <v>55</v>
      </c>
      <c r="C13" s="33" t="s">
        <v>196</v>
      </c>
      <c r="D13" s="57">
        <v>50</v>
      </c>
      <c r="E13" s="58"/>
      <c r="F13" s="58"/>
      <c r="G13" s="33" t="s">
        <v>217</v>
      </c>
      <c r="H13" s="1"/>
      <c r="I13" s="62" t="s">
        <v>93</v>
      </c>
      <c r="J13" s="35" t="s">
        <v>94</v>
      </c>
      <c r="K13" s="298">
        <f>75+20+95</f>
        <v>190</v>
      </c>
      <c r="L13" s="299"/>
      <c r="M13" s="1"/>
      <c r="N13" s="1"/>
      <c r="R13" s="3"/>
    </row>
    <row r="14" spans="1:22" ht="15.75">
      <c r="A14" s="163">
        <f>B14-E14</f>
        <v>25</v>
      </c>
      <c r="B14" s="55">
        <v>25</v>
      </c>
      <c r="C14" s="33" t="s">
        <v>206</v>
      </c>
      <c r="D14" s="57"/>
      <c r="E14" s="58"/>
      <c r="F14" s="58"/>
      <c r="G14" s="33"/>
      <c r="H14" s="1"/>
      <c r="I14" s="62"/>
      <c r="J14" s="35"/>
      <c r="K14" s="298"/>
      <c r="L14" s="299"/>
      <c r="M14" s="1"/>
      <c r="N14" s="1"/>
      <c r="R14" s="3"/>
    </row>
    <row r="15" spans="1:22" ht="15.75">
      <c r="A15" s="163">
        <f>B15-E15</f>
        <v>0</v>
      </c>
      <c r="B15" s="55"/>
      <c r="C15" s="33"/>
      <c r="D15" s="57"/>
      <c r="E15" s="58"/>
      <c r="F15" s="58"/>
      <c r="G15" s="33"/>
      <c r="H15" s="1"/>
      <c r="I15" s="62"/>
      <c r="J15" s="35"/>
      <c r="K15" s="298"/>
      <c r="L15" s="299"/>
      <c r="M15" s="1"/>
      <c r="N15" s="1"/>
      <c r="R15" s="3"/>
    </row>
    <row r="16" spans="1:22" ht="15.75">
      <c r="A16" s="163">
        <f>B16-E16</f>
        <v>0</v>
      </c>
      <c r="B16" s="55"/>
      <c r="C16" s="33"/>
      <c r="D16" s="57"/>
      <c r="E16" s="58"/>
      <c r="F16" s="58"/>
      <c r="G16" s="33"/>
      <c r="H16" s="1"/>
      <c r="I16" s="62"/>
      <c r="J16" s="35"/>
      <c r="K16" s="298"/>
      <c r="L16" s="299"/>
      <c r="M16" s="1"/>
      <c r="N16" s="1"/>
      <c r="R16" s="3"/>
    </row>
    <row r="17" spans="1:18" ht="15.75">
      <c r="A17" s="1"/>
      <c r="B17" s="55"/>
      <c r="C17" s="33"/>
      <c r="D17" s="57"/>
      <c r="E17" s="58"/>
      <c r="F17" s="58"/>
      <c r="G17" s="33"/>
      <c r="H17" s="1"/>
      <c r="I17" s="62"/>
      <c r="J17" s="35"/>
      <c r="K17" s="298"/>
      <c r="L17" s="299"/>
      <c r="M17" s="1"/>
      <c r="N17" s="1"/>
      <c r="R17" s="3"/>
    </row>
    <row r="18" spans="1:18" ht="16.5" thickBot="1">
      <c r="A18" s="1"/>
      <c r="B18" s="55"/>
      <c r="C18" s="33"/>
      <c r="D18" s="57"/>
      <c r="E18" s="58"/>
      <c r="F18" s="58"/>
      <c r="G18" s="33"/>
      <c r="H18" s="1"/>
      <c r="I18" s="63"/>
      <c r="J18" s="37"/>
      <c r="K18" s="300"/>
      <c r="L18" s="301"/>
      <c r="M18" s="1"/>
      <c r="N18" s="1"/>
      <c r="R18" s="3"/>
    </row>
    <row r="19" spans="1:18" ht="16.5" thickBot="1">
      <c r="A19" s="1"/>
      <c r="B19" s="56"/>
      <c r="C19" s="34"/>
      <c r="D19" s="56"/>
      <c r="E19" s="59"/>
      <c r="F19" s="59"/>
      <c r="G19" s="34"/>
      <c r="H19" s="1"/>
      <c r="I19" s="63" t="s">
        <v>83</v>
      </c>
      <c r="J19" s="37"/>
      <c r="K19" s="300">
        <f>SUM(K5:K18)-K11</f>
        <v>17336.68</v>
      </c>
      <c r="L19" s="301"/>
      <c r="M19" s="1"/>
      <c r="N19" s="1"/>
      <c r="R19" s="3"/>
    </row>
    <row r="20" spans="1:18" ht="16.5" thickBot="1">
      <c r="A20" s="163">
        <f>SUM(A6:A16)</f>
        <v>286.41000000000003</v>
      </c>
      <c r="B20" s="56">
        <f>SUM(B6:B19)</f>
        <v>879</v>
      </c>
      <c r="C20" s="34" t="s">
        <v>66</v>
      </c>
      <c r="D20" s="56">
        <f>SUM(D6:D19)</f>
        <v>50</v>
      </c>
      <c r="E20" s="56">
        <f>SUM(E6:E19)</f>
        <v>486.24</v>
      </c>
      <c r="F20" s="56">
        <f>SUM(F6:F19)</f>
        <v>0</v>
      </c>
      <c r="G20" s="34" t="s">
        <v>66</v>
      </c>
      <c r="H20" s="1"/>
      <c r="I20" s="137" t="s">
        <v>116</v>
      </c>
      <c r="L20" s="140">
        <f>K19-K10</f>
        <v>12328.880000000001</v>
      </c>
      <c r="M20" s="1"/>
      <c r="R20" s="3"/>
    </row>
    <row r="21" spans="1:18" ht="16.5" thickBot="1">
      <c r="A21" s="1">
        <v>286.41000000000003</v>
      </c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89" t="str">
        <f>'2018'!A21</f>
        <v>Waterloo</v>
      </c>
      <c r="C22" s="290"/>
      <c r="D22" s="290"/>
      <c r="E22" s="290"/>
      <c r="F22" s="290"/>
      <c r="G22" s="291"/>
      <c r="H22" s="1"/>
      <c r="I22" s="302" t="s">
        <v>6</v>
      </c>
      <c r="J22" s="290"/>
      <c r="K22" s="290"/>
      <c r="L22" s="291"/>
      <c r="M22" s="1"/>
      <c r="R22" s="3"/>
    </row>
    <row r="23" spans="1:18" ht="16.149999999999999" customHeight="1" thickBot="1">
      <c r="A23" s="1"/>
      <c r="B23" s="292"/>
      <c r="C23" s="293"/>
      <c r="D23" s="293"/>
      <c r="E23" s="293"/>
      <c r="F23" s="293"/>
      <c r="G23" s="294"/>
      <c r="H23" s="1"/>
      <c r="I23" s="292"/>
      <c r="J23" s="293"/>
      <c r="K23" s="293"/>
      <c r="L23" s="294"/>
      <c r="M23" s="1"/>
      <c r="R23" s="3"/>
    </row>
    <row r="24" spans="1:18" ht="15.75">
      <c r="A24" s="1"/>
      <c r="B24" s="297" t="s">
        <v>10</v>
      </c>
      <c r="C24" s="296"/>
      <c r="D24" s="295" t="s">
        <v>11</v>
      </c>
      <c r="E24" s="295"/>
      <c r="F24" s="295"/>
      <c r="G24" s="296"/>
      <c r="H24" s="1"/>
      <c r="I24" s="88" t="s">
        <v>33</v>
      </c>
      <c r="J24" s="32" t="s">
        <v>133</v>
      </c>
      <c r="K24" s="303" t="s">
        <v>134</v>
      </c>
      <c r="L24" s="304"/>
      <c r="M24" s="1"/>
      <c r="R24" s="3"/>
    </row>
    <row r="25" spans="1:18" ht="15.75">
      <c r="A25" s="1"/>
      <c r="B25" s="52" t="s">
        <v>32</v>
      </c>
      <c r="C25" s="60" t="s">
        <v>33</v>
      </c>
      <c r="D25" s="52" t="s">
        <v>68</v>
      </c>
      <c r="E25" s="53" t="s">
        <v>69</v>
      </c>
      <c r="F25" s="53" t="s">
        <v>32</v>
      </c>
      <c r="G25" s="60" t="s">
        <v>33</v>
      </c>
      <c r="H25" s="1"/>
      <c r="I25" s="150">
        <v>4</v>
      </c>
      <c r="J25" s="3" t="s">
        <v>209</v>
      </c>
      <c r="K25" s="305">
        <v>1.01</v>
      </c>
      <c r="L25" s="306"/>
      <c r="M25" s="1"/>
      <c r="R25" s="3"/>
    </row>
    <row r="26" spans="1:18" ht="15.75">
      <c r="A26" s="1"/>
      <c r="B26" s="54">
        <v>900</v>
      </c>
      <c r="C26" s="66" t="s">
        <v>42</v>
      </c>
      <c r="D26" s="57">
        <v>900</v>
      </c>
      <c r="E26" s="58"/>
      <c r="F26" s="58"/>
      <c r="G26" s="33" t="s">
        <v>42</v>
      </c>
      <c r="H26" s="1"/>
      <c r="I26" s="151">
        <v>4</v>
      </c>
      <c r="J26" s="35" t="s">
        <v>210</v>
      </c>
      <c r="K26" s="298">
        <v>0.04</v>
      </c>
      <c r="L26" s="299"/>
      <c r="M26" s="1"/>
      <c r="R26" s="3"/>
    </row>
    <row r="27" spans="1:18" ht="15.75">
      <c r="A27" s="1"/>
      <c r="B27" s="55">
        <v>200</v>
      </c>
      <c r="C27" s="66" t="s">
        <v>44</v>
      </c>
      <c r="D27" s="57">
        <f>182.14+151.17</f>
        <v>333.30999999999995</v>
      </c>
      <c r="E27" s="58"/>
      <c r="F27" s="58"/>
      <c r="G27" s="33" t="s">
        <v>44</v>
      </c>
      <c r="H27" s="1"/>
      <c r="I27" s="151">
        <v>4</v>
      </c>
      <c r="J27" s="35" t="s">
        <v>212</v>
      </c>
      <c r="K27" s="298">
        <v>2831.41</v>
      </c>
      <c r="L27" s="299"/>
      <c r="M27" s="1"/>
      <c r="R27" s="3"/>
    </row>
    <row r="28" spans="1:18" ht="15.75">
      <c r="A28" s="1"/>
      <c r="B28" s="55">
        <v>40</v>
      </c>
      <c r="C28" s="66" t="s">
        <v>45</v>
      </c>
      <c r="D28" s="57"/>
      <c r="E28" s="58"/>
      <c r="F28" s="58"/>
      <c r="G28" s="33" t="s">
        <v>45</v>
      </c>
      <c r="H28" s="1"/>
      <c r="I28" s="151">
        <v>2</v>
      </c>
      <c r="J28" s="35" t="s">
        <v>215</v>
      </c>
      <c r="K28" s="298">
        <v>72.66</v>
      </c>
      <c r="L28" s="299"/>
      <c r="M28" s="1"/>
      <c r="R28" s="3"/>
    </row>
    <row r="29" spans="1:18" ht="15.75">
      <c r="A29" s="1"/>
      <c r="B29" s="55">
        <v>18</v>
      </c>
      <c r="C29" s="66" t="s">
        <v>41</v>
      </c>
      <c r="D29" s="57">
        <v>17.46</v>
      </c>
      <c r="E29" s="58"/>
      <c r="F29" s="58"/>
      <c r="G29" s="33" t="s">
        <v>41</v>
      </c>
      <c r="H29" s="1"/>
      <c r="I29" s="151">
        <v>6</v>
      </c>
      <c r="J29" s="35" t="s">
        <v>223</v>
      </c>
      <c r="K29" s="298">
        <v>93.93</v>
      </c>
      <c r="L29" s="299"/>
      <c r="M29" s="1"/>
      <c r="R29" s="3"/>
    </row>
    <row r="30" spans="1:18" ht="15.75">
      <c r="A30" s="1"/>
      <c r="B30" s="55">
        <v>229.4</v>
      </c>
      <c r="C30" s="66" t="s">
        <v>256</v>
      </c>
      <c r="D30" s="57"/>
      <c r="E30" s="58"/>
      <c r="F30" s="58"/>
      <c r="G30" s="33"/>
      <c r="H30" s="1"/>
      <c r="I30" s="151">
        <v>5</v>
      </c>
      <c r="J30" s="35" t="s">
        <v>241</v>
      </c>
      <c r="K30" s="298">
        <v>700</v>
      </c>
      <c r="L30" s="299"/>
      <c r="M30" s="1"/>
      <c r="R30" s="3"/>
    </row>
    <row r="31" spans="1:18" ht="15.75">
      <c r="A31" s="1"/>
      <c r="B31" s="55"/>
      <c r="C31" s="33"/>
      <c r="D31" s="57"/>
      <c r="E31" s="58"/>
      <c r="F31" s="58"/>
      <c r="G31" s="33"/>
      <c r="H31" s="1"/>
      <c r="I31" s="151">
        <v>5</v>
      </c>
      <c r="J31" s="35" t="s">
        <v>242</v>
      </c>
      <c r="K31" s="298">
        <v>50</v>
      </c>
      <c r="L31" s="299"/>
      <c r="M31" s="1"/>
      <c r="R31" s="3"/>
    </row>
    <row r="32" spans="1:18" ht="15.75">
      <c r="A32" s="1"/>
      <c r="B32" s="55"/>
      <c r="C32" s="33"/>
      <c r="D32" s="57"/>
      <c r="E32" s="58"/>
      <c r="F32" s="58"/>
      <c r="G32" s="33"/>
      <c r="H32" s="1"/>
      <c r="I32" s="151">
        <v>9</v>
      </c>
      <c r="J32" s="35" t="s">
        <v>44</v>
      </c>
      <c r="K32" s="298">
        <v>229.4</v>
      </c>
      <c r="L32" s="299"/>
      <c r="M32" s="1"/>
      <c r="R32" s="3"/>
    </row>
    <row r="33" spans="1:18" ht="15.75">
      <c r="A33" s="1"/>
      <c r="B33" s="55"/>
      <c r="C33" s="33"/>
      <c r="D33" s="57"/>
      <c r="E33" s="58"/>
      <c r="F33" s="58"/>
      <c r="G33" s="33"/>
      <c r="H33" s="1"/>
      <c r="I33" s="151">
        <v>4</v>
      </c>
      <c r="J33" s="35" t="s">
        <v>261</v>
      </c>
      <c r="K33" s="298">
        <v>0.05</v>
      </c>
      <c r="L33" s="299"/>
      <c r="M33" s="1"/>
      <c r="R33" s="3"/>
    </row>
    <row r="34" spans="1:18" ht="15.75">
      <c r="A34" s="1"/>
      <c r="B34" s="55"/>
      <c r="C34" s="33"/>
      <c r="D34" s="57"/>
      <c r="E34" s="58"/>
      <c r="F34" s="58"/>
      <c r="G34" s="33"/>
      <c r="H34" s="1"/>
      <c r="I34" s="151">
        <v>9</v>
      </c>
      <c r="J34" s="35" t="s">
        <v>262</v>
      </c>
      <c r="K34" s="298">
        <v>1566.27</v>
      </c>
      <c r="L34" s="299"/>
      <c r="M34" s="1"/>
      <c r="R34" s="3"/>
    </row>
    <row r="35" spans="1:18" ht="15.75">
      <c r="A35" s="1"/>
      <c r="B35" s="55"/>
      <c r="C35" s="33"/>
      <c r="D35" s="57"/>
      <c r="E35" s="58"/>
      <c r="F35" s="58"/>
      <c r="G35" s="33"/>
      <c r="H35" s="1"/>
      <c r="I35" s="151">
        <v>5</v>
      </c>
      <c r="J35" s="35" t="s">
        <v>275</v>
      </c>
      <c r="K35" s="298">
        <v>449</v>
      </c>
      <c r="L35" s="299"/>
      <c r="M35" s="1"/>
      <c r="R35" s="3"/>
    </row>
    <row r="36" spans="1:18" ht="15.75">
      <c r="A36" s="1"/>
      <c r="B36" s="55"/>
      <c r="C36" s="33"/>
      <c r="D36" s="57"/>
      <c r="E36" s="58"/>
      <c r="F36" s="58"/>
      <c r="G36" s="33"/>
      <c r="H36" s="1"/>
      <c r="I36" s="151">
        <v>2</v>
      </c>
      <c r="J36" s="35" t="s">
        <v>276</v>
      </c>
      <c r="K36" s="298">
        <v>314.12</v>
      </c>
      <c r="L36" s="299"/>
      <c r="M36" s="1"/>
      <c r="R36" s="3"/>
    </row>
    <row r="37" spans="1:18" ht="15.75">
      <c r="A37" s="1"/>
      <c r="B37" s="55"/>
      <c r="C37" s="33"/>
      <c r="D37" s="57"/>
      <c r="E37" s="58"/>
      <c r="F37" s="58"/>
      <c r="G37" s="33"/>
      <c r="H37" s="1"/>
      <c r="I37" s="151"/>
      <c r="J37" s="35"/>
      <c r="K37" s="298"/>
      <c r="L37" s="299"/>
      <c r="M37" s="1"/>
      <c r="R37" s="3"/>
    </row>
    <row r="38" spans="1:18" ht="16.5" thickBot="1">
      <c r="A38" s="1"/>
      <c r="B38" s="55"/>
      <c r="C38" s="33"/>
      <c r="D38" s="57"/>
      <c r="E38" s="58"/>
      <c r="F38" s="58"/>
      <c r="G38" s="33"/>
      <c r="H38" s="1"/>
      <c r="I38" s="152"/>
      <c r="J38" s="37"/>
      <c r="K38" s="300"/>
      <c r="L38" s="301"/>
      <c r="M38" s="1"/>
      <c r="R38" s="3"/>
    </row>
    <row r="39" spans="1:18" ht="16.5" thickBot="1">
      <c r="A39" s="1"/>
      <c r="B39" s="56"/>
      <c r="C39" s="34"/>
      <c r="D39" s="56"/>
      <c r="E39" s="59"/>
      <c r="F39" s="59"/>
      <c r="G39" s="34"/>
      <c r="H39" s="1"/>
      <c r="M39" s="1"/>
      <c r="R39" s="3"/>
    </row>
    <row r="40" spans="1:18" ht="16.5" thickBot="1">
      <c r="A40" s="1"/>
      <c r="B40" s="56">
        <f>SUM(B26:B39)</f>
        <v>1387.4</v>
      </c>
      <c r="C40" s="34" t="s">
        <v>66</v>
      </c>
      <c r="D40" s="56">
        <f>SUM(D26:D39)</f>
        <v>1250.77</v>
      </c>
      <c r="E40" s="56">
        <f>SUM(E26:E39)</f>
        <v>0</v>
      </c>
      <c r="F40" s="56">
        <f>SUM(F26:F39)</f>
        <v>0</v>
      </c>
      <c r="G40" s="34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89" t="str">
        <f>'2018'!A22</f>
        <v>Comida+Limpieza</v>
      </c>
      <c r="C42" s="290"/>
      <c r="D42" s="290"/>
      <c r="E42" s="290"/>
      <c r="F42" s="290"/>
      <c r="G42" s="291"/>
      <c r="H42" s="1"/>
      <c r="M42" s="1"/>
      <c r="R42" s="3"/>
    </row>
    <row r="43" spans="1:18" ht="16.149999999999999" customHeight="1" thickBot="1">
      <c r="A43" s="1"/>
      <c r="B43" s="292"/>
      <c r="C43" s="293"/>
      <c r="D43" s="293"/>
      <c r="E43" s="293"/>
      <c r="F43" s="293"/>
      <c r="G43" s="294"/>
      <c r="H43" s="1"/>
      <c r="M43" s="1"/>
      <c r="R43" s="3"/>
    </row>
    <row r="44" spans="1:18" ht="15.75">
      <c r="A44" s="1"/>
      <c r="B44" s="297" t="s">
        <v>10</v>
      </c>
      <c r="C44" s="296"/>
      <c r="D44" s="295" t="s">
        <v>11</v>
      </c>
      <c r="E44" s="295"/>
      <c r="F44" s="295"/>
      <c r="G44" s="296"/>
      <c r="H44" s="1"/>
      <c r="M44" s="1"/>
      <c r="R44" s="3"/>
    </row>
    <row r="45" spans="1:18" ht="15.75">
      <c r="A45" s="1"/>
      <c r="B45" s="52" t="s">
        <v>32</v>
      </c>
      <c r="C45" s="60" t="s">
        <v>33</v>
      </c>
      <c r="D45" s="52" t="s">
        <v>68</v>
      </c>
      <c r="E45" s="53" t="s">
        <v>69</v>
      </c>
      <c r="F45" s="53" t="s">
        <v>32</v>
      </c>
      <c r="G45" s="60" t="s">
        <v>33</v>
      </c>
      <c r="H45" s="1"/>
      <c r="M45" s="1"/>
      <c r="R45" s="3"/>
    </row>
    <row r="46" spans="1:18" ht="15.75">
      <c r="A46" s="1"/>
      <c r="B46" s="54">
        <v>360</v>
      </c>
      <c r="C46" s="36"/>
      <c r="D46" s="57">
        <f>60.95+91.57+D61</f>
        <v>186.67999999999998</v>
      </c>
      <c r="E46" s="58"/>
      <c r="F46" s="58"/>
      <c r="G46" s="69" t="s">
        <v>47</v>
      </c>
      <c r="H46" s="1"/>
      <c r="M46" s="1"/>
      <c r="R46" s="3"/>
    </row>
    <row r="47" spans="1:18" ht="15.75">
      <c r="A47" s="1"/>
      <c r="B47" s="55">
        <v>20</v>
      </c>
      <c r="C47" s="33" t="s">
        <v>110</v>
      </c>
      <c r="D47" s="57">
        <f>24.87+35.21-D146</f>
        <v>31.08</v>
      </c>
      <c r="E47" s="58"/>
      <c r="F47" s="58"/>
      <c r="G47" s="33" t="s">
        <v>48</v>
      </c>
      <c r="H47" s="1"/>
      <c r="M47" s="1"/>
      <c r="R47" s="3"/>
    </row>
    <row r="48" spans="1:18" ht="15.75">
      <c r="A48" s="1"/>
      <c r="B48" s="55">
        <v>20</v>
      </c>
      <c r="C48" s="33" t="s">
        <v>259</v>
      </c>
      <c r="D48" s="57">
        <f>39.1+19.94</f>
        <v>59.040000000000006</v>
      </c>
      <c r="E48" s="58"/>
      <c r="F48" s="58"/>
      <c r="G48" s="33" t="s">
        <v>84</v>
      </c>
      <c r="H48" s="1"/>
      <c r="M48" s="1"/>
      <c r="R48" s="3"/>
    </row>
    <row r="49" spans="1:18" ht="15.75">
      <c r="A49" s="1"/>
      <c r="B49" s="55"/>
      <c r="C49" s="33"/>
      <c r="D49" s="57"/>
      <c r="E49" s="58"/>
      <c r="F49" s="58"/>
      <c r="G49" s="33" t="s">
        <v>49</v>
      </c>
      <c r="H49" s="1"/>
      <c r="M49" s="1"/>
      <c r="R49" s="3"/>
    </row>
    <row r="50" spans="1:18" ht="15.75">
      <c r="A50" s="1"/>
      <c r="B50" s="55"/>
      <c r="C50" s="33"/>
      <c r="D50" s="57"/>
      <c r="E50" s="58"/>
      <c r="F50" s="58"/>
      <c r="G50" s="33" t="s">
        <v>85</v>
      </c>
      <c r="H50" s="1"/>
      <c r="M50" s="1"/>
      <c r="R50" s="3"/>
    </row>
    <row r="51" spans="1:18" ht="15.75">
      <c r="A51" s="1"/>
      <c r="B51" s="55"/>
      <c r="C51" s="33"/>
      <c r="D51" s="57">
        <f>26.63</f>
        <v>26.63</v>
      </c>
      <c r="E51" s="58"/>
      <c r="F51" s="58"/>
      <c r="G51" s="33" t="s">
        <v>86</v>
      </c>
      <c r="H51" s="1"/>
      <c r="M51" s="1"/>
      <c r="R51" s="3"/>
    </row>
    <row r="52" spans="1:18" ht="15.75">
      <c r="A52" s="1"/>
      <c r="B52" s="55"/>
      <c r="C52" s="33"/>
      <c r="D52" s="57">
        <f>34.27</f>
        <v>34.270000000000003</v>
      </c>
      <c r="E52" s="58"/>
      <c r="F52" s="58"/>
      <c r="G52" s="33" t="s">
        <v>98</v>
      </c>
      <c r="H52" s="1"/>
      <c r="M52" s="1"/>
      <c r="R52" s="3"/>
    </row>
    <row r="53" spans="1:18" ht="15.75">
      <c r="A53" s="1"/>
      <c r="B53" s="55"/>
      <c r="C53" s="33"/>
      <c r="D53" s="57">
        <f>28.6</f>
        <v>28.6</v>
      </c>
      <c r="E53" s="58"/>
      <c r="F53" s="58"/>
      <c r="G53" s="33" t="s">
        <v>111</v>
      </c>
      <c r="H53" s="1"/>
      <c r="M53" s="1"/>
      <c r="R53" s="3"/>
    </row>
    <row r="54" spans="1:18" ht="15.75">
      <c r="A54" s="1"/>
      <c r="B54" s="55"/>
      <c r="C54" s="33"/>
      <c r="D54" s="57"/>
      <c r="E54" s="58"/>
      <c r="F54" s="58"/>
      <c r="G54" s="33"/>
      <c r="H54" s="1"/>
      <c r="M54" s="1"/>
      <c r="R54" s="3"/>
    </row>
    <row r="55" spans="1:18" ht="15.75">
      <c r="A55" s="1"/>
      <c r="B55" s="55"/>
      <c r="C55" s="33"/>
      <c r="D55" s="57">
        <f>89.39-D295</f>
        <v>80</v>
      </c>
      <c r="E55" s="58"/>
      <c r="F55" s="58"/>
      <c r="G55" s="33" t="s">
        <v>250</v>
      </c>
      <c r="H55" s="1"/>
      <c r="M55" s="1"/>
      <c r="R55" s="3"/>
    </row>
    <row r="56" spans="1:18" ht="15.75">
      <c r="A56" s="1"/>
      <c r="B56" s="55"/>
      <c r="C56" s="33"/>
      <c r="D56" s="57"/>
      <c r="E56" s="58"/>
      <c r="F56" s="58"/>
      <c r="G56" s="33"/>
      <c r="H56" s="1"/>
      <c r="M56" s="1"/>
      <c r="R56" s="3"/>
    </row>
    <row r="57" spans="1:18" ht="15.75">
      <c r="A57" s="1"/>
      <c r="B57" s="55"/>
      <c r="C57" s="33"/>
      <c r="D57" s="57"/>
      <c r="E57" s="58"/>
      <c r="F57" s="58"/>
      <c r="G57" s="33"/>
      <c r="H57" s="1"/>
      <c r="M57" s="1"/>
      <c r="R57" s="3"/>
    </row>
    <row r="58" spans="1:18" ht="15.75">
      <c r="A58" s="1"/>
      <c r="B58" s="55"/>
      <c r="C58" s="33"/>
      <c r="D58" s="57"/>
      <c r="E58" s="58"/>
      <c r="F58" s="58"/>
      <c r="G58" s="33" t="s">
        <v>46</v>
      </c>
      <c r="H58" s="1"/>
      <c r="M58" s="1"/>
      <c r="R58" s="3"/>
    </row>
    <row r="59" spans="1:18" ht="16.5" thickBot="1">
      <c r="A59" s="1"/>
      <c r="B59" s="56"/>
      <c r="C59" s="34"/>
      <c r="D59" s="56"/>
      <c r="E59" s="59"/>
      <c r="F59" s="59"/>
      <c r="G59" s="34"/>
      <c r="H59" s="1"/>
      <c r="M59" s="1"/>
      <c r="R59" s="3"/>
    </row>
    <row r="60" spans="1:18" ht="16.5" thickBot="1">
      <c r="A60" s="1"/>
      <c r="B60" s="56">
        <f>SUM(B46:B59)</f>
        <v>400</v>
      </c>
      <c r="C60" s="34" t="s">
        <v>66</v>
      </c>
      <c r="D60" s="56">
        <f>SUM(D46:D59)</f>
        <v>446.3</v>
      </c>
      <c r="E60" s="56">
        <f>SUM(E46:E59)</f>
        <v>0</v>
      </c>
      <c r="F60" s="56">
        <f>SUM(F46:F59)</f>
        <v>0</v>
      </c>
      <c r="G60" s="34" t="s">
        <v>66</v>
      </c>
      <c r="H60" s="1"/>
      <c r="M60" s="1"/>
      <c r="R60" s="3"/>
    </row>
    <row r="61" spans="1:18" ht="16.5" thickBot="1">
      <c r="A61" s="1"/>
      <c r="B61" s="1"/>
      <c r="C61" s="1"/>
      <c r="D61" s="82">
        <f>15.8+6.96+6.29+1.75+(1.12*3)</f>
        <v>34.160000000000004</v>
      </c>
      <c r="E61" s="1"/>
      <c r="F61" s="1"/>
      <c r="G61" s="1"/>
      <c r="H61" s="1"/>
      <c r="M61" s="1"/>
      <c r="R61" s="3"/>
    </row>
    <row r="62" spans="1:18" ht="15.6" customHeight="1">
      <c r="A62" s="1"/>
      <c r="B62" s="289" t="str">
        <f>'2018'!A23</f>
        <v>Ocio</v>
      </c>
      <c r="C62" s="290"/>
      <c r="D62" s="290"/>
      <c r="E62" s="290"/>
      <c r="F62" s="290"/>
      <c r="G62" s="291"/>
      <c r="H62" s="1"/>
      <c r="M62" s="1"/>
      <c r="R62" s="3"/>
    </row>
    <row r="63" spans="1:18" ht="16.149999999999999" customHeight="1" thickBot="1">
      <c r="A63" s="1"/>
      <c r="B63" s="292"/>
      <c r="C63" s="293"/>
      <c r="D63" s="293"/>
      <c r="E63" s="293"/>
      <c r="F63" s="293"/>
      <c r="G63" s="294"/>
      <c r="H63" s="1"/>
      <c r="M63" s="1"/>
      <c r="R63" s="3"/>
    </row>
    <row r="64" spans="1:18" ht="15.75">
      <c r="A64" s="1"/>
      <c r="B64" s="297" t="s">
        <v>10</v>
      </c>
      <c r="C64" s="296"/>
      <c r="D64" s="295" t="s">
        <v>11</v>
      </c>
      <c r="E64" s="295"/>
      <c r="F64" s="295"/>
      <c r="G64" s="296"/>
      <c r="H64" s="1"/>
      <c r="M64" s="1"/>
      <c r="R64" s="3"/>
    </row>
    <row r="65" spans="1:18" ht="15.75">
      <c r="A65" s="1"/>
      <c r="B65" s="52" t="s">
        <v>32</v>
      </c>
      <c r="C65" s="60" t="s">
        <v>33</v>
      </c>
      <c r="D65" s="52" t="s">
        <v>68</v>
      </c>
      <c r="E65" s="53" t="s">
        <v>69</v>
      </c>
      <c r="F65" s="53" t="s">
        <v>32</v>
      </c>
      <c r="G65" s="60" t="s">
        <v>33</v>
      </c>
      <c r="H65" s="1"/>
      <c r="M65" s="1"/>
      <c r="R65" s="3"/>
    </row>
    <row r="66" spans="1:18" ht="15.75">
      <c r="A66" s="1"/>
      <c r="B66" s="54">
        <v>150</v>
      </c>
      <c r="C66" s="36" t="s">
        <v>36</v>
      </c>
      <c r="D66" s="57">
        <f>32.4+23.81+29.48</f>
        <v>85.69</v>
      </c>
      <c r="E66" s="58"/>
      <c r="F66" s="58"/>
      <c r="G66" s="36" t="s">
        <v>207</v>
      </c>
      <c r="H66" s="1"/>
      <c r="M66" s="1"/>
      <c r="R66" s="3"/>
    </row>
    <row r="67" spans="1:18" ht="15.75">
      <c r="A67" s="1"/>
      <c r="B67" s="55"/>
      <c r="C67" s="33"/>
      <c r="D67" s="57">
        <v>33</v>
      </c>
      <c r="E67" s="58"/>
      <c r="F67" s="58"/>
      <c r="G67" s="70" t="s">
        <v>222</v>
      </c>
      <c r="H67" s="1"/>
      <c r="M67" s="1"/>
      <c r="R67" s="3"/>
    </row>
    <row r="68" spans="1:18" ht="15.75">
      <c r="A68" s="1"/>
      <c r="B68" s="55"/>
      <c r="C68" s="33"/>
      <c r="D68" s="57">
        <f>15+17.5</f>
        <v>32.5</v>
      </c>
      <c r="E68" s="58"/>
      <c r="F68" s="58"/>
      <c r="G68" s="33" t="s">
        <v>231</v>
      </c>
      <c r="H68" s="1"/>
      <c r="M68" s="1"/>
      <c r="R68" s="3"/>
    </row>
    <row r="69" spans="1:18" ht="15.75">
      <c r="A69" s="1"/>
      <c r="B69" s="55"/>
      <c r="C69" s="33"/>
      <c r="D69" s="57"/>
      <c r="E69" s="58">
        <v>10</v>
      </c>
      <c r="F69" s="58"/>
      <c r="G69" s="33" t="s">
        <v>270</v>
      </c>
      <c r="H69" s="1"/>
      <c r="M69" s="1"/>
      <c r="R69" s="3"/>
    </row>
    <row r="70" spans="1:18" ht="15.75">
      <c r="A70" s="1"/>
      <c r="B70" s="55"/>
      <c r="C70" s="33"/>
      <c r="D70" s="57"/>
      <c r="E70" s="58"/>
      <c r="F70" s="58"/>
      <c r="G70" s="33"/>
      <c r="H70" s="1"/>
      <c r="M70" s="1"/>
      <c r="R70" s="3"/>
    </row>
    <row r="71" spans="1:18" ht="15.75">
      <c r="A71" s="1"/>
      <c r="B71" s="55"/>
      <c r="C71" s="33"/>
      <c r="D71" s="57"/>
      <c r="E71" s="58"/>
      <c r="F71" s="58"/>
      <c r="G71" s="33"/>
      <c r="H71" s="1"/>
      <c r="M71" s="1"/>
      <c r="R71" s="3"/>
    </row>
    <row r="72" spans="1:18" ht="15.75">
      <c r="A72" s="1"/>
      <c r="B72" s="55"/>
      <c r="C72" s="33"/>
      <c r="D72" s="57"/>
      <c r="E72" s="58"/>
      <c r="F72" s="58"/>
      <c r="G72" s="33"/>
      <c r="H72" s="1"/>
      <c r="M72" s="1"/>
      <c r="R72" s="3"/>
    </row>
    <row r="73" spans="1:18" ht="15.75">
      <c r="A73" s="1"/>
      <c r="B73" s="55"/>
      <c r="C73" s="33"/>
      <c r="D73" s="57"/>
      <c r="E73" s="58"/>
      <c r="F73" s="58"/>
      <c r="G73" s="33"/>
      <c r="H73" s="1"/>
      <c r="M73" s="1"/>
      <c r="R73" s="3"/>
    </row>
    <row r="74" spans="1:18" ht="15.75">
      <c r="A74" s="1"/>
      <c r="B74" s="55"/>
      <c r="C74" s="33"/>
      <c r="D74" s="57"/>
      <c r="E74" s="58"/>
      <c r="F74" s="58"/>
      <c r="G74" s="33"/>
      <c r="H74" s="1"/>
      <c r="M74" s="1"/>
      <c r="R74" s="3"/>
    </row>
    <row r="75" spans="1:18" ht="15.75">
      <c r="A75" s="1"/>
      <c r="B75" s="55"/>
      <c r="C75" s="33"/>
      <c r="D75" s="57"/>
      <c r="E75" s="58"/>
      <c r="F75" s="58"/>
      <c r="G75" s="33"/>
      <c r="H75" s="1"/>
      <c r="M75" s="1"/>
      <c r="R75" s="3"/>
    </row>
    <row r="76" spans="1:18" ht="15.75">
      <c r="A76" s="1"/>
      <c r="B76" s="55"/>
      <c r="C76" s="33"/>
      <c r="D76" s="57"/>
      <c r="E76" s="58"/>
      <c r="F76" s="58"/>
      <c r="G76" s="33"/>
      <c r="H76" s="1"/>
      <c r="M76" s="1"/>
      <c r="R76" s="3"/>
    </row>
    <row r="77" spans="1:18" ht="15.75">
      <c r="A77" s="1"/>
      <c r="B77" s="55"/>
      <c r="C77" s="33"/>
      <c r="D77" s="57"/>
      <c r="E77" s="58"/>
      <c r="F77" s="58"/>
      <c r="G77" s="33"/>
      <c r="H77" s="1"/>
      <c r="M77" s="1"/>
      <c r="R77" s="3"/>
    </row>
    <row r="78" spans="1:18" ht="15.75">
      <c r="A78" s="1"/>
      <c r="B78" s="55"/>
      <c r="C78" s="33"/>
      <c r="D78" s="57"/>
      <c r="E78" s="58"/>
      <c r="F78" s="58"/>
      <c r="G78" s="33"/>
      <c r="H78" s="1"/>
      <c r="M78" s="1"/>
      <c r="R78" s="3"/>
    </row>
    <row r="79" spans="1:18" ht="16.5" thickBot="1">
      <c r="A79" s="1"/>
      <c r="B79" s="56"/>
      <c r="C79" s="34"/>
      <c r="D79" s="56"/>
      <c r="E79" s="59"/>
      <c r="F79" s="59"/>
      <c r="G79" s="34"/>
      <c r="H79" s="1"/>
      <c r="M79" s="1"/>
      <c r="R79" s="3"/>
    </row>
    <row r="80" spans="1:18" ht="16.5" thickBot="1">
      <c r="A80" s="1"/>
      <c r="B80" s="56">
        <f>SUM(B66:B79)</f>
        <v>150</v>
      </c>
      <c r="C80" s="34" t="s">
        <v>66</v>
      </c>
      <c r="D80" s="56">
        <f>SUM(D66:D79)</f>
        <v>151.19</v>
      </c>
      <c r="E80" s="56">
        <f>SUM(E66:E79)</f>
        <v>10</v>
      </c>
      <c r="F80" s="56">
        <f>SUM(F66:F79)</f>
        <v>0</v>
      </c>
      <c r="G80" s="34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89" t="str">
        <f>'2018'!A24</f>
        <v>Transportes</v>
      </c>
      <c r="C82" s="290"/>
      <c r="D82" s="290"/>
      <c r="E82" s="290"/>
      <c r="F82" s="290"/>
      <c r="G82" s="291"/>
      <c r="H82" s="1"/>
      <c r="M82" s="1"/>
      <c r="R82" s="3"/>
    </row>
    <row r="83" spans="1:18" ht="16.149999999999999" customHeight="1" thickBot="1">
      <c r="A83" s="1"/>
      <c r="B83" s="292"/>
      <c r="C83" s="293"/>
      <c r="D83" s="293"/>
      <c r="E83" s="293"/>
      <c r="F83" s="293"/>
      <c r="G83" s="294"/>
      <c r="H83" s="1"/>
      <c r="M83" s="1"/>
      <c r="R83" s="3"/>
    </row>
    <row r="84" spans="1:18" ht="15.75">
      <c r="A84" s="1"/>
      <c r="B84" s="297" t="s">
        <v>10</v>
      </c>
      <c r="C84" s="296"/>
      <c r="D84" s="295" t="s">
        <v>11</v>
      </c>
      <c r="E84" s="295"/>
      <c r="F84" s="295"/>
      <c r="G84" s="296"/>
      <c r="H84" s="1"/>
      <c r="M84" s="1"/>
      <c r="R84" s="3"/>
    </row>
    <row r="85" spans="1:18" ht="15.75">
      <c r="A85" s="1"/>
      <c r="B85" s="52" t="s">
        <v>32</v>
      </c>
      <c r="C85" s="60" t="s">
        <v>33</v>
      </c>
      <c r="D85" s="52" t="s">
        <v>68</v>
      </c>
      <c r="E85" s="53" t="s">
        <v>69</v>
      </c>
      <c r="F85" s="53" t="s">
        <v>32</v>
      </c>
      <c r="G85" s="60" t="s">
        <v>33</v>
      </c>
      <c r="H85" s="1"/>
      <c r="M85" s="1"/>
      <c r="R85" s="3"/>
    </row>
    <row r="86" spans="1:18" ht="15.75">
      <c r="A86" s="1"/>
      <c r="B86" s="54">
        <v>150</v>
      </c>
      <c r="C86" s="36" t="s">
        <v>51</v>
      </c>
      <c r="D86" s="57">
        <f>48.73+46.36+45.09</f>
        <v>140.18</v>
      </c>
      <c r="E86" s="58"/>
      <c r="F86" s="58"/>
      <c r="G86" s="33" t="s">
        <v>52</v>
      </c>
      <c r="H86" s="1"/>
      <c r="M86" s="1"/>
      <c r="R86" s="3"/>
    </row>
    <row r="87" spans="1:18" ht="15.75">
      <c r="A87" s="1"/>
      <c r="B87" s="55"/>
      <c r="C87" s="33"/>
      <c r="D87" s="57"/>
      <c r="E87" s="58"/>
      <c r="F87" s="58"/>
      <c r="G87" s="33" t="s">
        <v>53</v>
      </c>
      <c r="H87" s="1"/>
      <c r="M87" s="1"/>
      <c r="R87" s="3"/>
    </row>
    <row r="88" spans="1:18" ht="15.75">
      <c r="A88" s="1"/>
      <c r="B88" s="55"/>
      <c r="C88" s="33"/>
      <c r="D88" s="57"/>
      <c r="E88" s="58"/>
      <c r="F88" s="58"/>
      <c r="G88" s="33" t="s">
        <v>54</v>
      </c>
      <c r="H88" s="1"/>
      <c r="M88" s="1"/>
      <c r="R88" s="3"/>
    </row>
    <row r="89" spans="1:18" ht="15.75">
      <c r="A89" s="1"/>
      <c r="B89" s="55"/>
      <c r="C89" s="33"/>
      <c r="D89" s="57"/>
      <c r="E89" s="58"/>
      <c r="F89" s="58"/>
      <c r="G89" s="33" t="s">
        <v>90</v>
      </c>
      <c r="H89" s="1"/>
      <c r="M89" s="1"/>
      <c r="R89" s="3"/>
    </row>
    <row r="90" spans="1:18" ht="15.75">
      <c r="A90" s="1"/>
      <c r="B90" s="55"/>
      <c r="C90" s="33"/>
      <c r="D90" s="57"/>
      <c r="E90" s="58">
        <f>6.16+12</f>
        <v>18.16</v>
      </c>
      <c r="F90" s="58"/>
      <c r="G90" s="33" t="s">
        <v>203</v>
      </c>
      <c r="H90" s="1"/>
      <c r="M90" s="1"/>
      <c r="R90" s="3"/>
    </row>
    <row r="91" spans="1:18" ht="15.75">
      <c r="A91" s="1"/>
      <c r="B91" s="55"/>
      <c r="C91" s="33"/>
      <c r="D91" s="57"/>
      <c r="E91" s="58"/>
      <c r="F91" s="58"/>
      <c r="G91" s="33"/>
      <c r="H91" s="1"/>
      <c r="M91" s="1"/>
      <c r="R91" s="3"/>
    </row>
    <row r="92" spans="1:18" ht="15.75">
      <c r="A92" s="1"/>
      <c r="B92" s="55"/>
      <c r="C92" s="33"/>
      <c r="D92" s="57"/>
      <c r="E92" s="58"/>
      <c r="F92" s="58"/>
      <c r="G92" s="33"/>
      <c r="H92" s="1"/>
      <c r="M92" s="1"/>
      <c r="R92" s="3"/>
    </row>
    <row r="93" spans="1:18" ht="15.75">
      <c r="A93" s="1"/>
      <c r="B93" s="55"/>
      <c r="C93" s="33"/>
      <c r="D93" s="57"/>
      <c r="E93" s="58"/>
      <c r="F93" s="58"/>
      <c r="G93" s="33"/>
      <c r="H93" s="1"/>
      <c r="M93" s="1"/>
      <c r="R93" s="3"/>
    </row>
    <row r="94" spans="1:18" ht="15.75">
      <c r="A94" s="1"/>
      <c r="B94" s="55"/>
      <c r="C94" s="33"/>
      <c r="D94" s="57"/>
      <c r="E94" s="58"/>
      <c r="F94" s="58"/>
      <c r="G94" s="33"/>
      <c r="H94" s="1"/>
      <c r="M94" s="1"/>
      <c r="R94" s="3"/>
    </row>
    <row r="95" spans="1:18" ht="15.75">
      <c r="A95" s="1"/>
      <c r="B95" s="55"/>
      <c r="C95" s="33"/>
      <c r="D95" s="57"/>
      <c r="E95" s="58"/>
      <c r="F95" s="58"/>
      <c r="G95" s="33"/>
      <c r="H95" s="1"/>
      <c r="M95" s="1"/>
      <c r="R95" s="3"/>
    </row>
    <row r="96" spans="1:18" ht="15.75">
      <c r="A96" s="1"/>
      <c r="B96" s="55"/>
      <c r="C96" s="33"/>
      <c r="D96" s="57"/>
      <c r="E96" s="58"/>
      <c r="F96" s="58"/>
      <c r="G96" s="33"/>
      <c r="H96" s="1"/>
      <c r="M96" s="1"/>
      <c r="R96" s="3"/>
    </row>
    <row r="97" spans="1:18" ht="15.75">
      <c r="A97" s="1"/>
      <c r="B97" s="55"/>
      <c r="C97" s="33"/>
      <c r="D97" s="57"/>
      <c r="E97" s="58"/>
      <c r="F97" s="58"/>
      <c r="G97" s="33"/>
      <c r="H97" s="1"/>
      <c r="M97" s="1"/>
      <c r="R97" s="3"/>
    </row>
    <row r="98" spans="1:18" ht="15.75">
      <c r="A98" s="1"/>
      <c r="B98" s="55"/>
      <c r="C98" s="33"/>
      <c r="D98" s="57"/>
      <c r="E98" s="58"/>
      <c r="F98" s="58"/>
      <c r="G98" s="33"/>
      <c r="H98" s="1"/>
      <c r="M98" s="1"/>
      <c r="R98" s="3"/>
    </row>
    <row r="99" spans="1:18" ht="16.5" thickBot="1">
      <c r="A99" s="1"/>
      <c r="B99" s="56"/>
      <c r="C99" s="34"/>
      <c r="D99" s="56"/>
      <c r="E99" s="59"/>
      <c r="F99" s="59"/>
      <c r="G99" s="34"/>
      <c r="H99" s="1"/>
      <c r="M99" s="1"/>
      <c r="R99" s="3"/>
    </row>
    <row r="100" spans="1:18" ht="16.5" thickBot="1">
      <c r="A100" s="1"/>
      <c r="B100" s="56">
        <f>SUM(B86:B99)</f>
        <v>150</v>
      </c>
      <c r="C100" s="34" t="s">
        <v>66</v>
      </c>
      <c r="D100" s="56">
        <f>SUM(D86:D99)</f>
        <v>140.18</v>
      </c>
      <c r="E100" s="56">
        <f>SUM(E86:E99)</f>
        <v>18.16</v>
      </c>
      <c r="F100" s="56">
        <f>SUM(F86:F99)</f>
        <v>0</v>
      </c>
      <c r="G100" s="34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89" t="str">
        <f>'2018'!A25</f>
        <v>Coche</v>
      </c>
      <c r="C102" s="290"/>
      <c r="D102" s="290"/>
      <c r="E102" s="290"/>
      <c r="F102" s="290"/>
      <c r="G102" s="291"/>
      <c r="H102" s="1"/>
      <c r="M102" s="1"/>
      <c r="R102" s="3"/>
    </row>
    <row r="103" spans="1:18" ht="16.149999999999999" customHeight="1" thickBot="1">
      <c r="A103" s="1"/>
      <c r="B103" s="292"/>
      <c r="C103" s="293"/>
      <c r="D103" s="293"/>
      <c r="E103" s="293"/>
      <c r="F103" s="293"/>
      <c r="G103" s="294"/>
      <c r="H103" s="1"/>
      <c r="M103" s="1"/>
      <c r="R103" s="3"/>
    </row>
    <row r="104" spans="1:18" ht="15.75">
      <c r="A104" s="1"/>
      <c r="B104" s="297" t="s">
        <v>10</v>
      </c>
      <c r="C104" s="296"/>
      <c r="D104" s="295" t="s">
        <v>11</v>
      </c>
      <c r="E104" s="295"/>
      <c r="F104" s="295"/>
      <c r="G104" s="296"/>
      <c r="H104" s="1"/>
      <c r="M104" s="1"/>
      <c r="R104" s="3"/>
    </row>
    <row r="105" spans="1:18" ht="15.75">
      <c r="A105" s="1"/>
      <c r="B105" s="52" t="s">
        <v>32</v>
      </c>
      <c r="C105" s="60" t="s">
        <v>33</v>
      </c>
      <c r="D105" s="52" t="s">
        <v>68</v>
      </c>
      <c r="E105" s="53" t="s">
        <v>69</v>
      </c>
      <c r="F105" s="53" t="s">
        <v>32</v>
      </c>
      <c r="G105" s="60" t="s">
        <v>33</v>
      </c>
      <c r="H105" s="1"/>
      <c r="M105" s="1"/>
      <c r="R105" s="3"/>
    </row>
    <row r="106" spans="1:18" ht="15.75">
      <c r="A106" s="1"/>
      <c r="B106" s="54">
        <v>260</v>
      </c>
      <c r="C106" s="35" t="s">
        <v>55</v>
      </c>
      <c r="D106" s="57">
        <v>258.47000000000003</v>
      </c>
      <c r="E106" s="58"/>
      <c r="F106" s="58"/>
      <c r="G106" s="70" t="s">
        <v>55</v>
      </c>
      <c r="H106" s="1"/>
      <c r="M106" s="1"/>
      <c r="R106" s="3"/>
    </row>
    <row r="107" spans="1:18" ht="15.75">
      <c r="A107" s="1"/>
      <c r="B107" s="55">
        <v>71</v>
      </c>
      <c r="C107" s="35" t="s">
        <v>56</v>
      </c>
      <c r="D107" s="57">
        <v>70.349999999999994</v>
      </c>
      <c r="E107" s="58"/>
      <c r="F107" s="58"/>
      <c r="G107" s="70" t="s">
        <v>56</v>
      </c>
      <c r="H107" s="1"/>
      <c r="M107" s="1"/>
      <c r="R107" s="3"/>
    </row>
    <row r="108" spans="1:18" ht="15.75">
      <c r="A108" s="1"/>
      <c r="B108" s="55">
        <v>69</v>
      </c>
      <c r="C108" s="35" t="s">
        <v>46</v>
      </c>
      <c r="D108" s="57"/>
      <c r="E108" s="58"/>
      <c r="F108" s="58"/>
      <c r="G108" s="73" t="s">
        <v>88</v>
      </c>
      <c r="H108" s="1"/>
      <c r="M108" s="1"/>
      <c r="R108" s="3"/>
    </row>
    <row r="109" spans="1:18" ht="15.75">
      <c r="A109" s="1"/>
      <c r="B109" s="55"/>
      <c r="C109" s="35"/>
      <c r="D109" s="57"/>
      <c r="E109" s="58"/>
      <c r="F109" s="58"/>
      <c r="G109" s="70" t="s">
        <v>89</v>
      </c>
      <c r="H109" s="1"/>
      <c r="M109" s="1"/>
      <c r="R109" s="3"/>
    </row>
    <row r="110" spans="1:18" ht="15.75">
      <c r="A110" s="1"/>
      <c r="B110" s="55"/>
      <c r="C110" s="35"/>
      <c r="D110" s="57"/>
      <c r="E110" s="58"/>
      <c r="F110" s="58"/>
      <c r="G110" s="70"/>
      <c r="H110" s="1"/>
      <c r="M110" s="1"/>
      <c r="R110" s="3"/>
    </row>
    <row r="111" spans="1:18" ht="15.75">
      <c r="A111" s="1"/>
      <c r="B111" s="55"/>
      <c r="C111" s="66"/>
      <c r="D111" s="57"/>
      <c r="E111" s="58"/>
      <c r="F111" s="58"/>
      <c r="G111" s="73"/>
      <c r="H111" s="1"/>
      <c r="M111" s="1"/>
      <c r="R111" s="3"/>
    </row>
    <row r="112" spans="1:18" ht="15.75">
      <c r="A112" s="1"/>
      <c r="B112" s="55"/>
      <c r="C112" s="71"/>
      <c r="D112" s="57"/>
      <c r="E112" s="58"/>
      <c r="F112" s="58"/>
      <c r="G112" s="70"/>
      <c r="H112" s="1"/>
      <c r="M112" s="1"/>
      <c r="R112" s="3"/>
    </row>
    <row r="113" spans="1:18" ht="15.75">
      <c r="A113" s="1"/>
      <c r="B113" s="55"/>
      <c r="C113" s="72"/>
      <c r="D113" s="57"/>
      <c r="E113" s="58"/>
      <c r="F113" s="58"/>
      <c r="G113" s="70"/>
      <c r="H113" s="1"/>
      <c r="M113" s="1"/>
      <c r="R113" s="3"/>
    </row>
    <row r="114" spans="1:18" ht="15.75">
      <c r="A114" s="1"/>
      <c r="B114" s="55"/>
      <c r="C114" s="71"/>
      <c r="D114" s="57"/>
      <c r="E114" s="58"/>
      <c r="F114" s="58"/>
      <c r="G114" s="70"/>
      <c r="H114" s="1"/>
      <c r="M114" s="1"/>
      <c r="R114" s="3"/>
    </row>
    <row r="115" spans="1:18" ht="15.75">
      <c r="A115" s="1"/>
      <c r="B115" s="55"/>
      <c r="C115" s="66"/>
      <c r="D115" s="57"/>
      <c r="E115" s="58"/>
      <c r="F115" s="58"/>
      <c r="G115" s="33"/>
      <c r="H115" s="1"/>
      <c r="M115" s="1"/>
      <c r="R115" s="3"/>
    </row>
    <row r="116" spans="1:18" ht="15.75">
      <c r="A116" s="1"/>
      <c r="B116" s="55"/>
      <c r="C116" s="35"/>
      <c r="D116" s="57"/>
      <c r="E116" s="58"/>
      <c r="F116" s="58"/>
      <c r="G116" s="33"/>
      <c r="H116" s="1"/>
      <c r="M116" s="1"/>
      <c r="R116" s="3"/>
    </row>
    <row r="117" spans="1:18" ht="15.75">
      <c r="A117" s="1"/>
      <c r="B117" s="55"/>
      <c r="C117" s="35"/>
      <c r="D117" s="57"/>
      <c r="E117" s="58"/>
      <c r="F117" s="58"/>
      <c r="G117" s="33"/>
      <c r="H117" s="1"/>
      <c r="M117" s="1"/>
      <c r="R117" s="3"/>
    </row>
    <row r="118" spans="1:18" ht="15.75">
      <c r="A118" s="1"/>
      <c r="B118" s="55"/>
      <c r="C118" s="35"/>
      <c r="D118" s="57"/>
      <c r="E118" s="58"/>
      <c r="F118" s="58"/>
      <c r="G118" s="33"/>
      <c r="H118" s="1"/>
      <c r="M118" s="1"/>
      <c r="R118" s="3"/>
    </row>
    <row r="119" spans="1:18" ht="16.5" thickBot="1">
      <c r="A119" s="1"/>
      <c r="B119" s="56"/>
      <c r="C119" s="37"/>
      <c r="D119" s="56"/>
      <c r="E119" s="59"/>
      <c r="F119" s="59"/>
      <c r="G119" s="34"/>
      <c r="H119" s="1"/>
      <c r="M119" s="1"/>
      <c r="R119" s="3"/>
    </row>
    <row r="120" spans="1:18" ht="16.5" thickBot="1">
      <c r="A120" s="1"/>
      <c r="B120" s="56">
        <f>SUM(B106:B119)</f>
        <v>400</v>
      </c>
      <c r="C120" s="34" t="s">
        <v>66</v>
      </c>
      <c r="D120" s="56">
        <f>SUM(D106:D119)</f>
        <v>328.82000000000005</v>
      </c>
      <c r="E120" s="56">
        <f>SUM(E106:E119)</f>
        <v>0</v>
      </c>
      <c r="F120" s="56">
        <f>SUM(F106:F119)</f>
        <v>0</v>
      </c>
      <c r="G120" s="34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89" t="str">
        <f>'2018'!A26</f>
        <v>Teléfono</v>
      </c>
      <c r="C122" s="290"/>
      <c r="D122" s="290"/>
      <c r="E122" s="290"/>
      <c r="F122" s="290"/>
      <c r="G122" s="291"/>
      <c r="H122" s="1"/>
      <c r="M122" s="1"/>
      <c r="R122" s="3"/>
    </row>
    <row r="123" spans="1:18" ht="16.149999999999999" customHeight="1" thickBot="1">
      <c r="A123" s="1"/>
      <c r="B123" s="292"/>
      <c r="C123" s="293"/>
      <c r="D123" s="293"/>
      <c r="E123" s="293"/>
      <c r="F123" s="293"/>
      <c r="G123" s="294"/>
      <c r="H123" s="1"/>
      <c r="M123" s="1"/>
      <c r="R123" s="3"/>
    </row>
    <row r="124" spans="1:18" ht="15.75">
      <c r="A124" s="1"/>
      <c r="B124" s="297" t="s">
        <v>10</v>
      </c>
      <c r="C124" s="296"/>
      <c r="D124" s="295" t="s">
        <v>11</v>
      </c>
      <c r="E124" s="295"/>
      <c r="F124" s="295"/>
      <c r="G124" s="296"/>
      <c r="H124" s="1"/>
      <c r="M124" s="1"/>
      <c r="R124" s="3"/>
    </row>
    <row r="125" spans="1:18" ht="15.75">
      <c r="A125" s="1"/>
      <c r="B125" s="52" t="s">
        <v>32</v>
      </c>
      <c r="C125" s="60" t="s">
        <v>33</v>
      </c>
      <c r="D125" s="52" t="s">
        <v>68</v>
      </c>
      <c r="E125" s="53" t="s">
        <v>69</v>
      </c>
      <c r="F125" s="53" t="s">
        <v>32</v>
      </c>
      <c r="G125" s="60" t="s">
        <v>33</v>
      </c>
      <c r="H125" s="1"/>
      <c r="M125" s="1"/>
      <c r="R125" s="3"/>
    </row>
    <row r="126" spans="1:18" ht="15.75">
      <c r="A126" s="1"/>
      <c r="B126" s="54">
        <v>27.5</v>
      </c>
      <c r="C126" s="36" t="s">
        <v>57</v>
      </c>
      <c r="D126" s="57">
        <v>27.5</v>
      </c>
      <c r="E126" s="58"/>
      <c r="F126" s="58"/>
      <c r="G126" s="33" t="s">
        <v>57</v>
      </c>
      <c r="H126" s="1"/>
      <c r="M126" s="1"/>
      <c r="R126" s="3"/>
    </row>
    <row r="127" spans="1:18" ht="15.75">
      <c r="A127" s="1"/>
      <c r="B127" s="55">
        <f>20</f>
        <v>20</v>
      </c>
      <c r="C127" s="33" t="s">
        <v>58</v>
      </c>
      <c r="D127" s="57">
        <f>10</f>
        <v>10</v>
      </c>
      <c r="E127" s="58"/>
      <c r="F127" s="58"/>
      <c r="G127" s="33" t="s">
        <v>58</v>
      </c>
      <c r="H127" s="1"/>
      <c r="M127" s="1"/>
      <c r="R127" s="3"/>
    </row>
    <row r="128" spans="1:18" ht="15.75">
      <c r="A128" s="1"/>
      <c r="B128" s="55"/>
      <c r="C128" s="33"/>
      <c r="D128" s="57"/>
      <c r="E128" s="58"/>
      <c r="F128" s="58"/>
      <c r="G128" s="33"/>
      <c r="H128" s="1"/>
      <c r="M128" s="1"/>
      <c r="R128" s="3"/>
    </row>
    <row r="129" spans="1:18" ht="15.75">
      <c r="A129" s="1"/>
      <c r="B129" s="55"/>
      <c r="C129" s="33"/>
      <c r="D129" s="57"/>
      <c r="E129" s="58"/>
      <c r="F129" s="58"/>
      <c r="G129" s="33"/>
      <c r="H129" s="1"/>
      <c r="M129" s="1"/>
      <c r="R129" s="3"/>
    </row>
    <row r="130" spans="1:18" ht="15.75">
      <c r="A130" s="1"/>
      <c r="B130" s="55"/>
      <c r="C130" s="33"/>
      <c r="D130" s="57"/>
      <c r="E130" s="58"/>
      <c r="F130" s="58"/>
      <c r="G130" s="33"/>
      <c r="H130" s="1"/>
      <c r="M130" s="1"/>
      <c r="R130" s="3"/>
    </row>
    <row r="131" spans="1:18" ht="15.75">
      <c r="A131" s="1"/>
      <c r="B131" s="55"/>
      <c r="C131" s="33"/>
      <c r="D131" s="57"/>
      <c r="E131" s="58"/>
      <c r="F131" s="58"/>
      <c r="G131" s="33"/>
      <c r="H131" s="1"/>
      <c r="M131" s="1"/>
      <c r="R131" s="3"/>
    </row>
    <row r="132" spans="1:18" ht="15.75">
      <c r="A132" s="1"/>
      <c r="B132" s="55"/>
      <c r="C132" s="33"/>
      <c r="D132" s="57"/>
      <c r="E132" s="58"/>
      <c r="F132" s="58"/>
      <c r="G132" s="33"/>
      <c r="H132" s="1"/>
      <c r="M132" s="1"/>
      <c r="R132" s="3"/>
    </row>
    <row r="133" spans="1:18" ht="15.75">
      <c r="A133" s="1"/>
      <c r="B133" s="55"/>
      <c r="C133" s="33"/>
      <c r="D133" s="57"/>
      <c r="E133" s="58"/>
      <c r="F133" s="58"/>
      <c r="G133" s="33"/>
      <c r="H133" s="1"/>
      <c r="M133" s="1"/>
      <c r="R133" s="3"/>
    </row>
    <row r="134" spans="1:18" ht="15.75">
      <c r="A134" s="1"/>
      <c r="B134" s="55"/>
      <c r="C134" s="33"/>
      <c r="D134" s="57"/>
      <c r="E134" s="58"/>
      <c r="F134" s="58"/>
      <c r="G134" s="33"/>
      <c r="H134" s="1"/>
      <c r="M134" s="1"/>
      <c r="R134" s="3"/>
    </row>
    <row r="135" spans="1:18" ht="15.75">
      <c r="A135" s="1"/>
      <c r="B135" s="55"/>
      <c r="C135" s="33"/>
      <c r="D135" s="57"/>
      <c r="E135" s="58"/>
      <c r="F135" s="58"/>
      <c r="G135" s="33"/>
      <c r="H135" s="1"/>
      <c r="M135" s="1"/>
      <c r="R135" s="3"/>
    </row>
    <row r="136" spans="1:18" ht="15.75">
      <c r="A136" s="1"/>
      <c r="B136" s="55"/>
      <c r="C136" s="33"/>
      <c r="D136" s="57"/>
      <c r="E136" s="58"/>
      <c r="F136" s="58"/>
      <c r="G136" s="33"/>
      <c r="H136" s="1"/>
      <c r="M136" s="1"/>
      <c r="R136" s="3"/>
    </row>
    <row r="137" spans="1:18" ht="15.75">
      <c r="A137" s="1"/>
      <c r="B137" s="55"/>
      <c r="C137" s="33"/>
      <c r="D137" s="57"/>
      <c r="E137" s="58"/>
      <c r="F137" s="58"/>
      <c r="G137" s="33"/>
      <c r="H137" s="1"/>
      <c r="M137" s="1"/>
      <c r="R137" s="3"/>
    </row>
    <row r="138" spans="1:18" ht="15.75">
      <c r="A138" s="1"/>
      <c r="B138" s="55"/>
      <c r="C138" s="33"/>
      <c r="D138" s="57"/>
      <c r="E138" s="58"/>
      <c r="F138" s="58"/>
      <c r="G138" s="33"/>
      <c r="H138" s="1"/>
      <c r="M138" s="1"/>
      <c r="R138" s="3"/>
    </row>
    <row r="139" spans="1:18" ht="16.5" thickBot="1">
      <c r="A139" s="1"/>
      <c r="B139" s="56"/>
      <c r="C139" s="34"/>
      <c r="D139" s="56"/>
      <c r="E139" s="59"/>
      <c r="F139" s="59"/>
      <c r="G139" s="34"/>
      <c r="H139" s="1"/>
      <c r="M139" s="1"/>
      <c r="R139" s="3"/>
    </row>
    <row r="140" spans="1:18" ht="16.5" thickBot="1">
      <c r="A140" s="1"/>
      <c r="B140" s="56">
        <f>SUM(B126:B139)</f>
        <v>47.5</v>
      </c>
      <c r="C140" s="34" t="s">
        <v>66</v>
      </c>
      <c r="D140" s="56">
        <f>SUM(D126:D139)</f>
        <v>37.5</v>
      </c>
      <c r="E140" s="56">
        <f>SUM(E126:E139)</f>
        <v>0</v>
      </c>
      <c r="F140" s="56">
        <f>SUM(F126:F139)</f>
        <v>0</v>
      </c>
      <c r="G140" s="34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89" t="str">
        <f>'2018'!A27</f>
        <v>Gatos</v>
      </c>
      <c r="C142" s="290"/>
      <c r="D142" s="290"/>
      <c r="E142" s="290"/>
      <c r="F142" s="290"/>
      <c r="G142" s="291"/>
      <c r="H142" s="1"/>
      <c r="M142" s="1"/>
      <c r="R142" s="3"/>
    </row>
    <row r="143" spans="1:18" ht="16.149999999999999" customHeight="1" thickBot="1">
      <c r="A143" s="1"/>
      <c r="B143" s="292"/>
      <c r="C143" s="293"/>
      <c r="D143" s="293"/>
      <c r="E143" s="293"/>
      <c r="F143" s="293"/>
      <c r="G143" s="294"/>
      <c r="H143" s="1"/>
      <c r="M143" s="1"/>
      <c r="R143" s="3"/>
    </row>
    <row r="144" spans="1:18" ht="15.75">
      <c r="A144" s="1"/>
      <c r="B144" s="297" t="s">
        <v>10</v>
      </c>
      <c r="C144" s="296"/>
      <c r="D144" s="295" t="s">
        <v>11</v>
      </c>
      <c r="E144" s="295"/>
      <c r="F144" s="295"/>
      <c r="G144" s="296"/>
      <c r="H144" s="1"/>
      <c r="M144" s="1"/>
      <c r="R144" s="3"/>
    </row>
    <row r="145" spans="1:22" ht="15.75">
      <c r="A145" s="1"/>
      <c r="B145" s="52" t="s">
        <v>32</v>
      </c>
      <c r="C145" s="60" t="s">
        <v>33</v>
      </c>
      <c r="D145" s="52" t="s">
        <v>68</v>
      </c>
      <c r="E145" s="53" t="s">
        <v>69</v>
      </c>
      <c r="F145" s="53" t="s">
        <v>32</v>
      </c>
      <c r="G145" s="60" t="s">
        <v>33</v>
      </c>
      <c r="H145" s="1"/>
      <c r="M145" s="1"/>
      <c r="R145" s="3"/>
    </row>
    <row r="146" spans="1:22" ht="15.75">
      <c r="A146" s="1"/>
      <c r="B146" s="54">
        <v>60</v>
      </c>
      <c r="C146" s="36" t="s">
        <v>43</v>
      </c>
      <c r="D146" s="57">
        <f>29</f>
        <v>29</v>
      </c>
      <c r="E146" s="58"/>
      <c r="F146" s="58"/>
      <c r="G146" s="33" t="s">
        <v>48</v>
      </c>
      <c r="H146" s="1"/>
      <c r="M146" s="1"/>
      <c r="R146" s="3"/>
    </row>
    <row r="147" spans="1:22" ht="15.75">
      <c r="A147" s="1"/>
      <c r="B147" s="55"/>
      <c r="C147" s="33"/>
      <c r="D147" s="57">
        <f>15.38</f>
        <v>15.38</v>
      </c>
      <c r="E147" s="58"/>
      <c r="F147" s="58"/>
      <c r="G147" s="33" t="s">
        <v>61</v>
      </c>
      <c r="H147" s="1"/>
      <c r="M147" s="1"/>
      <c r="R147" s="3"/>
    </row>
    <row r="148" spans="1:22" ht="15.75">
      <c r="A148" s="1"/>
      <c r="B148" s="55"/>
      <c r="C148" s="33"/>
      <c r="D148" s="57"/>
      <c r="E148" s="58"/>
      <c r="F148" s="58"/>
      <c r="G148" s="33" t="s">
        <v>47</v>
      </c>
      <c r="H148" s="1"/>
      <c r="M148" s="1"/>
      <c r="R148" s="3"/>
    </row>
    <row r="149" spans="1:22" ht="15.75">
      <c r="A149" s="1"/>
      <c r="B149" s="55"/>
      <c r="C149" s="33"/>
      <c r="D149" s="57"/>
      <c r="E149" s="58"/>
      <c r="F149" s="58"/>
      <c r="G149" s="33"/>
      <c r="H149" s="1"/>
      <c r="M149" s="1"/>
      <c r="R149" s="3"/>
    </row>
    <row r="150" spans="1:22" ht="15.75">
      <c r="A150" s="1"/>
      <c r="B150" s="55"/>
      <c r="C150" s="33"/>
      <c r="D150" s="57"/>
      <c r="E150" s="58"/>
      <c r="F150" s="58"/>
      <c r="G150" s="33"/>
      <c r="H150" s="1"/>
      <c r="M150" s="1"/>
      <c r="R150" s="3"/>
    </row>
    <row r="151" spans="1:22" ht="15.75">
      <c r="A151" s="1"/>
      <c r="B151" s="55"/>
      <c r="C151" s="33"/>
      <c r="D151" s="57"/>
      <c r="E151" s="58"/>
      <c r="F151" s="58"/>
      <c r="G151" s="33"/>
      <c r="H151" s="1"/>
      <c r="M151" s="1"/>
      <c r="R151" s="3"/>
    </row>
    <row r="152" spans="1:22" ht="15.75">
      <c r="A152" s="1"/>
      <c r="B152" s="55"/>
      <c r="C152" s="33"/>
      <c r="D152" s="57"/>
      <c r="E152" s="58"/>
      <c r="F152" s="58"/>
      <c r="G152" s="33"/>
      <c r="H152" s="1"/>
      <c r="M152" s="1"/>
      <c r="R152" s="3"/>
    </row>
    <row r="153" spans="1:22" ht="15.75">
      <c r="A153" s="1"/>
      <c r="B153" s="55"/>
      <c r="C153" s="33"/>
      <c r="D153" s="57"/>
      <c r="E153" s="58"/>
      <c r="F153" s="58"/>
      <c r="G153" s="33"/>
      <c r="H153" s="1"/>
      <c r="M153" s="1"/>
      <c r="R153" s="3"/>
    </row>
    <row r="154" spans="1:22" ht="15.75">
      <c r="A154" s="1"/>
      <c r="B154" s="55"/>
      <c r="C154" s="33"/>
      <c r="D154" s="57"/>
      <c r="E154" s="58"/>
      <c r="F154" s="58"/>
      <c r="G154" s="33"/>
      <c r="H154" s="1"/>
      <c r="M154" s="1"/>
      <c r="R154" s="3"/>
    </row>
    <row r="155" spans="1:22" ht="15.75">
      <c r="A155" s="1"/>
      <c r="B155" s="55"/>
      <c r="C155" s="33"/>
      <c r="D155" s="57"/>
      <c r="E155" s="58"/>
      <c r="F155" s="58"/>
      <c r="G155" s="33"/>
      <c r="H155" s="1"/>
      <c r="M155" s="1"/>
      <c r="R155" s="3"/>
    </row>
    <row r="156" spans="1:22" ht="15.75">
      <c r="A156" s="1"/>
      <c r="B156" s="55"/>
      <c r="C156" s="33"/>
      <c r="D156" s="57"/>
      <c r="E156" s="58"/>
      <c r="F156" s="58"/>
      <c r="G156" s="33"/>
      <c r="H156" s="1"/>
      <c r="M156" s="1"/>
      <c r="R156" s="3"/>
    </row>
    <row r="157" spans="1:22" ht="15.75">
      <c r="A157" s="1"/>
      <c r="B157" s="55"/>
      <c r="C157" s="33"/>
      <c r="D157" s="57"/>
      <c r="E157" s="58"/>
      <c r="F157" s="58"/>
      <c r="G157" s="33"/>
      <c r="H157" s="1"/>
      <c r="M157" s="1"/>
      <c r="R157" s="3"/>
    </row>
    <row r="158" spans="1:22" ht="15.75">
      <c r="A158" s="1"/>
      <c r="B158" s="55"/>
      <c r="C158" s="33"/>
      <c r="D158" s="57"/>
      <c r="E158" s="58"/>
      <c r="F158" s="58"/>
      <c r="G158" s="33"/>
      <c r="H158" s="1"/>
      <c r="M158" s="1"/>
      <c r="R158" s="3"/>
    </row>
    <row r="159" spans="1:22" ht="16.5" thickBot="1">
      <c r="A159" s="1"/>
      <c r="B159" s="56"/>
      <c r="C159" s="34"/>
      <c r="D159" s="56"/>
      <c r="E159" s="59"/>
      <c r="F159" s="59"/>
      <c r="G159" s="34"/>
      <c r="H159" s="1"/>
      <c r="M159" s="1"/>
      <c r="R159" s="3"/>
    </row>
    <row r="160" spans="1:22" ht="16.5" thickBot="1">
      <c r="A160" s="1"/>
      <c r="B160" s="56">
        <f>SUM(B146:B159)</f>
        <v>60</v>
      </c>
      <c r="C160" s="34" t="s">
        <v>66</v>
      </c>
      <c r="D160" s="56">
        <f>SUM(D146:D159)</f>
        <v>44.38</v>
      </c>
      <c r="E160" s="56">
        <f>SUM(E146:E159)</f>
        <v>0</v>
      </c>
      <c r="F160" s="56">
        <f>SUM(F146:F159)</f>
        <v>0</v>
      </c>
      <c r="G160" s="34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89" t="str">
        <f>'2018'!A28</f>
        <v>Vacaciones</v>
      </c>
      <c r="C162" s="290"/>
      <c r="D162" s="290"/>
      <c r="E162" s="290"/>
      <c r="F162" s="290"/>
      <c r="G162" s="29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92"/>
      <c r="C163" s="293"/>
      <c r="D163" s="293"/>
      <c r="E163" s="293"/>
      <c r="F163" s="293"/>
      <c r="G163" s="294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97" t="s">
        <v>10</v>
      </c>
      <c r="C164" s="296"/>
      <c r="D164" s="295" t="s">
        <v>11</v>
      </c>
      <c r="E164" s="295"/>
      <c r="F164" s="295"/>
      <c r="G164" s="29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52" t="s">
        <v>32</v>
      </c>
      <c r="C165" s="60" t="s">
        <v>33</v>
      </c>
      <c r="D165" s="52" t="s">
        <v>68</v>
      </c>
      <c r="E165" s="53" t="s">
        <v>69</v>
      </c>
      <c r="F165" s="53" t="s">
        <v>32</v>
      </c>
      <c r="G165" s="60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54">
        <v>200</v>
      </c>
      <c r="C166" s="36" t="s">
        <v>36</v>
      </c>
      <c r="D166" s="57">
        <v>365.12</v>
      </c>
      <c r="E166" s="58"/>
      <c r="F166" s="58"/>
      <c r="G166" s="33" t="s">
        <v>211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55">
        <v>700</v>
      </c>
      <c r="C167" s="33" t="s">
        <v>241</v>
      </c>
      <c r="D167" s="57"/>
      <c r="E167" s="58"/>
      <c r="F167" s="58">
        <f>78</f>
        <v>78</v>
      </c>
      <c r="G167" s="33" t="s">
        <v>244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55"/>
      <c r="C168" s="33"/>
      <c r="D168" s="57"/>
      <c r="E168" s="58"/>
      <c r="F168" s="58">
        <v>50</v>
      </c>
      <c r="G168" s="33" t="s">
        <v>245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55"/>
      <c r="C169" s="33"/>
      <c r="D169" s="57">
        <f>14+11.3+3.95</f>
        <v>29.25</v>
      </c>
      <c r="E169" s="58"/>
      <c r="F169" s="58"/>
      <c r="G169" s="33" t="s">
        <v>252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55"/>
      <c r="C170" s="33"/>
      <c r="D170" s="57">
        <v>383.95</v>
      </c>
      <c r="E170" s="58"/>
      <c r="F170" s="58"/>
      <c r="G170" s="33" t="s">
        <v>253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55"/>
      <c r="C171" s="33"/>
      <c r="D171" s="57">
        <v>80</v>
      </c>
      <c r="E171" s="58"/>
      <c r="F171" s="58"/>
      <c r="G171" s="33" t="s">
        <v>258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55"/>
      <c r="C172" s="33"/>
      <c r="D172" s="57"/>
      <c r="E172" s="58">
        <f>71.1</f>
        <v>71.099999999999994</v>
      </c>
      <c r="F172" s="58"/>
      <c r="G172" s="33" t="s">
        <v>268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55"/>
      <c r="C173" s="33"/>
      <c r="D173" s="57"/>
      <c r="E173" s="58"/>
      <c r="F173" s="58"/>
      <c r="G173" s="33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55"/>
      <c r="C174" s="33"/>
      <c r="D174" s="57"/>
      <c r="E174" s="58"/>
      <c r="F174" s="58"/>
      <c r="G174" s="33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55"/>
      <c r="C175" s="33"/>
      <c r="D175" s="57"/>
      <c r="E175" s="58"/>
      <c r="F175" s="58"/>
      <c r="G175" s="33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55"/>
      <c r="C176" s="33"/>
      <c r="D176" s="57"/>
      <c r="E176" s="58"/>
      <c r="F176" s="58"/>
      <c r="G176" s="33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55"/>
      <c r="C177" s="33"/>
      <c r="D177" s="57"/>
      <c r="E177" s="58"/>
      <c r="F177" s="58"/>
      <c r="G177" s="33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55"/>
      <c r="C178" s="33"/>
      <c r="D178" s="57"/>
      <c r="E178" s="58"/>
      <c r="F178" s="58"/>
      <c r="G178" s="33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56"/>
      <c r="C179" s="34"/>
      <c r="D179" s="56"/>
      <c r="E179" s="59"/>
      <c r="F179" s="59"/>
      <c r="G179" s="34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56">
        <f>SUM(B166:B179)</f>
        <v>900</v>
      </c>
      <c r="C180" s="34" t="s">
        <v>66</v>
      </c>
      <c r="D180" s="56">
        <f>SUM(D166:D179)</f>
        <v>858.31999999999994</v>
      </c>
      <c r="E180" s="56">
        <f>SUM(E166:E179)</f>
        <v>71.099999999999994</v>
      </c>
      <c r="F180" s="56">
        <f>SUM(F166:F179)</f>
        <v>128</v>
      </c>
      <c r="G180" s="34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89" t="str">
        <f>'2018'!A29</f>
        <v>Ropa</v>
      </c>
      <c r="C182" s="290"/>
      <c r="D182" s="290"/>
      <c r="E182" s="290"/>
      <c r="F182" s="290"/>
      <c r="G182" s="29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92"/>
      <c r="C183" s="293"/>
      <c r="D183" s="293"/>
      <c r="E183" s="293"/>
      <c r="F183" s="293"/>
      <c r="G183" s="294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97" t="s">
        <v>10</v>
      </c>
      <c r="C184" s="296"/>
      <c r="D184" s="295" t="s">
        <v>11</v>
      </c>
      <c r="E184" s="295"/>
      <c r="F184" s="295"/>
      <c r="G184" s="29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52" t="s">
        <v>32</v>
      </c>
      <c r="C185" s="60" t="s">
        <v>33</v>
      </c>
      <c r="D185" s="52" t="s">
        <v>68</v>
      </c>
      <c r="E185" s="53" t="s">
        <v>69</v>
      </c>
      <c r="F185" s="53" t="s">
        <v>32</v>
      </c>
      <c r="G185" s="60" t="s">
        <v>33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54">
        <v>50</v>
      </c>
      <c r="C186" s="36" t="s">
        <v>43</v>
      </c>
      <c r="D186" s="57">
        <f>6</f>
        <v>6</v>
      </c>
      <c r="E186" s="58"/>
      <c r="F186" s="58"/>
      <c r="G186" s="33" t="s">
        <v>232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55"/>
      <c r="C187" s="33"/>
      <c r="D187" s="57">
        <v>25.75</v>
      </c>
      <c r="E187" s="58"/>
      <c r="F187" s="58"/>
      <c r="G187" s="33" t="s">
        <v>226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55"/>
      <c r="C188" s="33"/>
      <c r="D188" s="57">
        <v>32.5</v>
      </c>
      <c r="E188" s="58"/>
      <c r="F188" s="58"/>
      <c r="G188" s="33" t="s">
        <v>227</v>
      </c>
    </row>
    <row r="189" spans="1:22">
      <c r="B189" s="55"/>
      <c r="C189" s="33"/>
      <c r="D189" s="57"/>
      <c r="E189" s="58">
        <f>60</f>
        <v>60</v>
      </c>
      <c r="F189" s="58"/>
      <c r="G189" s="33" t="s">
        <v>229</v>
      </c>
    </row>
    <row r="190" spans="1:22">
      <c r="B190" s="55"/>
      <c r="C190" s="33"/>
      <c r="D190" s="57">
        <f>11.4</f>
        <v>11.4</v>
      </c>
      <c r="E190" s="58"/>
      <c r="F190" s="58"/>
      <c r="G190" s="33" t="s">
        <v>233</v>
      </c>
    </row>
    <row r="191" spans="1:22">
      <c r="B191" s="55"/>
      <c r="C191" s="33"/>
      <c r="D191" s="57">
        <f>25.98</f>
        <v>25.98</v>
      </c>
      <c r="E191" s="58"/>
      <c r="F191" s="58"/>
      <c r="G191" s="33" t="s">
        <v>235</v>
      </c>
    </row>
    <row r="192" spans="1:22">
      <c r="B192" s="55"/>
      <c r="C192" s="33"/>
      <c r="D192" s="57"/>
      <c r="E192" s="58"/>
      <c r="F192" s="58">
        <v>5</v>
      </c>
      <c r="G192" s="33" t="s">
        <v>246</v>
      </c>
    </row>
    <row r="193" spans="2:7">
      <c r="B193" s="55"/>
      <c r="C193" s="33"/>
      <c r="D193" s="57">
        <v>51.9</v>
      </c>
      <c r="E193" s="58"/>
      <c r="F193" s="58"/>
      <c r="G193" s="33" t="s">
        <v>255</v>
      </c>
    </row>
    <row r="194" spans="2:7">
      <c r="B194" s="55"/>
      <c r="C194" s="33"/>
      <c r="D194" s="57"/>
      <c r="E194" s="58"/>
      <c r="F194" s="58"/>
      <c r="G194" s="33"/>
    </row>
    <row r="195" spans="2:7">
      <c r="B195" s="55"/>
      <c r="C195" s="33"/>
      <c r="D195" s="57"/>
      <c r="E195" s="58"/>
      <c r="F195" s="58"/>
      <c r="G195" s="33"/>
    </row>
    <row r="196" spans="2:7">
      <c r="B196" s="55"/>
      <c r="C196" s="33"/>
      <c r="D196" s="57"/>
      <c r="E196" s="58"/>
      <c r="F196" s="58"/>
      <c r="G196" s="33"/>
    </row>
    <row r="197" spans="2:7">
      <c r="B197" s="55"/>
      <c r="C197" s="33"/>
      <c r="D197" s="57"/>
      <c r="E197" s="58"/>
      <c r="F197" s="58"/>
      <c r="G197" s="33"/>
    </row>
    <row r="198" spans="2:7">
      <c r="B198" s="55"/>
      <c r="C198" s="33"/>
      <c r="D198" s="57"/>
      <c r="E198" s="58"/>
      <c r="F198" s="58"/>
      <c r="G198" s="33"/>
    </row>
    <row r="199" spans="2:7" ht="15.75" thickBot="1">
      <c r="B199" s="56"/>
      <c r="C199" s="34"/>
      <c r="D199" s="56"/>
      <c r="E199" s="59"/>
      <c r="F199" s="59"/>
      <c r="G199" s="34"/>
    </row>
    <row r="200" spans="2:7" ht="15.75" thickBot="1">
      <c r="B200" s="56">
        <f>SUM(B186:B199)</f>
        <v>50</v>
      </c>
      <c r="C200" s="34" t="s">
        <v>66</v>
      </c>
      <c r="D200" s="56">
        <f>SUM(D186:D199)</f>
        <v>153.53</v>
      </c>
      <c r="E200" s="56">
        <f>SUM(E186:E199)</f>
        <v>60</v>
      </c>
      <c r="F200" s="56">
        <f>SUM(F186:F199)</f>
        <v>5</v>
      </c>
      <c r="G200" s="34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89" t="str">
        <f>'2018'!A30</f>
        <v>Belleza</v>
      </c>
      <c r="C202" s="290"/>
      <c r="D202" s="290"/>
      <c r="E202" s="290"/>
      <c r="F202" s="290"/>
      <c r="G202" s="291"/>
    </row>
    <row r="203" spans="2:7" ht="15" customHeight="1" thickBot="1">
      <c r="B203" s="292"/>
      <c r="C203" s="293"/>
      <c r="D203" s="293"/>
      <c r="E203" s="293"/>
      <c r="F203" s="293"/>
      <c r="G203" s="294"/>
    </row>
    <row r="204" spans="2:7">
      <c r="B204" s="297" t="s">
        <v>10</v>
      </c>
      <c r="C204" s="296"/>
      <c r="D204" s="295" t="s">
        <v>11</v>
      </c>
      <c r="E204" s="295"/>
      <c r="F204" s="295"/>
      <c r="G204" s="296"/>
    </row>
    <row r="205" spans="2:7">
      <c r="B205" s="52" t="s">
        <v>32</v>
      </c>
      <c r="C205" s="60" t="s">
        <v>33</v>
      </c>
      <c r="D205" s="52" t="s">
        <v>68</v>
      </c>
      <c r="E205" s="53" t="s">
        <v>69</v>
      </c>
      <c r="F205" s="53" t="s">
        <v>32</v>
      </c>
      <c r="G205" s="60" t="s">
        <v>33</v>
      </c>
    </row>
    <row r="206" spans="2:7">
      <c r="B206" s="54">
        <v>35</v>
      </c>
      <c r="C206" s="36"/>
      <c r="D206" s="57">
        <f>11.48</f>
        <v>11.48</v>
      </c>
      <c r="E206" s="58"/>
      <c r="F206" s="58"/>
      <c r="G206" s="33" t="s">
        <v>96</v>
      </c>
    </row>
    <row r="207" spans="2:7">
      <c r="B207" s="55"/>
      <c r="C207" s="33"/>
      <c r="D207" s="57"/>
      <c r="E207" s="58"/>
      <c r="F207" s="58">
        <v>45</v>
      </c>
      <c r="G207" s="33" t="s">
        <v>243</v>
      </c>
    </row>
    <row r="208" spans="2:7">
      <c r="B208" s="55"/>
      <c r="C208" s="33"/>
      <c r="D208" s="57">
        <f>26.95+19.5</f>
        <v>46.45</v>
      </c>
      <c r="E208" s="58"/>
      <c r="F208" s="58"/>
      <c r="G208" s="33" t="s">
        <v>260</v>
      </c>
    </row>
    <row r="209" spans="2:7">
      <c r="B209" s="55"/>
      <c r="C209" s="33"/>
      <c r="D209" s="57">
        <v>19.440000000000001</v>
      </c>
      <c r="E209" s="58"/>
      <c r="F209" s="58"/>
      <c r="G209" s="33" t="s">
        <v>97</v>
      </c>
    </row>
    <row r="210" spans="2:7">
      <c r="B210" s="55"/>
      <c r="C210" s="33"/>
      <c r="D210" s="57"/>
      <c r="E210" s="58"/>
      <c r="F210" s="58"/>
      <c r="G210" s="33"/>
    </row>
    <row r="211" spans="2:7">
      <c r="B211" s="55"/>
      <c r="C211" s="33"/>
      <c r="D211" s="57"/>
      <c r="E211" s="58"/>
      <c r="F211" s="58"/>
      <c r="G211" s="33"/>
    </row>
    <row r="212" spans="2:7">
      <c r="B212" s="55"/>
      <c r="C212" s="33"/>
      <c r="D212" s="57"/>
      <c r="E212" s="58"/>
      <c r="F212" s="58"/>
      <c r="G212" s="33"/>
    </row>
    <row r="213" spans="2:7">
      <c r="B213" s="55"/>
      <c r="C213" s="33"/>
      <c r="D213" s="57"/>
      <c r="E213" s="58"/>
      <c r="F213" s="58"/>
      <c r="G213" s="33"/>
    </row>
    <row r="214" spans="2:7">
      <c r="B214" s="55"/>
      <c r="C214" s="33"/>
      <c r="D214" s="57"/>
      <c r="E214" s="58"/>
      <c r="F214" s="58"/>
      <c r="G214" s="33"/>
    </row>
    <row r="215" spans="2:7">
      <c r="B215" s="55"/>
      <c r="C215" s="33"/>
      <c r="D215" s="57"/>
      <c r="E215" s="58"/>
      <c r="F215" s="58"/>
      <c r="G215" s="33"/>
    </row>
    <row r="216" spans="2:7">
      <c r="B216" s="55"/>
      <c r="C216" s="33"/>
      <c r="D216" s="57"/>
      <c r="E216" s="58"/>
      <c r="F216" s="58"/>
      <c r="G216" s="33"/>
    </row>
    <row r="217" spans="2:7">
      <c r="B217" s="55"/>
      <c r="C217" s="33"/>
      <c r="D217" s="57"/>
      <c r="E217" s="58"/>
      <c r="F217" s="58"/>
      <c r="G217" s="33"/>
    </row>
    <row r="218" spans="2:7">
      <c r="B218" s="55"/>
      <c r="C218" s="33"/>
      <c r="D218" s="57"/>
      <c r="E218" s="58"/>
      <c r="F218" s="58"/>
      <c r="G218" s="33"/>
    </row>
    <row r="219" spans="2:7" ht="15.75" thickBot="1">
      <c r="B219" s="56"/>
      <c r="C219" s="34"/>
      <c r="D219" s="56"/>
      <c r="E219" s="59"/>
      <c r="F219" s="59"/>
      <c r="G219" s="34"/>
    </row>
    <row r="220" spans="2:7" ht="15.75" thickBot="1">
      <c r="B220" s="56">
        <f>SUM(B206:B219)</f>
        <v>35</v>
      </c>
      <c r="C220" s="34" t="s">
        <v>66</v>
      </c>
      <c r="D220" s="56">
        <f>SUM(D206:D219)</f>
        <v>77.37</v>
      </c>
      <c r="E220" s="56">
        <f>SUM(E206:E219)</f>
        <v>0</v>
      </c>
      <c r="F220" s="56">
        <f>SUM(F206:F219)</f>
        <v>45</v>
      </c>
      <c r="G220" s="34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89" t="str">
        <f>'2018'!A31</f>
        <v>Deportes</v>
      </c>
      <c r="C222" s="290"/>
      <c r="D222" s="290"/>
      <c r="E222" s="290"/>
      <c r="F222" s="290"/>
      <c r="G222" s="291"/>
    </row>
    <row r="223" spans="2:7" ht="15" customHeight="1" thickBot="1">
      <c r="B223" s="292"/>
      <c r="C223" s="293"/>
      <c r="D223" s="293"/>
      <c r="E223" s="293"/>
      <c r="F223" s="293"/>
      <c r="G223" s="294"/>
    </row>
    <row r="224" spans="2:7">
      <c r="B224" s="297" t="s">
        <v>10</v>
      </c>
      <c r="C224" s="296"/>
      <c r="D224" s="295" t="s">
        <v>11</v>
      </c>
      <c r="E224" s="295"/>
      <c r="F224" s="295"/>
      <c r="G224" s="296"/>
    </row>
    <row r="225" spans="2:7">
      <c r="B225" s="52" t="s">
        <v>32</v>
      </c>
      <c r="C225" s="60" t="s">
        <v>33</v>
      </c>
      <c r="D225" s="52" t="s">
        <v>68</v>
      </c>
      <c r="E225" s="53" t="s">
        <v>69</v>
      </c>
      <c r="F225" s="53" t="s">
        <v>32</v>
      </c>
      <c r="G225" s="60" t="s">
        <v>33</v>
      </c>
    </row>
    <row r="226" spans="2:7">
      <c r="B226" s="54">
        <v>20</v>
      </c>
      <c r="C226" s="36" t="s">
        <v>50</v>
      </c>
      <c r="D226" s="57">
        <v>20</v>
      </c>
      <c r="E226" s="58"/>
      <c r="F226" s="58"/>
      <c r="G226" s="33" t="s">
        <v>50</v>
      </c>
    </row>
    <row r="227" spans="2:7">
      <c r="B227" s="55">
        <v>45</v>
      </c>
      <c r="C227" s="33" t="s">
        <v>102</v>
      </c>
      <c r="D227" s="57"/>
      <c r="E227" s="58"/>
      <c r="F227" s="58">
        <v>120</v>
      </c>
      <c r="G227" s="33" t="s">
        <v>228</v>
      </c>
    </row>
    <row r="228" spans="2:7">
      <c r="B228" s="55">
        <v>5</v>
      </c>
      <c r="C228" s="33" t="s">
        <v>46</v>
      </c>
      <c r="D228" s="57"/>
      <c r="E228" s="58"/>
      <c r="F228" s="58"/>
      <c r="G228" s="33"/>
    </row>
    <row r="229" spans="2:7">
      <c r="B229" s="55"/>
      <c r="C229" s="33"/>
      <c r="D229" s="57"/>
      <c r="E229" s="58"/>
      <c r="F229" s="58"/>
      <c r="G229" s="33"/>
    </row>
    <row r="230" spans="2:7">
      <c r="B230" s="55"/>
      <c r="C230" s="33"/>
      <c r="D230" s="57"/>
      <c r="E230" s="58"/>
      <c r="F230" s="58"/>
      <c r="G230" s="33"/>
    </row>
    <row r="231" spans="2:7">
      <c r="B231" s="55"/>
      <c r="C231" s="33"/>
      <c r="D231" s="57"/>
      <c r="E231" s="58"/>
      <c r="F231" s="58"/>
      <c r="G231" s="33"/>
    </row>
    <row r="232" spans="2:7">
      <c r="B232" s="55"/>
      <c r="C232" s="33"/>
      <c r="D232" s="57"/>
      <c r="E232" s="58"/>
      <c r="F232" s="58"/>
      <c r="G232" s="33"/>
    </row>
    <row r="233" spans="2:7">
      <c r="B233" s="55"/>
      <c r="C233" s="33"/>
      <c r="D233" s="57"/>
      <c r="E233" s="58"/>
      <c r="F233" s="58"/>
      <c r="G233" s="33"/>
    </row>
    <row r="234" spans="2:7">
      <c r="B234" s="55"/>
      <c r="C234" s="33"/>
      <c r="D234" s="57"/>
      <c r="E234" s="58"/>
      <c r="F234" s="58"/>
      <c r="G234" s="33"/>
    </row>
    <row r="235" spans="2:7">
      <c r="B235" s="55"/>
      <c r="C235" s="33"/>
      <c r="D235" s="57"/>
      <c r="E235" s="58"/>
      <c r="F235" s="58"/>
      <c r="G235" s="33"/>
    </row>
    <row r="236" spans="2:7">
      <c r="B236" s="55"/>
      <c r="C236" s="33"/>
      <c r="D236" s="57"/>
      <c r="E236" s="58"/>
      <c r="F236" s="58"/>
      <c r="G236" s="33"/>
    </row>
    <row r="237" spans="2:7">
      <c r="B237" s="55"/>
      <c r="C237" s="33"/>
      <c r="D237" s="57"/>
      <c r="E237" s="58"/>
      <c r="F237" s="58"/>
      <c r="G237" s="33"/>
    </row>
    <row r="238" spans="2:7">
      <c r="B238" s="55"/>
      <c r="C238" s="33"/>
      <c r="D238" s="57"/>
      <c r="E238" s="58"/>
      <c r="F238" s="58"/>
      <c r="G238" s="33"/>
    </row>
    <row r="239" spans="2:7" ht="15.75" thickBot="1">
      <c r="B239" s="56"/>
      <c r="C239" s="34"/>
      <c r="D239" s="56"/>
      <c r="E239" s="59"/>
      <c r="F239" s="59"/>
      <c r="G239" s="34"/>
    </row>
    <row r="240" spans="2:7" ht="15.75" thickBot="1">
      <c r="B240" s="56">
        <f>SUM(B226:B239)</f>
        <v>70</v>
      </c>
      <c r="C240" s="34" t="s">
        <v>66</v>
      </c>
      <c r="D240" s="56">
        <f>SUM(D226:D239)</f>
        <v>20</v>
      </c>
      <c r="E240" s="56">
        <f>SUM(E226:E239)</f>
        <v>0</v>
      </c>
      <c r="F240" s="56">
        <f>SUM(F226:F239)</f>
        <v>120</v>
      </c>
      <c r="G240" s="34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89" t="str">
        <f>'2018'!A32</f>
        <v>Hogar</v>
      </c>
      <c r="C242" s="290"/>
      <c r="D242" s="290"/>
      <c r="E242" s="290"/>
      <c r="F242" s="290"/>
      <c r="G242" s="291"/>
    </row>
    <row r="243" spans="2:7" ht="15" customHeight="1" thickBot="1">
      <c r="B243" s="292"/>
      <c r="C243" s="293"/>
      <c r="D243" s="293"/>
      <c r="E243" s="293"/>
      <c r="F243" s="293"/>
      <c r="G243" s="294"/>
    </row>
    <row r="244" spans="2:7" ht="15" customHeight="1">
      <c r="B244" s="297" t="s">
        <v>10</v>
      </c>
      <c r="C244" s="296"/>
      <c r="D244" s="295" t="s">
        <v>11</v>
      </c>
      <c r="E244" s="295"/>
      <c r="F244" s="295"/>
      <c r="G244" s="296"/>
    </row>
    <row r="245" spans="2:7" ht="15" customHeight="1">
      <c r="B245" s="52" t="s">
        <v>32</v>
      </c>
      <c r="C245" s="60" t="s">
        <v>33</v>
      </c>
      <c r="D245" s="52" t="s">
        <v>68</v>
      </c>
      <c r="E245" s="53" t="s">
        <v>69</v>
      </c>
      <c r="F245" s="53" t="s">
        <v>32</v>
      </c>
      <c r="G245" s="60" t="s">
        <v>33</v>
      </c>
    </row>
    <row r="246" spans="2:7" ht="15" customHeight="1">
      <c r="B246" s="55">
        <v>50</v>
      </c>
      <c r="C246" s="66"/>
      <c r="D246" s="57"/>
      <c r="E246" s="58"/>
      <c r="F246" s="58"/>
      <c r="G246" s="33" t="s">
        <v>47</v>
      </c>
    </row>
    <row r="247" spans="2:7" ht="15" customHeight="1">
      <c r="B247" s="55"/>
      <c r="C247" s="33"/>
      <c r="D247" s="57"/>
      <c r="E247" s="58"/>
      <c r="F247" s="58"/>
      <c r="G247" s="33" t="s">
        <v>98</v>
      </c>
    </row>
    <row r="248" spans="2:7">
      <c r="B248" s="55"/>
      <c r="C248" s="33"/>
      <c r="D248" s="57"/>
      <c r="E248" s="58"/>
      <c r="F248" s="58"/>
      <c r="G248" s="33" t="s">
        <v>120</v>
      </c>
    </row>
    <row r="249" spans="2:7">
      <c r="B249" s="55"/>
      <c r="C249" s="33"/>
      <c r="D249" s="57">
        <f>151.88</f>
        <v>151.88</v>
      </c>
      <c r="E249" s="58"/>
      <c r="F249" s="58"/>
      <c r="G249" s="33" t="s">
        <v>205</v>
      </c>
    </row>
    <row r="250" spans="2:7">
      <c r="B250" s="55"/>
      <c r="C250" s="33"/>
      <c r="D250" s="57">
        <f>15.5</f>
        <v>15.5</v>
      </c>
      <c r="E250" s="58"/>
      <c r="F250" s="58"/>
      <c r="G250" s="33" t="s">
        <v>238</v>
      </c>
    </row>
    <row r="251" spans="2:7">
      <c r="B251" s="55"/>
      <c r="C251" s="33"/>
      <c r="D251" s="57"/>
      <c r="E251" s="58"/>
      <c r="F251" s="58"/>
      <c r="G251" s="33"/>
    </row>
    <row r="252" spans="2:7">
      <c r="B252" s="55"/>
      <c r="C252" s="33"/>
      <c r="D252" s="57"/>
      <c r="E252" s="58"/>
      <c r="F252" s="58"/>
      <c r="G252" s="33"/>
    </row>
    <row r="253" spans="2:7">
      <c r="B253" s="55"/>
      <c r="C253" s="33"/>
      <c r="D253" s="57"/>
      <c r="E253" s="58"/>
      <c r="F253" s="58"/>
      <c r="G253" s="33"/>
    </row>
    <row r="254" spans="2:7">
      <c r="B254" s="55"/>
      <c r="C254" s="33"/>
      <c r="D254" s="57"/>
      <c r="E254" s="58"/>
      <c r="F254" s="58"/>
      <c r="G254" s="33"/>
    </row>
    <row r="255" spans="2:7">
      <c r="B255" s="55"/>
      <c r="C255" s="33"/>
      <c r="D255" s="57"/>
      <c r="E255" s="58"/>
      <c r="F255" s="58"/>
      <c r="G255" s="33"/>
    </row>
    <row r="256" spans="2:7">
      <c r="B256" s="55"/>
      <c r="C256" s="33"/>
      <c r="D256" s="57"/>
      <c r="E256" s="58"/>
      <c r="F256" s="58"/>
      <c r="G256" s="33"/>
    </row>
    <row r="257" spans="2:7">
      <c r="B257" s="55"/>
      <c r="C257" s="33"/>
      <c r="D257" s="57"/>
      <c r="E257" s="58"/>
      <c r="F257" s="58"/>
      <c r="G257" s="33"/>
    </row>
    <row r="258" spans="2:7">
      <c r="B258" s="55"/>
      <c r="C258" s="33"/>
      <c r="D258" s="57"/>
      <c r="E258" s="58"/>
      <c r="F258" s="58"/>
      <c r="G258" s="33"/>
    </row>
    <row r="259" spans="2:7" ht="15.75" thickBot="1">
      <c r="B259" s="56"/>
      <c r="C259" s="34"/>
      <c r="D259" s="56"/>
      <c r="E259" s="59"/>
      <c r="F259" s="59"/>
      <c r="G259" s="34"/>
    </row>
    <row r="260" spans="2:7" ht="15.75" thickBot="1">
      <c r="B260" s="56">
        <f>SUM(B246:B259)</f>
        <v>50</v>
      </c>
      <c r="C260" s="34" t="s">
        <v>66</v>
      </c>
      <c r="D260" s="56">
        <f>SUM(D246:D259)</f>
        <v>167.38</v>
      </c>
      <c r="E260" s="56">
        <f>SUM(E246:E259)</f>
        <v>0</v>
      </c>
      <c r="F260" s="56">
        <f>SUM(F246:F259)</f>
        <v>0</v>
      </c>
      <c r="G260" s="34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89" t="str">
        <f>'2018'!A33</f>
        <v>Formación</v>
      </c>
      <c r="C262" s="290"/>
      <c r="D262" s="290"/>
      <c r="E262" s="290"/>
      <c r="F262" s="290"/>
      <c r="G262" s="291"/>
    </row>
    <row r="263" spans="2:7" ht="15" customHeight="1" thickBot="1">
      <c r="B263" s="292"/>
      <c r="C263" s="293"/>
      <c r="D263" s="293"/>
      <c r="E263" s="293"/>
      <c r="F263" s="293"/>
      <c r="G263" s="294"/>
    </row>
    <row r="264" spans="2:7">
      <c r="B264" s="297" t="s">
        <v>10</v>
      </c>
      <c r="C264" s="296"/>
      <c r="D264" s="295" t="s">
        <v>11</v>
      </c>
      <c r="E264" s="295"/>
      <c r="F264" s="295"/>
      <c r="G264" s="296"/>
    </row>
    <row r="265" spans="2:7">
      <c r="B265" s="52" t="s">
        <v>32</v>
      </c>
      <c r="C265" s="60" t="s">
        <v>33</v>
      </c>
      <c r="D265" s="52" t="s">
        <v>68</v>
      </c>
      <c r="E265" s="53" t="s">
        <v>69</v>
      </c>
      <c r="F265" s="53" t="s">
        <v>32</v>
      </c>
      <c r="G265" s="60" t="s">
        <v>33</v>
      </c>
    </row>
    <row r="266" spans="2:7">
      <c r="B266" s="54">
        <v>10</v>
      </c>
      <c r="C266" s="36"/>
      <c r="D266" s="57"/>
      <c r="E266" s="58"/>
      <c r="F266" s="58"/>
      <c r="G266" s="33"/>
    </row>
    <row r="267" spans="2:7">
      <c r="B267" s="55"/>
      <c r="C267" s="33"/>
      <c r="D267" s="57"/>
      <c r="E267" s="58"/>
      <c r="F267" s="58"/>
      <c r="G267" s="33"/>
    </row>
    <row r="268" spans="2:7">
      <c r="B268" s="55"/>
      <c r="C268" s="33"/>
      <c r="D268" s="57"/>
      <c r="E268" s="58"/>
      <c r="F268" s="58"/>
      <c r="G268" s="33"/>
    </row>
    <row r="269" spans="2:7">
      <c r="B269" s="55"/>
      <c r="C269" s="33"/>
      <c r="D269" s="57"/>
      <c r="E269" s="58"/>
      <c r="F269" s="58"/>
      <c r="G269" s="33"/>
    </row>
    <row r="270" spans="2:7">
      <c r="B270" s="55"/>
      <c r="C270" s="33"/>
      <c r="D270" s="57"/>
      <c r="E270" s="58"/>
      <c r="F270" s="58"/>
      <c r="G270" s="33"/>
    </row>
    <row r="271" spans="2:7">
      <c r="B271" s="55"/>
      <c r="C271" s="33"/>
      <c r="D271" s="57"/>
      <c r="E271" s="58"/>
      <c r="F271" s="58"/>
      <c r="G271" s="33"/>
    </row>
    <row r="272" spans="2:7">
      <c r="B272" s="55"/>
      <c r="C272" s="33"/>
      <c r="D272" s="57"/>
      <c r="E272" s="58"/>
      <c r="F272" s="58"/>
      <c r="G272" s="33"/>
    </row>
    <row r="273" spans="2:8">
      <c r="B273" s="55"/>
      <c r="C273" s="33"/>
      <c r="D273" s="57"/>
      <c r="E273" s="58"/>
      <c r="F273" s="58"/>
      <c r="G273" s="33"/>
    </row>
    <row r="274" spans="2:8">
      <c r="B274" s="55"/>
      <c r="C274" s="33"/>
      <c r="D274" s="57"/>
      <c r="E274" s="58"/>
      <c r="F274" s="58"/>
      <c r="G274" s="33"/>
    </row>
    <row r="275" spans="2:8">
      <c r="B275" s="55"/>
      <c r="C275" s="33"/>
      <c r="D275" s="57"/>
      <c r="E275" s="58"/>
      <c r="F275" s="58"/>
      <c r="G275" s="33"/>
    </row>
    <row r="276" spans="2:8">
      <c r="B276" s="55"/>
      <c r="C276" s="33"/>
      <c r="D276" s="57"/>
      <c r="E276" s="58"/>
      <c r="F276" s="58"/>
      <c r="G276" s="33"/>
    </row>
    <row r="277" spans="2:8">
      <c r="B277" s="55"/>
      <c r="C277" s="33"/>
      <c r="D277" s="57"/>
      <c r="E277" s="58"/>
      <c r="F277" s="58"/>
      <c r="G277" s="33"/>
    </row>
    <row r="278" spans="2:8">
      <c r="B278" s="55"/>
      <c r="C278" s="33"/>
      <c r="D278" s="57"/>
      <c r="E278" s="58"/>
      <c r="F278" s="58"/>
      <c r="G278" s="33"/>
    </row>
    <row r="279" spans="2:8" ht="15.75" thickBot="1">
      <c r="B279" s="56"/>
      <c r="C279" s="34"/>
      <c r="D279" s="56"/>
      <c r="E279" s="59"/>
      <c r="F279" s="59"/>
      <c r="G279" s="34"/>
    </row>
    <row r="280" spans="2:8" ht="15.75" thickBot="1">
      <c r="B280" s="56">
        <f>SUM(B266:B279)</f>
        <v>10</v>
      </c>
      <c r="C280" s="34" t="s">
        <v>66</v>
      </c>
      <c r="D280" s="56">
        <f>SUM(D266:D279)</f>
        <v>0</v>
      </c>
      <c r="E280" s="56">
        <f>SUM(E266:E279)</f>
        <v>0</v>
      </c>
      <c r="F280" s="56">
        <f>SUM(F266:F279)</f>
        <v>0</v>
      </c>
      <c r="G280" s="34" t="s">
        <v>66</v>
      </c>
    </row>
    <row r="281" spans="2:8" ht="15.75" thickBot="1">
      <c r="B281" s="3"/>
      <c r="C281" s="3"/>
      <c r="D281" s="3"/>
      <c r="E281" s="3"/>
    </row>
    <row r="282" spans="2:8" ht="14.45" customHeight="1">
      <c r="B282" s="289" t="str">
        <f>'2018'!A34</f>
        <v>Regalos</v>
      </c>
      <c r="C282" s="290"/>
      <c r="D282" s="290"/>
      <c r="E282" s="290"/>
      <c r="F282" s="290"/>
      <c r="G282" s="291"/>
    </row>
    <row r="283" spans="2:8" ht="15" customHeight="1" thickBot="1">
      <c r="B283" s="292"/>
      <c r="C283" s="293"/>
      <c r="D283" s="293"/>
      <c r="E283" s="293"/>
      <c r="F283" s="293"/>
      <c r="G283" s="294"/>
    </row>
    <row r="284" spans="2:8">
      <c r="B284" s="297" t="s">
        <v>10</v>
      </c>
      <c r="C284" s="296"/>
      <c r="D284" s="295" t="s">
        <v>11</v>
      </c>
      <c r="E284" s="295"/>
      <c r="F284" s="295"/>
      <c r="G284" s="296"/>
    </row>
    <row r="285" spans="2:8">
      <c r="B285" s="52" t="s">
        <v>32</v>
      </c>
      <c r="C285" s="60" t="s">
        <v>33</v>
      </c>
      <c r="D285" s="52" t="s">
        <v>68</v>
      </c>
      <c r="E285" s="53" t="s">
        <v>69</v>
      </c>
      <c r="F285" s="53" t="s">
        <v>32</v>
      </c>
      <c r="G285" s="60" t="s">
        <v>33</v>
      </c>
    </row>
    <row r="286" spans="2:8">
      <c r="B286" s="54">
        <v>100</v>
      </c>
      <c r="C286" s="36" t="s">
        <v>36</v>
      </c>
      <c r="D286" s="57"/>
      <c r="E286" s="58">
        <f>22.02+4.79</f>
        <v>26.81</v>
      </c>
      <c r="F286" s="58"/>
      <c r="G286" s="33" t="s">
        <v>218</v>
      </c>
    </row>
    <row r="287" spans="2:8">
      <c r="B287" s="55">
        <v>345</v>
      </c>
      <c r="C287" s="33" t="s">
        <v>214</v>
      </c>
      <c r="D287" s="57">
        <f>116.33+27.98+20</f>
        <v>164.31</v>
      </c>
      <c r="E287" s="58">
        <f>38+43.59</f>
        <v>81.59</v>
      </c>
      <c r="F287" s="58"/>
      <c r="G287" s="33" t="s">
        <v>220</v>
      </c>
      <c r="H287" s="140">
        <f>300-(D287+E287+F287)</f>
        <v>54.099999999999994</v>
      </c>
    </row>
    <row r="288" spans="2:8">
      <c r="B288" s="55">
        <v>449</v>
      </c>
      <c r="C288" s="33" t="s">
        <v>274</v>
      </c>
      <c r="D288" s="57">
        <f>8.98</f>
        <v>8.98</v>
      </c>
      <c r="E288" s="58"/>
      <c r="F288" s="58"/>
      <c r="G288" s="33" t="s">
        <v>221</v>
      </c>
    </row>
    <row r="289" spans="2:8">
      <c r="B289" s="55"/>
      <c r="C289" s="33"/>
      <c r="D289" s="57">
        <f>33.2</f>
        <v>33.200000000000003</v>
      </c>
      <c r="E289" s="58"/>
      <c r="F289" s="58"/>
      <c r="G289" s="33" t="s">
        <v>230</v>
      </c>
    </row>
    <row r="290" spans="2:8">
      <c r="B290" s="55"/>
      <c r="C290" s="33"/>
      <c r="D290" s="57">
        <f>14.6</f>
        <v>14.6</v>
      </c>
      <c r="E290" s="58"/>
      <c r="F290" s="58"/>
      <c r="G290" s="33" t="s">
        <v>234</v>
      </c>
    </row>
    <row r="291" spans="2:8">
      <c r="B291" s="55"/>
      <c r="C291" s="33"/>
      <c r="D291" s="57">
        <f>21.95</f>
        <v>21.95</v>
      </c>
      <c r="E291" s="58"/>
      <c r="F291" s="58"/>
      <c r="G291" s="33" t="s">
        <v>236</v>
      </c>
    </row>
    <row r="292" spans="2:8">
      <c r="B292" s="55"/>
      <c r="C292" s="33"/>
      <c r="D292" s="57">
        <f>26.35+16.8</f>
        <v>43.150000000000006</v>
      </c>
      <c r="E292" s="58"/>
      <c r="F292" s="58"/>
      <c r="G292" s="33" t="s">
        <v>240</v>
      </c>
      <c r="H292" s="140">
        <f>45-(D292+E292+F292)</f>
        <v>1.8499999999999943</v>
      </c>
    </row>
    <row r="293" spans="2:8">
      <c r="B293" s="55"/>
      <c r="C293" s="33"/>
      <c r="D293" s="57">
        <f>(4.69*3)</f>
        <v>14.07</v>
      </c>
      <c r="E293" s="58"/>
      <c r="F293" s="58"/>
      <c r="G293" s="33" t="s">
        <v>47</v>
      </c>
    </row>
    <row r="294" spans="2:8">
      <c r="B294" s="55"/>
      <c r="C294" s="33"/>
      <c r="D294" s="57"/>
      <c r="E294" s="58"/>
      <c r="F294" s="58">
        <v>160</v>
      </c>
      <c r="G294" s="33" t="s">
        <v>248</v>
      </c>
    </row>
    <row r="295" spans="2:8">
      <c r="B295" s="55"/>
      <c r="C295" s="33"/>
      <c r="D295" s="57">
        <f>9.39</f>
        <v>9.39</v>
      </c>
      <c r="E295" s="58"/>
      <c r="F295" s="58"/>
      <c r="G295" s="33" t="s">
        <v>249</v>
      </c>
    </row>
    <row r="296" spans="2:8">
      <c r="B296" s="55"/>
      <c r="C296" s="33"/>
      <c r="D296" s="57">
        <v>449</v>
      </c>
      <c r="E296" s="58"/>
      <c r="F296" s="58"/>
      <c r="G296" s="33" t="s">
        <v>254</v>
      </c>
      <c r="H296" s="140">
        <f>626.6-D296</f>
        <v>177.60000000000002</v>
      </c>
    </row>
    <row r="297" spans="2:8">
      <c r="B297" s="55"/>
      <c r="C297" s="33"/>
      <c r="D297" s="57">
        <v>36.200000000000003</v>
      </c>
      <c r="E297" s="58"/>
      <c r="F297" s="58"/>
      <c r="G297" s="33" t="s">
        <v>257</v>
      </c>
    </row>
    <row r="298" spans="2:8">
      <c r="B298" s="55"/>
      <c r="C298" s="33"/>
      <c r="D298" s="57"/>
      <c r="E298" s="58"/>
      <c r="F298" s="58"/>
      <c r="G298" s="33"/>
    </row>
    <row r="299" spans="2:8" ht="15.75" thickBot="1">
      <c r="B299" s="56"/>
      <c r="C299" s="34"/>
      <c r="D299" s="56"/>
      <c r="E299" s="59"/>
      <c r="F299" s="59"/>
      <c r="G299" s="34"/>
    </row>
    <row r="300" spans="2:8" ht="15.75" thickBot="1">
      <c r="B300" s="56">
        <f>SUM(B286:B299)</f>
        <v>894</v>
      </c>
      <c r="C300" s="34" t="s">
        <v>66</v>
      </c>
      <c r="D300" s="56">
        <f>SUM(D286:D299)</f>
        <v>794.85</v>
      </c>
      <c r="E300" s="56">
        <f>SUM(E286:E299)</f>
        <v>108.4</v>
      </c>
      <c r="F300" s="56">
        <f>SUM(F286:F299)</f>
        <v>160</v>
      </c>
      <c r="G300" s="34" t="s">
        <v>66</v>
      </c>
    </row>
    <row r="301" spans="2:8" ht="15.75" thickBot="1">
      <c r="B301" s="3"/>
      <c r="C301" s="3"/>
      <c r="D301" s="3"/>
      <c r="E301" s="3"/>
    </row>
    <row r="302" spans="2:8" ht="14.45" customHeight="1">
      <c r="B302" s="289" t="str">
        <f>'2018'!A35</f>
        <v>Salud</v>
      </c>
      <c r="C302" s="290"/>
      <c r="D302" s="290"/>
      <c r="E302" s="290"/>
      <c r="F302" s="290"/>
      <c r="G302" s="291"/>
    </row>
    <row r="303" spans="2:8" ht="15" customHeight="1" thickBot="1">
      <c r="B303" s="292"/>
      <c r="C303" s="293"/>
      <c r="D303" s="293"/>
      <c r="E303" s="293"/>
      <c r="F303" s="293"/>
      <c r="G303" s="294"/>
    </row>
    <row r="304" spans="2:8">
      <c r="B304" s="297" t="s">
        <v>10</v>
      </c>
      <c r="C304" s="296"/>
      <c r="D304" s="295" t="s">
        <v>11</v>
      </c>
      <c r="E304" s="295"/>
      <c r="F304" s="295"/>
      <c r="G304" s="296"/>
    </row>
    <row r="305" spans="2:7">
      <c r="B305" s="52" t="s">
        <v>32</v>
      </c>
      <c r="C305" s="60" t="s">
        <v>33</v>
      </c>
      <c r="D305" s="52" t="s">
        <v>68</v>
      </c>
      <c r="E305" s="53" t="s">
        <v>69</v>
      </c>
      <c r="F305" s="53" t="s">
        <v>32</v>
      </c>
      <c r="G305" s="60" t="s">
        <v>33</v>
      </c>
    </row>
    <row r="306" spans="2:7">
      <c r="B306" s="54">
        <v>100</v>
      </c>
      <c r="C306" s="36" t="s">
        <v>60</v>
      </c>
      <c r="D306" s="57">
        <f>35.23</f>
        <v>35.229999999999997</v>
      </c>
      <c r="E306" s="58"/>
      <c r="F306" s="58"/>
      <c r="G306" s="33" t="s">
        <v>216</v>
      </c>
    </row>
    <row r="307" spans="2:7">
      <c r="B307" s="84"/>
      <c r="C307" s="66"/>
      <c r="D307" s="57">
        <f>10.89+37.34-7</f>
        <v>41.230000000000004</v>
      </c>
      <c r="E307" s="58"/>
      <c r="F307" s="58"/>
      <c r="G307" s="33" t="s">
        <v>97</v>
      </c>
    </row>
    <row r="308" spans="2:7">
      <c r="B308" s="84"/>
      <c r="C308" s="66"/>
      <c r="D308" s="57">
        <f>34.5+34.5</f>
        <v>69</v>
      </c>
      <c r="E308" s="58"/>
      <c r="F308" s="58"/>
      <c r="G308" s="33" t="s">
        <v>225</v>
      </c>
    </row>
    <row r="309" spans="2:7">
      <c r="B309" s="55"/>
      <c r="C309" s="33"/>
      <c r="D309" s="57"/>
      <c r="E309" s="58"/>
      <c r="F309" s="58">
        <f>50</f>
        <v>50</v>
      </c>
      <c r="G309" s="33" t="s">
        <v>239</v>
      </c>
    </row>
    <row r="310" spans="2:7">
      <c r="B310" s="55"/>
      <c r="C310" s="33"/>
      <c r="D310" s="57"/>
      <c r="E310" s="58"/>
      <c r="F310" s="58">
        <f>62</f>
        <v>62</v>
      </c>
      <c r="G310" s="33" t="s">
        <v>269</v>
      </c>
    </row>
    <row r="311" spans="2:7">
      <c r="B311" s="55"/>
      <c r="C311" s="33"/>
      <c r="D311" s="57"/>
      <c r="E311" s="58"/>
      <c r="F311" s="58"/>
      <c r="G311" s="33"/>
    </row>
    <row r="312" spans="2:7">
      <c r="B312" s="55"/>
      <c r="C312" s="33"/>
      <c r="D312" s="57"/>
      <c r="E312" s="58"/>
      <c r="F312" s="58"/>
      <c r="G312" s="33"/>
    </row>
    <row r="313" spans="2:7">
      <c r="B313" s="55"/>
      <c r="C313" s="33"/>
      <c r="D313" s="57"/>
      <c r="E313" s="58"/>
      <c r="F313" s="58"/>
      <c r="G313" s="33"/>
    </row>
    <row r="314" spans="2:7">
      <c r="B314" s="55"/>
      <c r="C314" s="33"/>
      <c r="D314" s="57"/>
      <c r="E314" s="58"/>
      <c r="F314" s="58"/>
      <c r="G314" s="33"/>
    </row>
    <row r="315" spans="2:7">
      <c r="B315" s="55"/>
      <c r="C315" s="33"/>
      <c r="D315" s="57"/>
      <c r="E315" s="58"/>
      <c r="F315" s="58"/>
      <c r="G315" s="33"/>
    </row>
    <row r="316" spans="2:7">
      <c r="B316" s="55"/>
      <c r="C316" s="33"/>
      <c r="D316" s="57"/>
      <c r="E316" s="58"/>
      <c r="F316" s="58"/>
      <c r="G316" s="33"/>
    </row>
    <row r="317" spans="2:7">
      <c r="B317" s="55"/>
      <c r="C317" s="33"/>
      <c r="D317" s="57"/>
      <c r="E317" s="58"/>
      <c r="F317" s="58"/>
      <c r="G317" s="33"/>
    </row>
    <row r="318" spans="2:7">
      <c r="B318" s="55"/>
      <c r="C318" s="33"/>
      <c r="D318" s="57"/>
      <c r="E318" s="58"/>
      <c r="F318" s="58"/>
      <c r="G318" s="33"/>
    </row>
    <row r="319" spans="2:7" ht="15.75" thickBot="1">
      <c r="B319" s="56"/>
      <c r="C319" s="34"/>
      <c r="D319" s="56"/>
      <c r="E319" s="59"/>
      <c r="F319" s="59"/>
      <c r="G319" s="34"/>
    </row>
    <row r="320" spans="2:7" ht="15.75" thickBot="1">
      <c r="B320" s="56">
        <f>SUM(B306:B319)</f>
        <v>100</v>
      </c>
      <c r="C320" s="34" t="s">
        <v>66</v>
      </c>
      <c r="D320" s="56">
        <f>SUM(D306:D319)</f>
        <v>145.46</v>
      </c>
      <c r="E320" s="56">
        <f>SUM(E306:E319)</f>
        <v>0</v>
      </c>
      <c r="F320" s="56">
        <f>SUM(F306:F319)</f>
        <v>112</v>
      </c>
      <c r="G320" s="34" t="s">
        <v>66</v>
      </c>
    </row>
    <row r="321" spans="2:7" ht="15.75" thickBot="1"/>
    <row r="322" spans="2:7" ht="14.45" customHeight="1">
      <c r="B322" s="289" t="str">
        <f>'2018'!A36</f>
        <v>Martina</v>
      </c>
      <c r="C322" s="290"/>
      <c r="D322" s="290"/>
      <c r="E322" s="290"/>
      <c r="F322" s="290"/>
      <c r="G322" s="291"/>
    </row>
    <row r="323" spans="2:7" ht="15" customHeight="1" thickBot="1">
      <c r="B323" s="292"/>
      <c r="C323" s="293"/>
      <c r="D323" s="293"/>
      <c r="E323" s="293"/>
      <c r="F323" s="293"/>
      <c r="G323" s="294"/>
    </row>
    <row r="324" spans="2:7">
      <c r="B324" s="297" t="s">
        <v>10</v>
      </c>
      <c r="C324" s="296"/>
      <c r="D324" s="295" t="s">
        <v>11</v>
      </c>
      <c r="E324" s="295"/>
      <c r="F324" s="295"/>
      <c r="G324" s="296"/>
    </row>
    <row r="325" spans="2:7">
      <c r="B325" s="52" t="s">
        <v>32</v>
      </c>
      <c r="C325" s="60" t="s">
        <v>33</v>
      </c>
      <c r="D325" s="52" t="s">
        <v>68</v>
      </c>
      <c r="E325" s="53" t="s">
        <v>69</v>
      </c>
      <c r="F325" s="53" t="s">
        <v>32</v>
      </c>
      <c r="G325" s="60" t="s">
        <v>33</v>
      </c>
    </row>
    <row r="326" spans="2:7">
      <c r="B326" s="54">
        <v>50</v>
      </c>
      <c r="C326" s="36"/>
      <c r="D326" s="57"/>
      <c r="E326" s="58"/>
      <c r="F326" s="58"/>
      <c r="G326" s="33"/>
    </row>
    <row r="327" spans="2:7">
      <c r="B327" s="55"/>
      <c r="C327" s="33"/>
      <c r="D327" s="57"/>
      <c r="E327" s="58"/>
      <c r="F327" s="58"/>
      <c r="G327" s="33"/>
    </row>
    <row r="328" spans="2:7">
      <c r="B328" s="55"/>
      <c r="C328" s="33"/>
      <c r="D328" s="57"/>
      <c r="E328" s="58"/>
      <c r="F328" s="58"/>
      <c r="G328" s="33"/>
    </row>
    <row r="329" spans="2:7">
      <c r="B329" s="55"/>
      <c r="C329" s="33"/>
      <c r="D329" s="57"/>
      <c r="E329" s="58"/>
      <c r="F329" s="58"/>
      <c r="G329" s="33"/>
    </row>
    <row r="330" spans="2:7">
      <c r="B330" s="55"/>
      <c r="C330" s="33"/>
      <c r="D330" s="57"/>
      <c r="E330" s="58"/>
      <c r="F330" s="58"/>
      <c r="G330" s="33"/>
    </row>
    <row r="331" spans="2:7">
      <c r="B331" s="55"/>
      <c r="C331" s="33"/>
      <c r="D331" s="57"/>
      <c r="E331" s="58"/>
      <c r="F331" s="58"/>
      <c r="G331" s="33"/>
    </row>
    <row r="332" spans="2:7">
      <c r="B332" s="55"/>
      <c r="C332" s="33"/>
      <c r="D332" s="57"/>
      <c r="E332" s="58"/>
      <c r="F332" s="58"/>
      <c r="G332" s="33"/>
    </row>
    <row r="333" spans="2:7">
      <c r="B333" s="55"/>
      <c r="C333" s="33"/>
      <c r="D333" s="57"/>
      <c r="E333" s="58"/>
      <c r="F333" s="58"/>
      <c r="G333" s="33"/>
    </row>
    <row r="334" spans="2:7">
      <c r="B334" s="55"/>
      <c r="C334" s="33"/>
      <c r="D334" s="57"/>
      <c r="E334" s="58"/>
      <c r="F334" s="58"/>
      <c r="G334" s="33"/>
    </row>
    <row r="335" spans="2:7">
      <c r="B335" s="55"/>
      <c r="C335" s="33"/>
      <c r="D335" s="57"/>
      <c r="E335" s="58"/>
      <c r="F335" s="58"/>
      <c r="G335" s="33"/>
    </row>
    <row r="336" spans="2:7">
      <c r="B336" s="55"/>
      <c r="C336" s="33"/>
      <c r="D336" s="57"/>
      <c r="E336" s="58"/>
      <c r="F336" s="58"/>
      <c r="G336" s="33"/>
    </row>
    <row r="337" spans="2:7">
      <c r="B337" s="55"/>
      <c r="C337" s="33"/>
      <c r="D337" s="57"/>
      <c r="E337" s="58"/>
      <c r="F337" s="58"/>
      <c r="G337" s="33"/>
    </row>
    <row r="338" spans="2:7">
      <c r="B338" s="55"/>
      <c r="C338" s="33"/>
      <c r="D338" s="57"/>
      <c r="E338" s="58"/>
      <c r="F338" s="58"/>
      <c r="G338" s="33"/>
    </row>
    <row r="339" spans="2:7" ht="15.75" thickBot="1">
      <c r="B339" s="56"/>
      <c r="C339" s="34"/>
      <c r="D339" s="56"/>
      <c r="E339" s="59"/>
      <c r="F339" s="59"/>
      <c r="G339" s="34"/>
    </row>
    <row r="340" spans="2:7" ht="15.75" thickBot="1">
      <c r="B340" s="56">
        <f>SUM(B326:B339)</f>
        <v>50</v>
      </c>
      <c r="C340" s="34" t="s">
        <v>66</v>
      </c>
      <c r="D340" s="56">
        <f>SUM(D326:D339)</f>
        <v>0</v>
      </c>
      <c r="E340" s="56">
        <f>SUM(E326:E339)</f>
        <v>0</v>
      </c>
      <c r="F340" s="56">
        <f>SUM(F326:F339)</f>
        <v>0</v>
      </c>
      <c r="G340" s="34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89" t="str">
        <f>'2018'!A37</f>
        <v>Impuestos</v>
      </c>
      <c r="C342" s="290"/>
      <c r="D342" s="290"/>
      <c r="E342" s="290"/>
      <c r="F342" s="290"/>
      <c r="G342" s="291"/>
    </row>
    <row r="343" spans="2:7" ht="15" customHeight="1" thickBot="1">
      <c r="B343" s="292"/>
      <c r="C343" s="293"/>
      <c r="D343" s="293"/>
      <c r="E343" s="293"/>
      <c r="F343" s="293"/>
      <c r="G343" s="294"/>
    </row>
    <row r="344" spans="2:7">
      <c r="B344" s="297" t="s">
        <v>10</v>
      </c>
      <c r="C344" s="296"/>
      <c r="D344" s="295" t="s">
        <v>11</v>
      </c>
      <c r="E344" s="295"/>
      <c r="F344" s="295"/>
      <c r="G344" s="296"/>
    </row>
    <row r="345" spans="2:7">
      <c r="B345" s="52" t="s">
        <v>32</v>
      </c>
      <c r="C345" s="60" t="s">
        <v>33</v>
      </c>
      <c r="D345" s="52" t="s">
        <v>68</v>
      </c>
      <c r="E345" s="53" t="s">
        <v>69</v>
      </c>
      <c r="F345" s="53" t="s">
        <v>32</v>
      </c>
      <c r="G345" s="60" t="s">
        <v>33</v>
      </c>
    </row>
    <row r="346" spans="2:7">
      <c r="B346" s="54">
        <v>30</v>
      </c>
      <c r="C346" s="36" t="s">
        <v>119</v>
      </c>
      <c r="D346" s="57"/>
      <c r="E346" s="58"/>
      <c r="F346" s="58">
        <v>150</v>
      </c>
      <c r="G346" s="33" t="s">
        <v>247</v>
      </c>
    </row>
    <row r="347" spans="2:7">
      <c r="B347" s="55"/>
      <c r="C347" s="33"/>
      <c r="D347" s="57">
        <v>266.13</v>
      </c>
      <c r="E347" s="58"/>
      <c r="F347" s="58"/>
      <c r="G347" s="33" t="s">
        <v>273</v>
      </c>
    </row>
    <row r="348" spans="2:7">
      <c r="B348" s="55"/>
      <c r="C348" s="33"/>
      <c r="D348" s="57"/>
      <c r="E348" s="58"/>
      <c r="F348" s="58"/>
      <c r="G348" s="33"/>
    </row>
    <row r="349" spans="2:7">
      <c r="B349" s="55"/>
      <c r="C349" s="33"/>
      <c r="D349" s="57"/>
      <c r="E349" s="58"/>
      <c r="F349" s="58"/>
      <c r="G349" s="33"/>
    </row>
    <row r="350" spans="2:7">
      <c r="B350" s="55"/>
      <c r="C350" s="33"/>
      <c r="D350" s="57"/>
      <c r="E350" s="58"/>
      <c r="F350" s="58"/>
      <c r="G350" s="33"/>
    </row>
    <row r="351" spans="2:7">
      <c r="B351" s="55"/>
      <c r="C351" s="33"/>
      <c r="D351" s="57"/>
      <c r="E351" s="58"/>
      <c r="F351" s="58"/>
      <c r="G351" s="33"/>
    </row>
    <row r="352" spans="2:7">
      <c r="B352" s="55"/>
      <c r="C352" s="33"/>
      <c r="D352" s="57"/>
      <c r="E352" s="58"/>
      <c r="F352" s="58"/>
      <c r="G352" s="33"/>
    </row>
    <row r="353" spans="2:7">
      <c r="B353" s="55"/>
      <c r="C353" s="33"/>
      <c r="D353" s="57"/>
      <c r="E353" s="58"/>
      <c r="F353" s="58"/>
      <c r="G353" s="33"/>
    </row>
    <row r="354" spans="2:7">
      <c r="B354" s="55"/>
      <c r="C354" s="33"/>
      <c r="D354" s="57"/>
      <c r="E354" s="58"/>
      <c r="F354" s="58"/>
      <c r="G354" s="33"/>
    </row>
    <row r="355" spans="2:7">
      <c r="B355" s="55"/>
      <c r="C355" s="33"/>
      <c r="D355" s="57"/>
      <c r="E355" s="58"/>
      <c r="F355" s="58"/>
      <c r="G355" s="33"/>
    </row>
    <row r="356" spans="2:7">
      <c r="B356" s="55"/>
      <c r="C356" s="33"/>
      <c r="D356" s="57"/>
      <c r="E356" s="58"/>
      <c r="F356" s="58"/>
      <c r="G356" s="33"/>
    </row>
    <row r="357" spans="2:7">
      <c r="B357" s="55"/>
      <c r="C357" s="33"/>
      <c r="D357" s="57"/>
      <c r="E357" s="58"/>
      <c r="F357" s="58"/>
      <c r="G357" s="33"/>
    </row>
    <row r="358" spans="2:7">
      <c r="B358" s="55"/>
      <c r="C358" s="33"/>
      <c r="D358" s="57"/>
      <c r="E358" s="58"/>
      <c r="F358" s="58"/>
      <c r="G358" s="33"/>
    </row>
    <row r="359" spans="2:7" ht="15.75" thickBot="1">
      <c r="B359" s="56"/>
      <c r="C359" s="34"/>
      <c r="D359" s="56"/>
      <c r="E359" s="59"/>
      <c r="F359" s="59"/>
      <c r="G359" s="34"/>
    </row>
    <row r="360" spans="2:7" ht="15.75" thickBot="1">
      <c r="B360" s="56">
        <f>SUM(B346:B359)</f>
        <v>30</v>
      </c>
      <c r="C360" s="34" t="s">
        <v>66</v>
      </c>
      <c r="D360" s="56">
        <f>SUM(D346:D359)</f>
        <v>266.13</v>
      </c>
      <c r="E360" s="56">
        <f>SUM(E346:E359)</f>
        <v>0</v>
      </c>
      <c r="F360" s="56">
        <f>SUM(F346:F359)</f>
        <v>150</v>
      </c>
      <c r="G360" s="34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89" t="str">
        <f>'2018'!A38</f>
        <v>Gastos Curros</v>
      </c>
      <c r="C362" s="290"/>
      <c r="D362" s="290"/>
      <c r="E362" s="290"/>
      <c r="F362" s="290"/>
      <c r="G362" s="291"/>
    </row>
    <row r="363" spans="2:7" ht="15" customHeight="1" thickBot="1">
      <c r="B363" s="292"/>
      <c r="C363" s="293"/>
      <c r="D363" s="293"/>
      <c r="E363" s="293"/>
      <c r="F363" s="293"/>
      <c r="G363" s="294"/>
    </row>
    <row r="364" spans="2:7">
      <c r="B364" s="297" t="s">
        <v>10</v>
      </c>
      <c r="C364" s="296"/>
      <c r="D364" s="295" t="s">
        <v>11</v>
      </c>
      <c r="E364" s="295"/>
      <c r="F364" s="295"/>
      <c r="G364" s="296"/>
    </row>
    <row r="365" spans="2:7">
      <c r="B365" s="52" t="s">
        <v>32</v>
      </c>
      <c r="C365" s="60" t="s">
        <v>33</v>
      </c>
      <c r="D365" s="52" t="s">
        <v>68</v>
      </c>
      <c r="E365" s="53" t="s">
        <v>69</v>
      </c>
      <c r="F365" s="53" t="s">
        <v>32</v>
      </c>
      <c r="G365" s="60" t="s">
        <v>33</v>
      </c>
    </row>
    <row r="366" spans="2:7">
      <c r="B366" s="54">
        <v>30</v>
      </c>
      <c r="C366" s="36" t="s">
        <v>36</v>
      </c>
      <c r="D366" s="57"/>
      <c r="E366" s="58"/>
      <c r="F366" s="58">
        <f>3.4+4.5+3.8+3.4+3.4+3.5</f>
        <v>22</v>
      </c>
      <c r="G366" s="70" t="s">
        <v>91</v>
      </c>
    </row>
    <row r="367" spans="2:7">
      <c r="B367" s="55"/>
      <c r="C367" s="33"/>
      <c r="D367" s="57"/>
      <c r="E367" s="58"/>
      <c r="F367" s="58"/>
      <c r="G367" s="70" t="s">
        <v>92</v>
      </c>
    </row>
    <row r="368" spans="2:7">
      <c r="B368" s="55"/>
      <c r="C368" s="33"/>
      <c r="D368" s="57"/>
      <c r="E368" s="58">
        <v>12.99</v>
      </c>
      <c r="F368" s="58"/>
      <c r="G368" s="33" t="s">
        <v>271</v>
      </c>
    </row>
    <row r="369" spans="2:7">
      <c r="B369" s="55"/>
      <c r="C369" s="33"/>
      <c r="D369" s="57"/>
      <c r="E369" s="58"/>
      <c r="F369" s="58"/>
      <c r="G369" s="33"/>
    </row>
    <row r="370" spans="2:7">
      <c r="B370" s="55"/>
      <c r="C370" s="33"/>
      <c r="D370" s="57"/>
      <c r="E370" s="58"/>
      <c r="F370" s="58"/>
      <c r="G370" s="33"/>
    </row>
    <row r="371" spans="2:7">
      <c r="B371" s="55"/>
      <c r="C371" s="33"/>
      <c r="D371" s="57"/>
      <c r="E371" s="58"/>
      <c r="F371" s="58"/>
      <c r="G371" s="33"/>
    </row>
    <row r="372" spans="2:7">
      <c r="B372" s="55"/>
      <c r="C372" s="33"/>
      <c r="D372" s="57"/>
      <c r="E372" s="58"/>
      <c r="F372" s="58"/>
      <c r="G372" s="33"/>
    </row>
    <row r="373" spans="2:7">
      <c r="B373" s="55"/>
      <c r="C373" s="33"/>
      <c r="D373" s="57"/>
      <c r="E373" s="58"/>
      <c r="F373" s="58"/>
      <c r="G373" s="33"/>
    </row>
    <row r="374" spans="2:7">
      <c r="B374" s="55"/>
      <c r="C374" s="33"/>
      <c r="D374" s="57"/>
      <c r="E374" s="58"/>
      <c r="F374" s="58"/>
      <c r="G374" s="33"/>
    </row>
    <row r="375" spans="2:7">
      <c r="B375" s="55"/>
      <c r="C375" s="33"/>
      <c r="D375" s="57"/>
      <c r="E375" s="58"/>
      <c r="F375" s="58"/>
      <c r="G375" s="33"/>
    </row>
    <row r="376" spans="2:7">
      <c r="B376" s="55"/>
      <c r="C376" s="33"/>
      <c r="D376" s="57"/>
      <c r="E376" s="58"/>
      <c r="F376" s="58"/>
      <c r="G376" s="33"/>
    </row>
    <row r="377" spans="2:7">
      <c r="B377" s="55"/>
      <c r="C377" s="33"/>
      <c r="D377" s="57"/>
      <c r="E377" s="58"/>
      <c r="F377" s="58"/>
      <c r="G377" s="33"/>
    </row>
    <row r="378" spans="2:7">
      <c r="B378" s="55"/>
      <c r="C378" s="33"/>
      <c r="D378" s="57"/>
      <c r="E378" s="58"/>
      <c r="F378" s="58"/>
      <c r="G378" s="33"/>
    </row>
    <row r="379" spans="2:7" ht="15.75" thickBot="1">
      <c r="B379" s="56"/>
      <c r="C379" s="34"/>
      <c r="D379" s="56"/>
      <c r="E379" s="59"/>
      <c r="F379" s="59"/>
      <c r="G379" s="34"/>
    </row>
    <row r="380" spans="2:7" ht="15.75" thickBot="1">
      <c r="B380" s="56">
        <f>SUM(B366:B379)</f>
        <v>30</v>
      </c>
      <c r="C380" s="34" t="s">
        <v>66</v>
      </c>
      <c r="D380" s="56">
        <f>SUM(D366:D379)</f>
        <v>0</v>
      </c>
      <c r="E380" s="56">
        <f>SUM(E366:E379)</f>
        <v>12.99</v>
      </c>
      <c r="F380" s="56">
        <f>SUM(F366:F379)</f>
        <v>22</v>
      </c>
      <c r="G380" s="34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89" t="str">
        <f>'2018'!A39</f>
        <v>Dreamed Holidays</v>
      </c>
      <c r="C382" s="290"/>
      <c r="D382" s="290"/>
      <c r="E382" s="290"/>
      <c r="F382" s="290"/>
      <c r="G382" s="291"/>
    </row>
    <row r="383" spans="2:7" ht="15" customHeight="1" thickBot="1">
      <c r="B383" s="292"/>
      <c r="C383" s="293"/>
      <c r="D383" s="293"/>
      <c r="E383" s="293"/>
      <c r="F383" s="293"/>
      <c r="G383" s="294"/>
    </row>
    <row r="384" spans="2:7">
      <c r="B384" s="297" t="s">
        <v>10</v>
      </c>
      <c r="C384" s="296"/>
      <c r="D384" s="295" t="s">
        <v>11</v>
      </c>
      <c r="E384" s="295"/>
      <c r="F384" s="295"/>
      <c r="G384" s="296"/>
    </row>
    <row r="385" spans="2:7">
      <c r="B385" s="52" t="s">
        <v>32</v>
      </c>
      <c r="C385" s="60" t="s">
        <v>33</v>
      </c>
      <c r="D385" s="52" t="s">
        <v>68</v>
      </c>
      <c r="E385" s="53" t="s">
        <v>69</v>
      </c>
      <c r="F385" s="53" t="s">
        <v>32</v>
      </c>
      <c r="G385" s="60" t="s">
        <v>33</v>
      </c>
    </row>
    <row r="386" spans="2:7">
      <c r="B386" s="54">
        <v>10</v>
      </c>
      <c r="C386" s="36"/>
      <c r="D386" s="57"/>
      <c r="E386" s="58"/>
      <c r="F386" s="58"/>
      <c r="G386" s="33"/>
    </row>
    <row r="387" spans="2:7">
      <c r="B387" s="55"/>
      <c r="C387" s="33"/>
      <c r="D387" s="57"/>
      <c r="E387" s="58"/>
      <c r="F387" s="58"/>
      <c r="G387" s="33"/>
    </row>
    <row r="388" spans="2:7">
      <c r="B388" s="55"/>
      <c r="C388" s="33"/>
      <c r="D388" s="57"/>
      <c r="E388" s="58"/>
      <c r="F388" s="58"/>
      <c r="G388" s="33"/>
    </row>
    <row r="389" spans="2:7">
      <c r="B389" s="55"/>
      <c r="C389" s="33"/>
      <c r="D389" s="57"/>
      <c r="E389" s="58"/>
      <c r="F389" s="58"/>
      <c r="G389" s="33"/>
    </row>
    <row r="390" spans="2:7">
      <c r="B390" s="55"/>
      <c r="C390" s="33"/>
      <c r="D390" s="57"/>
      <c r="E390" s="58"/>
      <c r="F390" s="58"/>
      <c r="G390" s="33"/>
    </row>
    <row r="391" spans="2:7">
      <c r="B391" s="55"/>
      <c r="C391" s="33"/>
      <c r="D391" s="57"/>
      <c r="E391" s="58"/>
      <c r="F391" s="58"/>
      <c r="G391" s="33"/>
    </row>
    <row r="392" spans="2:7">
      <c r="B392" s="55"/>
      <c r="C392" s="33"/>
      <c r="D392" s="57"/>
      <c r="E392" s="58"/>
      <c r="F392" s="58"/>
      <c r="G392" s="33"/>
    </row>
    <row r="393" spans="2:7">
      <c r="B393" s="55"/>
      <c r="C393" s="33"/>
      <c r="D393" s="57"/>
      <c r="E393" s="58"/>
      <c r="F393" s="58"/>
      <c r="G393" s="33"/>
    </row>
    <row r="394" spans="2:7">
      <c r="B394" s="55"/>
      <c r="C394" s="33"/>
      <c r="D394" s="57"/>
      <c r="E394" s="58"/>
      <c r="F394" s="58"/>
      <c r="G394" s="33"/>
    </row>
    <row r="395" spans="2:7">
      <c r="B395" s="55"/>
      <c r="C395" s="33"/>
      <c r="D395" s="57"/>
      <c r="E395" s="58"/>
      <c r="F395" s="58"/>
      <c r="G395" s="33"/>
    </row>
    <row r="396" spans="2:7">
      <c r="B396" s="55"/>
      <c r="C396" s="33"/>
      <c r="D396" s="57"/>
      <c r="E396" s="58"/>
      <c r="F396" s="58"/>
      <c r="G396" s="33"/>
    </row>
    <row r="397" spans="2:7">
      <c r="B397" s="55"/>
      <c r="C397" s="33"/>
      <c r="D397" s="57"/>
      <c r="E397" s="58"/>
      <c r="F397" s="58"/>
      <c r="G397" s="33"/>
    </row>
    <row r="398" spans="2:7">
      <c r="B398" s="55"/>
      <c r="C398" s="33"/>
      <c r="D398" s="57"/>
      <c r="E398" s="58"/>
      <c r="F398" s="58"/>
      <c r="G398" s="33"/>
    </row>
    <row r="399" spans="2:7" ht="15.75" thickBot="1">
      <c r="B399" s="56"/>
      <c r="C399" s="34"/>
      <c r="D399" s="56"/>
      <c r="E399" s="59"/>
      <c r="F399" s="59"/>
      <c r="G399" s="34"/>
    </row>
    <row r="400" spans="2:7" ht="15.75" thickBot="1">
      <c r="B400" s="56">
        <f>SUM(B386:B399)</f>
        <v>10</v>
      </c>
      <c r="C400" s="34" t="s">
        <v>66</v>
      </c>
      <c r="D400" s="56">
        <f>SUM(D386:D399)</f>
        <v>0</v>
      </c>
      <c r="E400" s="56">
        <f>SUM(E386:E399)</f>
        <v>0</v>
      </c>
      <c r="F400" s="56">
        <f>SUM(F386:F399)</f>
        <v>0</v>
      </c>
      <c r="G400" s="34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89" t="str">
        <f>'2018'!A40</f>
        <v>Financieros</v>
      </c>
      <c r="C402" s="290"/>
      <c r="D402" s="290"/>
      <c r="E402" s="290"/>
      <c r="F402" s="290"/>
      <c r="G402" s="291"/>
    </row>
    <row r="403" spans="2:7" ht="15" customHeight="1" thickBot="1">
      <c r="B403" s="292"/>
      <c r="C403" s="293"/>
      <c r="D403" s="293"/>
      <c r="E403" s="293"/>
      <c r="F403" s="293"/>
      <c r="G403" s="294"/>
    </row>
    <row r="404" spans="2:7">
      <c r="B404" s="297" t="s">
        <v>10</v>
      </c>
      <c r="C404" s="296"/>
      <c r="D404" s="295" t="s">
        <v>11</v>
      </c>
      <c r="E404" s="295"/>
      <c r="F404" s="295"/>
      <c r="G404" s="296"/>
    </row>
    <row r="405" spans="2:7">
      <c r="B405" s="52" t="s">
        <v>32</v>
      </c>
      <c r="C405" s="60" t="s">
        <v>33</v>
      </c>
      <c r="D405" s="52" t="s">
        <v>68</v>
      </c>
      <c r="E405" s="53" t="s">
        <v>69</v>
      </c>
      <c r="F405" s="53" t="s">
        <v>32</v>
      </c>
      <c r="G405" s="60" t="s">
        <v>33</v>
      </c>
    </row>
    <row r="406" spans="2:7">
      <c r="B406" s="54">
        <v>1.01</v>
      </c>
      <c r="C406" s="36" t="s">
        <v>208</v>
      </c>
      <c r="D406" s="57">
        <f>30.78+12.1</f>
        <v>42.88</v>
      </c>
      <c r="E406" s="58"/>
      <c r="F406" s="58"/>
      <c r="G406" s="33" t="s">
        <v>237</v>
      </c>
    </row>
    <row r="407" spans="2:7">
      <c r="B407" s="55">
        <f>2831.41-345</f>
        <v>2486.41</v>
      </c>
      <c r="C407" s="33" t="s">
        <v>213</v>
      </c>
      <c r="D407" s="57"/>
      <c r="E407" s="58"/>
      <c r="F407" s="58"/>
      <c r="G407" s="33"/>
    </row>
    <row r="408" spans="2:7">
      <c r="B408" s="55">
        <v>0.05</v>
      </c>
      <c r="C408" s="33" t="s">
        <v>73</v>
      </c>
      <c r="D408" s="57"/>
      <c r="E408" s="58"/>
      <c r="F408" s="58"/>
      <c r="G408" s="33"/>
    </row>
    <row r="409" spans="2:7">
      <c r="B409" s="55"/>
      <c r="C409" s="33"/>
      <c r="D409" s="57"/>
      <c r="E409" s="58"/>
      <c r="F409" s="58"/>
      <c r="G409" s="33"/>
    </row>
    <row r="410" spans="2:7">
      <c r="B410" s="55"/>
      <c r="C410" s="33"/>
      <c r="D410" s="57"/>
      <c r="E410" s="58"/>
      <c r="F410" s="58"/>
      <c r="G410" s="33"/>
    </row>
    <row r="411" spans="2:7">
      <c r="B411" s="55"/>
      <c r="C411" s="33"/>
      <c r="D411" s="57"/>
      <c r="E411" s="58"/>
      <c r="F411" s="58"/>
      <c r="G411" s="33"/>
    </row>
    <row r="412" spans="2:7">
      <c r="B412" s="55"/>
      <c r="C412" s="33"/>
      <c r="D412" s="57"/>
      <c r="E412" s="58"/>
      <c r="F412" s="58"/>
      <c r="G412" s="33"/>
    </row>
    <row r="413" spans="2:7">
      <c r="B413" s="55"/>
      <c r="C413" s="33"/>
      <c r="D413" s="57"/>
      <c r="E413" s="58"/>
      <c r="F413" s="58"/>
      <c r="G413" s="33"/>
    </row>
    <row r="414" spans="2:7">
      <c r="B414" s="55"/>
      <c r="C414" s="33"/>
      <c r="D414" s="57"/>
      <c r="E414" s="58"/>
      <c r="F414" s="58"/>
      <c r="G414" s="33"/>
    </row>
    <row r="415" spans="2:7">
      <c r="B415" s="55"/>
      <c r="C415" s="33"/>
      <c r="D415" s="57"/>
      <c r="E415" s="58"/>
      <c r="F415" s="58"/>
      <c r="G415" s="33"/>
    </row>
    <row r="416" spans="2:7">
      <c r="B416" s="55"/>
      <c r="C416" s="33"/>
      <c r="D416" s="57"/>
      <c r="E416" s="58"/>
      <c r="F416" s="58"/>
      <c r="G416" s="33"/>
    </row>
    <row r="417" spans="2:7">
      <c r="B417" s="55"/>
      <c r="C417" s="33"/>
      <c r="D417" s="57"/>
      <c r="E417" s="58"/>
      <c r="F417" s="58"/>
      <c r="G417" s="33"/>
    </row>
    <row r="418" spans="2:7">
      <c r="B418" s="55"/>
      <c r="C418" s="33"/>
      <c r="D418" s="57"/>
      <c r="E418" s="58"/>
      <c r="F418" s="58"/>
      <c r="G418" s="33"/>
    </row>
    <row r="419" spans="2:7" ht="15.75" thickBot="1">
      <c r="B419" s="56"/>
      <c r="C419" s="34"/>
      <c r="D419" s="56"/>
      <c r="E419" s="59"/>
      <c r="F419" s="59"/>
      <c r="G419" s="34"/>
    </row>
    <row r="420" spans="2:7" ht="15.75" thickBot="1">
      <c r="B420" s="56">
        <f>SUM(B406:B419)</f>
        <v>2487.4700000000003</v>
      </c>
      <c r="C420" s="34" t="s">
        <v>66</v>
      </c>
      <c r="D420" s="56">
        <f>SUM(D406:D419)</f>
        <v>42.88</v>
      </c>
      <c r="E420" s="56">
        <f>SUM(E406:E419)</f>
        <v>0</v>
      </c>
      <c r="F420" s="56">
        <f>SUM(F406:F419)</f>
        <v>0</v>
      </c>
      <c r="G420" s="34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89" t="str">
        <f>'2018'!A41</f>
        <v>Ahorros Colchón</v>
      </c>
      <c r="C422" s="290"/>
      <c r="D422" s="290"/>
      <c r="E422" s="290"/>
      <c r="F422" s="290"/>
      <c r="G422" s="291"/>
    </row>
    <row r="423" spans="2:7" ht="15" customHeight="1" thickBot="1">
      <c r="B423" s="292"/>
      <c r="C423" s="293"/>
      <c r="D423" s="293"/>
      <c r="E423" s="293"/>
      <c r="F423" s="293"/>
      <c r="G423" s="294"/>
    </row>
    <row r="424" spans="2:7">
      <c r="B424" s="297" t="s">
        <v>10</v>
      </c>
      <c r="C424" s="296"/>
      <c r="D424" s="295" t="s">
        <v>11</v>
      </c>
      <c r="E424" s="295"/>
      <c r="F424" s="295"/>
      <c r="G424" s="296"/>
    </row>
    <row r="425" spans="2:7">
      <c r="B425" s="52" t="s">
        <v>32</v>
      </c>
      <c r="C425" s="60" t="s">
        <v>33</v>
      </c>
      <c r="D425" s="52" t="s">
        <v>68</v>
      </c>
      <c r="E425" s="53" t="s">
        <v>69</v>
      </c>
      <c r="F425" s="53" t="s">
        <v>32</v>
      </c>
      <c r="G425" s="60" t="s">
        <v>33</v>
      </c>
    </row>
    <row r="426" spans="2:7">
      <c r="B426" s="54">
        <f>-636.14</f>
        <v>-636.14</v>
      </c>
      <c r="C426" s="36" t="s">
        <v>277</v>
      </c>
      <c r="D426" s="57"/>
      <c r="E426" s="58"/>
      <c r="F426" s="58"/>
      <c r="G426" s="33"/>
    </row>
    <row r="427" spans="2:7">
      <c r="B427" s="55"/>
      <c r="C427" s="33"/>
      <c r="D427" s="57"/>
      <c r="E427" s="58"/>
      <c r="F427" s="58"/>
      <c r="G427" s="33"/>
    </row>
    <row r="428" spans="2:7">
      <c r="B428" s="55"/>
      <c r="C428" s="33"/>
      <c r="D428" s="57"/>
      <c r="E428" s="58"/>
      <c r="F428" s="58"/>
      <c r="G428" s="33"/>
    </row>
    <row r="429" spans="2:7">
      <c r="B429" s="55"/>
      <c r="C429" s="33"/>
      <c r="D429" s="57"/>
      <c r="E429" s="58"/>
      <c r="F429" s="58"/>
      <c r="G429" s="33"/>
    </row>
    <row r="430" spans="2:7">
      <c r="B430" s="55"/>
      <c r="C430" s="33"/>
      <c r="D430" s="57"/>
      <c r="E430" s="58"/>
      <c r="F430" s="58"/>
      <c r="G430" s="33"/>
    </row>
    <row r="431" spans="2:7">
      <c r="B431" s="55"/>
      <c r="C431" s="33"/>
      <c r="D431" s="57"/>
      <c r="E431" s="58"/>
      <c r="F431" s="58"/>
      <c r="G431" s="33"/>
    </row>
    <row r="432" spans="2:7">
      <c r="B432" s="55"/>
      <c r="C432" s="33"/>
      <c r="D432" s="57"/>
      <c r="E432" s="58"/>
      <c r="F432" s="58"/>
      <c r="G432" s="33"/>
    </row>
    <row r="433" spans="2:7">
      <c r="B433" s="55"/>
      <c r="C433" s="33"/>
      <c r="D433" s="57"/>
      <c r="E433" s="58"/>
      <c r="F433" s="58"/>
      <c r="G433" s="33"/>
    </row>
    <row r="434" spans="2:7">
      <c r="B434" s="55"/>
      <c r="C434" s="33"/>
      <c r="D434" s="57"/>
      <c r="E434" s="58"/>
      <c r="F434" s="58"/>
      <c r="G434" s="33"/>
    </row>
    <row r="435" spans="2:7">
      <c r="B435" s="55"/>
      <c r="C435" s="33"/>
      <c r="D435" s="57"/>
      <c r="E435" s="58"/>
      <c r="F435" s="58"/>
      <c r="G435" s="33"/>
    </row>
    <row r="436" spans="2:7">
      <c r="B436" s="55"/>
      <c r="C436" s="33"/>
      <c r="D436" s="57"/>
      <c r="E436" s="58"/>
      <c r="F436" s="58"/>
      <c r="G436" s="33"/>
    </row>
    <row r="437" spans="2:7">
      <c r="B437" s="55"/>
      <c r="C437" s="33"/>
      <c r="D437" s="57"/>
      <c r="E437" s="58"/>
      <c r="F437" s="58"/>
      <c r="G437" s="33"/>
    </row>
    <row r="438" spans="2:7">
      <c r="B438" s="55"/>
      <c r="C438" s="33"/>
      <c r="D438" s="57"/>
      <c r="E438" s="58"/>
      <c r="F438" s="58"/>
      <c r="G438" s="33"/>
    </row>
    <row r="439" spans="2:7" ht="15.75" thickBot="1">
      <c r="B439" s="56"/>
      <c r="C439" s="34"/>
      <c r="D439" s="56"/>
      <c r="E439" s="59"/>
      <c r="F439" s="59"/>
      <c r="G439" s="34"/>
    </row>
    <row r="440" spans="2:7" ht="15.75" thickBot="1">
      <c r="B440" s="56">
        <f>SUM(B426:B439)</f>
        <v>-636.14</v>
      </c>
      <c r="C440" s="34" t="s">
        <v>66</v>
      </c>
      <c r="D440" s="56">
        <f>SUM(D426:D439)</f>
        <v>0</v>
      </c>
      <c r="E440" s="56">
        <f>SUM(E426:E439)</f>
        <v>0</v>
      </c>
      <c r="F440" s="56">
        <f>SUM(F426:F439)</f>
        <v>0</v>
      </c>
      <c r="G440" s="34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89" t="str">
        <f>'2018'!A42</f>
        <v>Dinero Bloqueado</v>
      </c>
      <c r="C442" s="290"/>
      <c r="D442" s="290"/>
      <c r="E442" s="290"/>
      <c r="F442" s="290"/>
      <c r="G442" s="291"/>
    </row>
    <row r="443" spans="2:7" ht="15" customHeight="1" thickBot="1">
      <c r="B443" s="292"/>
      <c r="C443" s="293"/>
      <c r="D443" s="293"/>
      <c r="E443" s="293"/>
      <c r="F443" s="293"/>
      <c r="G443" s="294"/>
    </row>
    <row r="444" spans="2:7">
      <c r="B444" s="297" t="s">
        <v>10</v>
      </c>
      <c r="C444" s="296"/>
      <c r="D444" s="295" t="s">
        <v>11</v>
      </c>
      <c r="E444" s="295"/>
      <c r="F444" s="295"/>
      <c r="G444" s="296"/>
    </row>
    <row r="445" spans="2:7">
      <c r="B445" s="52" t="s">
        <v>32</v>
      </c>
      <c r="C445" s="60" t="s">
        <v>33</v>
      </c>
      <c r="D445" s="52" t="s">
        <v>68</v>
      </c>
      <c r="E445" s="53" t="s">
        <v>69</v>
      </c>
      <c r="F445" s="53" t="s">
        <v>32</v>
      </c>
      <c r="G445" s="60" t="s">
        <v>33</v>
      </c>
    </row>
    <row r="446" spans="2:7">
      <c r="B446" s="54">
        <v>1800.04</v>
      </c>
      <c r="C446" s="36" t="s">
        <v>264</v>
      </c>
      <c r="D446" s="57"/>
      <c r="E446" s="58"/>
      <c r="F446" s="58"/>
      <c r="G446" s="33"/>
    </row>
    <row r="447" spans="2:7">
      <c r="B447" s="55"/>
      <c r="C447" s="33"/>
      <c r="D447" s="57"/>
      <c r="E447" s="58"/>
      <c r="F447" s="58"/>
      <c r="G447" s="33"/>
    </row>
    <row r="448" spans="2:7">
      <c r="B448" s="55"/>
      <c r="C448" s="33"/>
      <c r="D448" s="57"/>
      <c r="E448" s="58"/>
      <c r="F448" s="58"/>
      <c r="G448" s="33"/>
    </row>
    <row r="449" spans="2:7">
      <c r="B449" s="55"/>
      <c r="C449" s="33"/>
      <c r="D449" s="57"/>
      <c r="E449" s="58"/>
      <c r="F449" s="58"/>
      <c r="G449" s="33"/>
    </row>
    <row r="450" spans="2:7">
      <c r="B450" s="55"/>
      <c r="C450" s="33"/>
      <c r="D450" s="57"/>
      <c r="E450" s="58"/>
      <c r="F450" s="58"/>
      <c r="G450" s="33"/>
    </row>
    <row r="451" spans="2:7">
      <c r="B451" s="55"/>
      <c r="C451" s="33"/>
      <c r="D451" s="57"/>
      <c r="E451" s="58"/>
      <c r="F451" s="58"/>
      <c r="G451" s="33"/>
    </row>
    <row r="452" spans="2:7">
      <c r="B452" s="55"/>
      <c r="C452" s="33"/>
      <c r="D452" s="57"/>
      <c r="E452" s="58"/>
      <c r="F452" s="58"/>
      <c r="G452" s="33"/>
    </row>
    <row r="453" spans="2:7">
      <c r="B453" s="55"/>
      <c r="C453" s="33"/>
      <c r="D453" s="57"/>
      <c r="E453" s="58"/>
      <c r="F453" s="58"/>
      <c r="G453" s="33"/>
    </row>
    <row r="454" spans="2:7">
      <c r="B454" s="55"/>
      <c r="C454" s="33"/>
      <c r="D454" s="57"/>
      <c r="E454" s="58"/>
      <c r="F454" s="58"/>
      <c r="G454" s="33"/>
    </row>
    <row r="455" spans="2:7">
      <c r="B455" s="55"/>
      <c r="C455" s="33"/>
      <c r="D455" s="57"/>
      <c r="E455" s="58"/>
      <c r="F455" s="58"/>
      <c r="G455" s="33"/>
    </row>
    <row r="456" spans="2:7">
      <c r="B456" s="55"/>
      <c r="C456" s="33"/>
      <c r="D456" s="57"/>
      <c r="E456" s="58"/>
      <c r="F456" s="58"/>
      <c r="G456" s="33"/>
    </row>
    <row r="457" spans="2:7">
      <c r="B457" s="55"/>
      <c r="C457" s="33"/>
      <c r="D457" s="57"/>
      <c r="E457" s="58"/>
      <c r="F457" s="58"/>
      <c r="G457" s="33"/>
    </row>
    <row r="458" spans="2:7">
      <c r="B458" s="55"/>
      <c r="C458" s="33"/>
      <c r="D458" s="57"/>
      <c r="E458" s="58"/>
      <c r="F458" s="58"/>
      <c r="G458" s="33"/>
    </row>
    <row r="459" spans="2:7" ht="15.75" thickBot="1">
      <c r="B459" s="56"/>
      <c r="C459" s="34"/>
      <c r="D459" s="56"/>
      <c r="E459" s="59"/>
      <c r="F459" s="59"/>
      <c r="G459" s="34"/>
    </row>
    <row r="460" spans="2:7" ht="15.75" thickBot="1">
      <c r="B460" s="56">
        <f>SUM(B446:B459)</f>
        <v>1800.04</v>
      </c>
      <c r="C460" s="34" t="s">
        <v>66</v>
      </c>
      <c r="D460" s="56">
        <f>SUM(D446:D459)</f>
        <v>0</v>
      </c>
      <c r="E460" s="56">
        <f>SUM(E446:E459)</f>
        <v>0</v>
      </c>
      <c r="F460" s="56">
        <f>SUM(F446:F459)</f>
        <v>0</v>
      </c>
      <c r="G460" s="34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89" t="str">
        <f>'2018'!A43</f>
        <v>Cartama Finanazas</v>
      </c>
      <c r="C462" s="290"/>
      <c r="D462" s="290"/>
      <c r="E462" s="290"/>
      <c r="F462" s="290"/>
      <c r="G462" s="291"/>
    </row>
    <row r="463" spans="2:7" ht="15" customHeight="1" thickBot="1">
      <c r="B463" s="292"/>
      <c r="C463" s="293"/>
      <c r="D463" s="293"/>
      <c r="E463" s="293"/>
      <c r="F463" s="293"/>
      <c r="G463" s="294"/>
    </row>
    <row r="464" spans="2:7">
      <c r="B464" s="297" t="s">
        <v>10</v>
      </c>
      <c r="C464" s="296"/>
      <c r="D464" s="295" t="s">
        <v>11</v>
      </c>
      <c r="E464" s="295"/>
      <c r="F464" s="295"/>
      <c r="G464" s="296"/>
    </row>
    <row r="465" spans="2:7">
      <c r="B465" s="52" t="s">
        <v>32</v>
      </c>
      <c r="C465" s="60" t="s">
        <v>33</v>
      </c>
      <c r="D465" s="52" t="s">
        <v>68</v>
      </c>
      <c r="E465" s="53" t="s">
        <v>69</v>
      </c>
      <c r="F465" s="53" t="s">
        <v>32</v>
      </c>
      <c r="G465" s="60" t="s">
        <v>33</v>
      </c>
    </row>
    <row r="466" spans="2:7">
      <c r="B466" s="54"/>
      <c r="C466" s="36"/>
      <c r="D466" s="57"/>
      <c r="E466" s="58"/>
      <c r="F466" s="58"/>
      <c r="G466" s="33"/>
    </row>
    <row r="467" spans="2:7">
      <c r="B467" s="55"/>
      <c r="C467" s="33"/>
      <c r="D467" s="57"/>
      <c r="E467" s="58"/>
      <c r="F467" s="58"/>
      <c r="G467" s="33"/>
    </row>
    <row r="468" spans="2:7">
      <c r="B468" s="55"/>
      <c r="C468" s="33"/>
      <c r="D468" s="57"/>
      <c r="E468" s="58"/>
      <c r="F468" s="58"/>
      <c r="G468" s="33"/>
    </row>
    <row r="469" spans="2:7">
      <c r="B469" s="55"/>
      <c r="C469" s="33"/>
      <c r="D469" s="57"/>
      <c r="E469" s="58"/>
      <c r="F469" s="58"/>
      <c r="G469" s="33"/>
    </row>
    <row r="470" spans="2:7">
      <c r="B470" s="55"/>
      <c r="C470" s="33"/>
      <c r="D470" s="57"/>
      <c r="E470" s="58"/>
      <c r="F470" s="58"/>
      <c r="G470" s="33"/>
    </row>
    <row r="471" spans="2:7">
      <c r="B471" s="55"/>
      <c r="C471" s="33"/>
      <c r="D471" s="57"/>
      <c r="E471" s="58"/>
      <c r="F471" s="58"/>
      <c r="G471" s="33"/>
    </row>
    <row r="472" spans="2:7">
      <c r="B472" s="55"/>
      <c r="C472" s="33"/>
      <c r="D472" s="57"/>
      <c r="E472" s="58"/>
      <c r="F472" s="58"/>
      <c r="G472" s="33"/>
    </row>
    <row r="473" spans="2:7">
      <c r="B473" s="55"/>
      <c r="C473" s="33"/>
      <c r="D473" s="57"/>
      <c r="E473" s="58"/>
      <c r="F473" s="58"/>
      <c r="G473" s="33"/>
    </row>
    <row r="474" spans="2:7">
      <c r="B474" s="55"/>
      <c r="C474" s="33"/>
      <c r="D474" s="57"/>
      <c r="E474" s="58"/>
      <c r="F474" s="58"/>
      <c r="G474" s="33"/>
    </row>
    <row r="475" spans="2:7">
      <c r="B475" s="55"/>
      <c r="C475" s="33"/>
      <c r="D475" s="57"/>
      <c r="E475" s="58"/>
      <c r="F475" s="58"/>
      <c r="G475" s="33"/>
    </row>
    <row r="476" spans="2:7">
      <c r="B476" s="55"/>
      <c r="C476" s="33"/>
      <c r="D476" s="57"/>
      <c r="E476" s="58"/>
      <c r="F476" s="58"/>
      <c r="G476" s="33"/>
    </row>
    <row r="477" spans="2:7">
      <c r="B477" s="55"/>
      <c r="C477" s="33"/>
      <c r="D477" s="57"/>
      <c r="E477" s="58"/>
      <c r="F477" s="58"/>
      <c r="G477" s="33"/>
    </row>
    <row r="478" spans="2:7">
      <c r="B478" s="55"/>
      <c r="C478" s="33"/>
      <c r="D478" s="57"/>
      <c r="E478" s="58"/>
      <c r="F478" s="58"/>
      <c r="G478" s="33"/>
    </row>
    <row r="479" spans="2:7" ht="15.75" thickBot="1">
      <c r="B479" s="56"/>
      <c r="C479" s="34"/>
      <c r="D479" s="56"/>
      <c r="E479" s="59"/>
      <c r="F479" s="59"/>
      <c r="G479" s="34"/>
    </row>
    <row r="480" spans="2:7" ht="15.75" thickBot="1">
      <c r="B480" s="56">
        <f>SUM(B466:B479)</f>
        <v>0</v>
      </c>
      <c r="C480" s="34" t="s">
        <v>66</v>
      </c>
      <c r="D480" s="56">
        <f>SUM(D466:D479)</f>
        <v>0</v>
      </c>
      <c r="E480" s="56">
        <f>SUM(E466:E479)</f>
        <v>0</v>
      </c>
      <c r="F480" s="56">
        <f>SUM(F466:F479)</f>
        <v>0</v>
      </c>
      <c r="G480" s="34" t="s">
        <v>66</v>
      </c>
    </row>
    <row r="481" spans="2:7" ht="15.75" thickBot="1"/>
    <row r="482" spans="2:7" ht="14.45" customHeight="1">
      <c r="B482" s="289" t="str">
        <f>'2018'!A44</f>
        <v>NULO</v>
      </c>
      <c r="C482" s="290"/>
      <c r="D482" s="290"/>
      <c r="E482" s="290"/>
      <c r="F482" s="290"/>
      <c r="G482" s="291"/>
    </row>
    <row r="483" spans="2:7" ht="15" customHeight="1" thickBot="1">
      <c r="B483" s="292"/>
      <c r="C483" s="293"/>
      <c r="D483" s="293"/>
      <c r="E483" s="293"/>
      <c r="F483" s="293"/>
      <c r="G483" s="294"/>
    </row>
    <row r="484" spans="2:7">
      <c r="B484" s="297" t="s">
        <v>10</v>
      </c>
      <c r="C484" s="296"/>
      <c r="D484" s="295" t="s">
        <v>11</v>
      </c>
      <c r="E484" s="295"/>
      <c r="F484" s="295"/>
      <c r="G484" s="296"/>
    </row>
    <row r="485" spans="2:7">
      <c r="B485" s="52" t="s">
        <v>32</v>
      </c>
      <c r="C485" s="60" t="s">
        <v>33</v>
      </c>
      <c r="D485" s="52" t="s">
        <v>68</v>
      </c>
      <c r="E485" s="53" t="s">
        <v>69</v>
      </c>
      <c r="F485" s="53" t="s">
        <v>32</v>
      </c>
      <c r="G485" s="60" t="s">
        <v>33</v>
      </c>
    </row>
    <row r="486" spans="2:7">
      <c r="B486" s="54"/>
      <c r="C486" s="36"/>
      <c r="D486" s="57"/>
      <c r="E486" s="58"/>
      <c r="F486" s="58"/>
      <c r="G486" s="33"/>
    </row>
    <row r="487" spans="2:7">
      <c r="B487" s="55"/>
      <c r="C487" s="33"/>
      <c r="D487" s="57"/>
      <c r="E487" s="58"/>
      <c r="F487" s="58"/>
      <c r="G487" s="33"/>
    </row>
    <row r="488" spans="2:7">
      <c r="B488" s="55"/>
      <c r="C488" s="33"/>
      <c r="D488" s="57"/>
      <c r="E488" s="58"/>
      <c r="F488" s="58"/>
      <c r="G488" s="33"/>
    </row>
    <row r="489" spans="2:7">
      <c r="B489" s="55"/>
      <c r="C489" s="33"/>
      <c r="D489" s="57"/>
      <c r="E489" s="58"/>
      <c r="F489" s="58"/>
      <c r="G489" s="33"/>
    </row>
    <row r="490" spans="2:7">
      <c r="B490" s="55"/>
      <c r="C490" s="33"/>
      <c r="D490" s="57"/>
      <c r="E490" s="58"/>
      <c r="F490" s="58"/>
      <c r="G490" s="33"/>
    </row>
    <row r="491" spans="2:7">
      <c r="B491" s="55"/>
      <c r="C491" s="33"/>
      <c r="D491" s="57"/>
      <c r="E491" s="58"/>
      <c r="F491" s="58"/>
      <c r="G491" s="33"/>
    </row>
    <row r="492" spans="2:7">
      <c r="B492" s="55"/>
      <c r="C492" s="33"/>
      <c r="D492" s="57"/>
      <c r="E492" s="58"/>
      <c r="F492" s="58"/>
      <c r="G492" s="33"/>
    </row>
    <row r="493" spans="2:7">
      <c r="B493" s="55"/>
      <c r="C493" s="33"/>
      <c r="D493" s="57"/>
      <c r="E493" s="58"/>
      <c r="F493" s="58"/>
      <c r="G493" s="33"/>
    </row>
    <row r="494" spans="2:7">
      <c r="B494" s="55"/>
      <c r="C494" s="33"/>
      <c r="D494" s="57"/>
      <c r="E494" s="58"/>
      <c r="F494" s="58"/>
      <c r="G494" s="33"/>
    </row>
    <row r="495" spans="2:7">
      <c r="B495" s="55"/>
      <c r="C495" s="33"/>
      <c r="D495" s="57"/>
      <c r="E495" s="58"/>
      <c r="F495" s="58"/>
      <c r="G495" s="33"/>
    </row>
    <row r="496" spans="2:7">
      <c r="B496" s="55"/>
      <c r="C496" s="33"/>
      <c r="D496" s="57"/>
      <c r="E496" s="58"/>
      <c r="F496" s="58"/>
      <c r="G496" s="33"/>
    </row>
    <row r="497" spans="2:7">
      <c r="B497" s="55"/>
      <c r="C497" s="33"/>
      <c r="D497" s="57"/>
      <c r="E497" s="58"/>
      <c r="F497" s="58"/>
      <c r="G497" s="33"/>
    </row>
    <row r="498" spans="2:7">
      <c r="B498" s="55"/>
      <c r="C498" s="33"/>
      <c r="D498" s="57"/>
      <c r="E498" s="58"/>
      <c r="F498" s="58"/>
      <c r="G498" s="33"/>
    </row>
    <row r="499" spans="2:7" ht="15.75" thickBot="1">
      <c r="B499" s="56"/>
      <c r="C499" s="34"/>
      <c r="D499" s="56"/>
      <c r="E499" s="59"/>
      <c r="F499" s="59"/>
      <c r="G499" s="34"/>
    </row>
    <row r="500" spans="2:7" ht="15.75" thickBot="1">
      <c r="B500" s="56">
        <f>SUM(B486:B499)</f>
        <v>0</v>
      </c>
      <c r="C500" s="34" t="s">
        <v>66</v>
      </c>
      <c r="D500" s="56">
        <f>SUM(D486:D499)</f>
        <v>0</v>
      </c>
      <c r="E500" s="56">
        <f>SUM(E486:E499)</f>
        <v>0</v>
      </c>
      <c r="F500" s="56">
        <f>SUM(F486:F499)</f>
        <v>0</v>
      </c>
      <c r="G500" s="34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89" t="str">
        <f>'2018'!A45</f>
        <v>OTROS</v>
      </c>
      <c r="C502" s="290"/>
      <c r="D502" s="290"/>
      <c r="E502" s="290"/>
      <c r="F502" s="290"/>
      <c r="G502" s="291"/>
    </row>
    <row r="503" spans="2:7" ht="15" customHeight="1" thickBot="1">
      <c r="B503" s="292"/>
      <c r="C503" s="293"/>
      <c r="D503" s="293"/>
      <c r="E503" s="293"/>
      <c r="F503" s="293"/>
      <c r="G503" s="294"/>
    </row>
    <row r="504" spans="2:7">
      <c r="B504" s="297" t="s">
        <v>10</v>
      </c>
      <c r="C504" s="296"/>
      <c r="D504" s="295" t="s">
        <v>11</v>
      </c>
      <c r="E504" s="295"/>
      <c r="F504" s="295"/>
      <c r="G504" s="296"/>
    </row>
    <row r="505" spans="2:7">
      <c r="B505" s="52" t="s">
        <v>32</v>
      </c>
      <c r="C505" s="60" t="s">
        <v>33</v>
      </c>
      <c r="D505" s="52" t="s">
        <v>68</v>
      </c>
      <c r="E505" s="53" t="s">
        <v>69</v>
      </c>
      <c r="F505" s="53" t="s">
        <v>32</v>
      </c>
      <c r="G505" s="60" t="s">
        <v>33</v>
      </c>
    </row>
    <row r="506" spans="2:7">
      <c r="B506" s="54">
        <v>10</v>
      </c>
      <c r="C506" s="36"/>
      <c r="D506" s="57"/>
      <c r="E506" s="58"/>
      <c r="F506" s="58"/>
      <c r="G506" s="33"/>
    </row>
    <row r="507" spans="2:7">
      <c r="B507" s="55"/>
      <c r="C507" s="33"/>
      <c r="D507" s="57"/>
      <c r="E507" s="58"/>
      <c r="F507" s="58"/>
      <c r="G507" s="33"/>
    </row>
    <row r="508" spans="2:7">
      <c r="B508" s="55"/>
      <c r="C508" s="33"/>
      <c r="D508" s="57"/>
      <c r="E508" s="58"/>
      <c r="F508" s="58"/>
      <c r="G508" s="33"/>
    </row>
    <row r="509" spans="2:7">
      <c r="B509" s="55"/>
      <c r="C509" s="33"/>
      <c r="D509" s="57"/>
      <c r="E509" s="58"/>
      <c r="F509" s="58"/>
      <c r="G509" s="33"/>
    </row>
    <row r="510" spans="2:7">
      <c r="B510" s="55"/>
      <c r="C510" s="33"/>
      <c r="D510" s="57"/>
      <c r="E510" s="58"/>
      <c r="F510" s="58"/>
      <c r="G510" s="33"/>
    </row>
    <row r="511" spans="2:7">
      <c r="B511" s="55"/>
      <c r="C511" s="33"/>
      <c r="D511" s="57"/>
      <c r="E511" s="58"/>
      <c r="F511" s="58"/>
      <c r="G511" s="33"/>
    </row>
    <row r="512" spans="2:7">
      <c r="B512" s="55"/>
      <c r="C512" s="33"/>
      <c r="D512" s="57"/>
      <c r="E512" s="58"/>
      <c r="F512" s="58"/>
      <c r="G512" s="33"/>
    </row>
    <row r="513" spans="2:7">
      <c r="B513" s="55"/>
      <c r="C513" s="33"/>
      <c r="D513" s="57"/>
      <c r="E513" s="58"/>
      <c r="F513" s="58"/>
      <c r="G513" s="33"/>
    </row>
    <row r="514" spans="2:7">
      <c r="B514" s="55"/>
      <c r="C514" s="33"/>
      <c r="D514" s="57"/>
      <c r="E514" s="58"/>
      <c r="F514" s="58"/>
      <c r="G514" s="33"/>
    </row>
    <row r="515" spans="2:7">
      <c r="B515" s="55"/>
      <c r="C515" s="33"/>
      <c r="D515" s="57"/>
      <c r="E515" s="58"/>
      <c r="F515" s="58"/>
      <c r="G515" s="33"/>
    </row>
    <row r="516" spans="2:7">
      <c r="B516" s="55"/>
      <c r="C516" s="33"/>
      <c r="D516" s="57"/>
      <c r="E516" s="58"/>
      <c r="F516" s="58"/>
      <c r="G516" s="33"/>
    </row>
    <row r="517" spans="2:7">
      <c r="B517" s="55"/>
      <c r="C517" s="33"/>
      <c r="D517" s="57"/>
      <c r="E517" s="58"/>
      <c r="F517" s="58"/>
      <c r="G517" s="33"/>
    </row>
    <row r="518" spans="2:7">
      <c r="B518" s="55"/>
      <c r="C518" s="33"/>
      <c r="D518" s="57"/>
      <c r="E518" s="58"/>
      <c r="F518" s="58"/>
      <c r="G518" s="33"/>
    </row>
    <row r="519" spans="2:7" ht="15.75" thickBot="1">
      <c r="B519" s="56"/>
      <c r="C519" s="34"/>
      <c r="D519" s="56"/>
      <c r="E519" s="59"/>
      <c r="F519" s="59"/>
      <c r="G519" s="34"/>
    </row>
    <row r="520" spans="2:7" ht="15.75" thickBot="1">
      <c r="B520" s="56">
        <f>SUM(B506:B519)</f>
        <v>10</v>
      </c>
      <c r="C520" s="34"/>
      <c r="D520" s="56"/>
      <c r="E520" s="56"/>
      <c r="F520" s="56"/>
      <c r="G520" s="34"/>
    </row>
  </sheetData>
  <mergeCells count="111">
    <mergeCell ref="K13:L13"/>
    <mergeCell ref="K14:L14"/>
    <mergeCell ref="K8:L8"/>
    <mergeCell ref="K9:L9"/>
    <mergeCell ref="K10:L10"/>
    <mergeCell ref="K11:L11"/>
    <mergeCell ref="K12:L12"/>
    <mergeCell ref="I2:L3"/>
    <mergeCell ref="K4:L4"/>
    <mergeCell ref="K5:L5"/>
    <mergeCell ref="K6:L6"/>
    <mergeCell ref="K7:L7"/>
    <mergeCell ref="K15:L15"/>
    <mergeCell ref="K16:L16"/>
    <mergeCell ref="K17:L17"/>
    <mergeCell ref="B102:G103"/>
    <mergeCell ref="B84:C84"/>
    <mergeCell ref="D44:G44"/>
    <mergeCell ref="K18:L18"/>
    <mergeCell ref="K19:L19"/>
    <mergeCell ref="B44:C44"/>
    <mergeCell ref="B62:G63"/>
    <mergeCell ref="I22:L23"/>
    <mergeCell ref="K24:L24"/>
    <mergeCell ref="K25:L25"/>
    <mergeCell ref="K26:L26"/>
    <mergeCell ref="K27:L27"/>
    <mergeCell ref="K28:L28"/>
    <mergeCell ref="K34:L34"/>
    <mergeCell ref="K35:L35"/>
    <mergeCell ref="K36:L36"/>
    <mergeCell ref="K37:L37"/>
    <mergeCell ref="K38:L38"/>
    <mergeCell ref="K29:L29"/>
    <mergeCell ref="K30:L30"/>
    <mergeCell ref="B2:G3"/>
    <mergeCell ref="B4:C4"/>
    <mergeCell ref="B164:C164"/>
    <mergeCell ref="B324:C324"/>
    <mergeCell ref="D4:G4"/>
    <mergeCell ref="D164:G164"/>
    <mergeCell ref="B162:G163"/>
    <mergeCell ref="B182:G183"/>
    <mergeCell ref="B22:G23"/>
    <mergeCell ref="D24:G24"/>
    <mergeCell ref="D184:G184"/>
    <mergeCell ref="B202:G203"/>
    <mergeCell ref="D204:G204"/>
    <mergeCell ref="D304:G304"/>
    <mergeCell ref="B42:G43"/>
    <mergeCell ref="B24:C24"/>
    <mergeCell ref="B122:G123"/>
    <mergeCell ref="B104:C104"/>
    <mergeCell ref="B304:C304"/>
    <mergeCell ref="B224:C224"/>
    <mergeCell ref="B144:C144"/>
    <mergeCell ref="B142:G143"/>
    <mergeCell ref="B322:G323"/>
    <mergeCell ref="B362:G363"/>
    <mergeCell ref="K31:L31"/>
    <mergeCell ref="K32:L32"/>
    <mergeCell ref="K33:L33"/>
    <mergeCell ref="D144:G144"/>
    <mergeCell ref="B184:C184"/>
    <mergeCell ref="B344:C344"/>
    <mergeCell ref="D244:G244"/>
    <mergeCell ref="B222:G223"/>
    <mergeCell ref="B342:G343"/>
    <mergeCell ref="D344:G344"/>
    <mergeCell ref="D324:G324"/>
    <mergeCell ref="D224:G224"/>
    <mergeCell ref="B262:G263"/>
    <mergeCell ref="D264:G264"/>
    <mergeCell ref="D484:G484"/>
    <mergeCell ref="B502:G503"/>
    <mergeCell ref="D504:G504"/>
    <mergeCell ref="B504:C504"/>
    <mergeCell ref="B484:C484"/>
    <mergeCell ref="B464:C464"/>
    <mergeCell ref="B82:G83"/>
    <mergeCell ref="B64:C64"/>
    <mergeCell ref="D64:G64"/>
    <mergeCell ref="D84:G84"/>
    <mergeCell ref="D104:G104"/>
    <mergeCell ref="B124:C124"/>
    <mergeCell ref="B284:C284"/>
    <mergeCell ref="B264:C264"/>
    <mergeCell ref="B424:C424"/>
    <mergeCell ref="B242:G243"/>
    <mergeCell ref="B244:C244"/>
    <mergeCell ref="B404:C404"/>
    <mergeCell ref="D124:G124"/>
    <mergeCell ref="D424:G424"/>
    <mergeCell ref="B282:G283"/>
    <mergeCell ref="D284:G284"/>
    <mergeCell ref="B302:G303"/>
    <mergeCell ref="B204:C204"/>
    <mergeCell ref="B462:G463"/>
    <mergeCell ref="D464:G464"/>
    <mergeCell ref="B482:G483"/>
    <mergeCell ref="B444:C444"/>
    <mergeCell ref="B442:G443"/>
    <mergeCell ref="D444:G444"/>
    <mergeCell ref="D364:G364"/>
    <mergeCell ref="B382:G383"/>
    <mergeCell ref="D384:G384"/>
    <mergeCell ref="B364:C364"/>
    <mergeCell ref="B384:C384"/>
    <mergeCell ref="B402:G403"/>
    <mergeCell ref="D404:G404"/>
    <mergeCell ref="B422:G423"/>
  </mergeCells>
  <hyperlinks>
    <hyperlink ref="I2" location="Trimestre!C39:F40" display="TELÉFONO" xr:uid="{00000000-0004-0000-0100-000000000000}"/>
    <hyperlink ref="I2:L3" location="'2018'!C4:F4" display="SALDO REAL" xr:uid="{00000000-0004-0000-0100-000001000000}"/>
    <hyperlink ref="I22" location="Trimestre!C39:F40" display="TELÉFONO" xr:uid="{00000000-0004-0000-0100-000002000000}"/>
    <hyperlink ref="I22:L23" location="'2018'!C7:F7" display="INGRESOS" xr:uid="{00000000-0004-0000-0100-000003000000}"/>
    <hyperlink ref="B2" location="Trimestre!C25:F26" display="HIPOTECA" xr:uid="{00000000-0004-0000-0100-000004000000}"/>
    <hyperlink ref="B2:G3" location="'2018'!C20:F20" display="'2018'!C20:F20" xr:uid="{00000000-0004-0000-0100-000005000000}"/>
    <hyperlink ref="B22" location="Trimestre!C25:F26" display="HIPOTECA" xr:uid="{00000000-0004-0000-0100-000006000000}"/>
    <hyperlink ref="B22:G23" location="'2018'!C21:F21" display="'2018'!C21:F21" xr:uid="{00000000-0004-0000-0100-000007000000}"/>
    <hyperlink ref="B42" location="Trimestre!C25:F26" display="HIPOTECA" xr:uid="{00000000-0004-0000-0100-000008000000}"/>
    <hyperlink ref="B42:G43" location="'2018'!C22:F22" display="'2018'!C22:F22" xr:uid="{00000000-0004-0000-0100-000009000000}"/>
    <hyperlink ref="B62" location="Trimestre!C25:F26" display="HIPOTECA" xr:uid="{00000000-0004-0000-0100-00000A000000}"/>
    <hyperlink ref="B62:G63" location="'2018'!C23:F23" display="'2018'!C23:F23" xr:uid="{00000000-0004-0000-0100-00000B000000}"/>
    <hyperlink ref="B82" location="Trimestre!C25:F26" display="HIPOTECA" xr:uid="{00000000-0004-0000-0100-00000C000000}"/>
    <hyperlink ref="B82:G83" location="'2018'!C24:F24" display="'2018'!C24:F24" xr:uid="{00000000-0004-0000-0100-00000D000000}"/>
    <hyperlink ref="B102" location="Trimestre!C25:F26" display="HIPOTECA" xr:uid="{00000000-0004-0000-0100-00000E000000}"/>
    <hyperlink ref="B102:G103" location="'2018'!C25:F25" display="'2018'!C25:F25" xr:uid="{00000000-0004-0000-0100-00000F000000}"/>
    <hyperlink ref="B122" location="Trimestre!C25:F26" display="HIPOTECA" xr:uid="{00000000-0004-0000-0100-000010000000}"/>
    <hyperlink ref="B122:G123" location="'2018'!C26:F26" display="'2018'!C26:F26" xr:uid="{00000000-0004-0000-0100-000011000000}"/>
    <hyperlink ref="B142" location="Trimestre!C25:F26" display="HIPOTECA" xr:uid="{00000000-0004-0000-0100-000012000000}"/>
    <hyperlink ref="B142:G143" location="'2018'!C27:F27" display="'2018'!C27:F27" xr:uid="{00000000-0004-0000-0100-000013000000}"/>
    <hyperlink ref="B162" location="Trimestre!C25:F26" display="HIPOTECA" xr:uid="{00000000-0004-0000-0100-000014000000}"/>
    <hyperlink ref="B162:G163" location="'2018'!C28:F28" display="'2018'!C28:F28" xr:uid="{00000000-0004-0000-0100-000015000000}"/>
    <hyperlink ref="B182" location="Trimestre!C25:F26" display="HIPOTECA" xr:uid="{00000000-0004-0000-0100-000016000000}"/>
    <hyperlink ref="B182:G183" location="'2018'!C29:F29" display="'2018'!C29:F29" xr:uid="{00000000-0004-0000-0100-000017000000}"/>
    <hyperlink ref="B202" location="Trimestre!C25:F26" display="HIPOTECA" xr:uid="{00000000-0004-0000-0100-000018000000}"/>
    <hyperlink ref="B202:G203" location="'2018'!C30:F30" display="'2018'!C30:F30" xr:uid="{00000000-0004-0000-0100-000019000000}"/>
    <hyperlink ref="B222" location="Trimestre!C25:F26" display="HIPOTECA" xr:uid="{00000000-0004-0000-0100-00001A000000}"/>
    <hyperlink ref="B222:G223" location="'2018'!C31:F31" display="'2018'!C31:F31" xr:uid="{00000000-0004-0000-0100-00001B000000}"/>
    <hyperlink ref="B242" location="Trimestre!C25:F26" display="HIPOTECA" xr:uid="{00000000-0004-0000-0100-00001C000000}"/>
    <hyperlink ref="B242:G243" location="'2018'!C32:F32" display="'2018'!C32:F32" xr:uid="{00000000-0004-0000-0100-00001D000000}"/>
    <hyperlink ref="B262" location="Trimestre!C25:F26" display="HIPOTECA" xr:uid="{00000000-0004-0000-0100-00001E000000}"/>
    <hyperlink ref="B262:G263" location="'2018'!C33:F33" display="'2018'!C33:F33" xr:uid="{00000000-0004-0000-0100-00001F000000}"/>
    <hyperlink ref="B282" location="Trimestre!C25:F26" display="HIPOTECA" xr:uid="{00000000-0004-0000-0100-000020000000}"/>
    <hyperlink ref="B282:G283" location="'2018'!C34:F34" display="'2018'!C34:F34" xr:uid="{00000000-0004-0000-0100-000021000000}"/>
    <hyperlink ref="B302" location="Trimestre!C25:F26" display="HIPOTECA" xr:uid="{00000000-0004-0000-0100-000022000000}"/>
    <hyperlink ref="B302:G303" location="'2018'!C35:F35" display="'2018'!C35:F35" xr:uid="{00000000-0004-0000-0100-000023000000}"/>
    <hyperlink ref="B322" location="Trimestre!C25:F26" display="HIPOTECA" xr:uid="{00000000-0004-0000-0100-000024000000}"/>
    <hyperlink ref="B322:G323" location="'2018'!C36:F36" display="'2018'!C36:F36" xr:uid="{00000000-0004-0000-0100-000025000000}"/>
    <hyperlink ref="B342" location="Trimestre!C25:F26" display="HIPOTECA" xr:uid="{00000000-0004-0000-0100-000026000000}"/>
    <hyperlink ref="B342:G343" location="'2018'!C37:F37" display="'2018'!C37:F37" xr:uid="{00000000-0004-0000-0100-000027000000}"/>
    <hyperlink ref="B362" location="Trimestre!C25:F26" display="HIPOTECA" xr:uid="{00000000-0004-0000-0100-000028000000}"/>
    <hyperlink ref="B362:G363" location="'2018'!C38:F38" display="'2018'!C38:F38" xr:uid="{00000000-0004-0000-0100-000029000000}"/>
    <hyperlink ref="B382" location="Trimestre!C25:F26" display="HIPOTECA" xr:uid="{00000000-0004-0000-0100-00002A000000}"/>
    <hyperlink ref="B382:G383" location="'2018'!C39:F39" display="'2018'!C39:F39" xr:uid="{00000000-0004-0000-0100-00002B000000}"/>
    <hyperlink ref="B402" location="Trimestre!C25:F26" display="HIPOTECA" xr:uid="{00000000-0004-0000-0100-00002C000000}"/>
    <hyperlink ref="B402:G403" location="'2018'!C40:F40" display="'2018'!C40:F40" xr:uid="{00000000-0004-0000-0100-00002D000000}"/>
    <hyperlink ref="B422" location="Trimestre!C25:F26" display="HIPOTECA" xr:uid="{00000000-0004-0000-0100-00002E000000}"/>
    <hyperlink ref="B422:G423" location="'2018'!C41:F41" display="'2018'!C41:F41" xr:uid="{00000000-0004-0000-0100-00002F000000}"/>
    <hyperlink ref="B442" location="Trimestre!C25:F26" display="HIPOTECA" xr:uid="{00000000-0004-0000-0100-000030000000}"/>
    <hyperlink ref="B442:G443" location="'2018'!C42:F42" display="'2018'!C42:F42" xr:uid="{00000000-0004-0000-0100-000031000000}"/>
    <hyperlink ref="B462" location="Trimestre!C25:F26" display="HIPOTECA" xr:uid="{00000000-0004-0000-0100-000032000000}"/>
    <hyperlink ref="B462:G463" location="'2018'!C43:F43" display="'2018'!C43:F43" xr:uid="{00000000-0004-0000-0100-000033000000}"/>
    <hyperlink ref="B482" location="Trimestre!C25:F26" display="HIPOTECA" xr:uid="{00000000-0004-0000-0100-000034000000}"/>
    <hyperlink ref="B482:G483" location="'2018'!C44:F44" display="'2018'!C44:F44" xr:uid="{00000000-0004-0000-0100-000035000000}"/>
    <hyperlink ref="B502" location="Trimestre!C25:F26" display="HIPOTECA" xr:uid="{00000000-0004-0000-0100-000036000000}"/>
    <hyperlink ref="B502:G503" location="'2018'!C45:F45" display="'2018'!C45:F45" xr:uid="{00000000-0004-0000-0100-000037000000}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520"/>
  <sheetViews>
    <sheetView topLeftCell="A2" workbookViewId="0">
      <selection activeCell="E8" sqref="E8"/>
    </sheetView>
  </sheetViews>
  <sheetFormatPr defaultColWidth="11.42578125" defaultRowHeight="15"/>
  <cols>
    <col min="1" max="1" width="11.42578125" style="137"/>
    <col min="2" max="2" width="10" style="137" customWidth="1"/>
    <col min="3" max="3" width="33.28515625" style="137" customWidth="1"/>
    <col min="4" max="6" width="10" style="137" customWidth="1"/>
    <col min="7" max="7" width="33.28515625" style="137" customWidth="1"/>
    <col min="8" max="9" width="11.42578125" style="137"/>
    <col min="10" max="10" width="31.28515625" style="137" customWidth="1"/>
    <col min="11" max="16384" width="11.42578125" style="137"/>
  </cols>
  <sheetData>
    <row r="1" spans="1:22" ht="16.5" thickBot="1">
      <c r="A1" s="1"/>
      <c r="B1" s="1"/>
      <c r="C1" s="1"/>
      <c r="D1" s="1"/>
      <c r="E1" s="1"/>
      <c r="F1" s="1"/>
      <c r="G1" s="1"/>
      <c r="H1" s="30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89" t="str">
        <f>'2018'!A20</f>
        <v>Cártama Gastos</v>
      </c>
      <c r="C2" s="290"/>
      <c r="D2" s="290"/>
      <c r="E2" s="290"/>
      <c r="F2" s="290"/>
      <c r="G2" s="291"/>
      <c r="H2" s="1"/>
      <c r="I2" s="302" t="s">
        <v>4</v>
      </c>
      <c r="J2" s="290"/>
      <c r="K2" s="290"/>
      <c r="L2" s="291"/>
      <c r="M2" s="1"/>
      <c r="N2" s="1"/>
      <c r="R2" s="3"/>
    </row>
    <row r="3" spans="1:22" ht="16.5" thickBot="1">
      <c r="A3" s="1"/>
      <c r="B3" s="292"/>
      <c r="C3" s="293"/>
      <c r="D3" s="293"/>
      <c r="E3" s="293"/>
      <c r="F3" s="293"/>
      <c r="G3" s="294"/>
      <c r="H3" s="1"/>
      <c r="I3" s="292"/>
      <c r="J3" s="293"/>
      <c r="K3" s="293"/>
      <c r="L3" s="294"/>
      <c r="M3" s="1"/>
      <c r="N3" s="1"/>
      <c r="R3" s="3"/>
    </row>
    <row r="4" spans="1:22" ht="15.75">
      <c r="A4" s="1"/>
      <c r="B4" s="297" t="s">
        <v>10</v>
      </c>
      <c r="C4" s="296"/>
      <c r="D4" s="295" t="s">
        <v>11</v>
      </c>
      <c r="E4" s="295"/>
      <c r="F4" s="295"/>
      <c r="G4" s="296"/>
      <c r="H4" s="1"/>
      <c r="I4" s="31" t="s">
        <v>70</v>
      </c>
      <c r="J4" s="32" t="s">
        <v>71</v>
      </c>
      <c r="K4" s="303" t="s">
        <v>72</v>
      </c>
      <c r="L4" s="304"/>
      <c r="M4" s="1"/>
      <c r="N4" s="1"/>
      <c r="R4" s="3"/>
    </row>
    <row r="5" spans="1:22" ht="15.75">
      <c r="A5" s="1" t="s">
        <v>608</v>
      </c>
      <c r="B5" s="52" t="s">
        <v>32</v>
      </c>
      <c r="C5" s="60" t="s">
        <v>33</v>
      </c>
      <c r="D5" s="52" t="s">
        <v>68</v>
      </c>
      <c r="E5" s="53" t="s">
        <v>69</v>
      </c>
      <c r="F5" s="53" t="s">
        <v>32</v>
      </c>
      <c r="G5" s="60" t="s">
        <v>33</v>
      </c>
      <c r="H5" s="1"/>
      <c r="I5" s="61" t="s">
        <v>73</v>
      </c>
      <c r="J5" s="3" t="s">
        <v>74</v>
      </c>
      <c r="K5" s="305">
        <v>1295.79</v>
      </c>
      <c r="L5" s="306"/>
      <c r="M5" s="82"/>
      <c r="N5" s="1"/>
      <c r="R5" s="3"/>
    </row>
    <row r="6" spans="1:22" ht="15.75">
      <c r="A6" s="163">
        <f>'01'!A6+B6-E6</f>
        <v>1.2400000000000091</v>
      </c>
      <c r="B6" s="54">
        <v>401</v>
      </c>
      <c r="C6" s="36" t="s">
        <v>34</v>
      </c>
      <c r="D6" s="57"/>
      <c r="E6" s="58">
        <v>400.38</v>
      </c>
      <c r="F6" s="58"/>
      <c r="G6" s="33" t="s">
        <v>35</v>
      </c>
      <c r="H6" s="1"/>
      <c r="I6" s="62" t="s">
        <v>73</v>
      </c>
      <c r="J6" s="35" t="s">
        <v>75</v>
      </c>
      <c r="K6" s="298">
        <v>379.61</v>
      </c>
      <c r="L6" s="299"/>
      <c r="M6" s="1" t="s">
        <v>266</v>
      </c>
      <c r="N6" s="1"/>
      <c r="R6" s="3"/>
    </row>
    <row r="7" spans="1:22" ht="15.75">
      <c r="A7" s="163">
        <f>'01'!A7+B7-E7</f>
        <v>151.65</v>
      </c>
      <c r="B7" s="55">
        <v>56</v>
      </c>
      <c r="C7" s="33" t="s">
        <v>100</v>
      </c>
      <c r="D7" s="57"/>
      <c r="E7" s="58"/>
      <c r="F7" s="58"/>
      <c r="G7" s="33" t="s">
        <v>106</v>
      </c>
      <c r="H7" s="1"/>
      <c r="I7" s="62" t="s">
        <v>76</v>
      </c>
      <c r="J7" s="35" t="s">
        <v>77</v>
      </c>
      <c r="K7" s="298">
        <v>7271.78</v>
      </c>
      <c r="L7" s="299"/>
      <c r="M7" s="1"/>
      <c r="N7" s="1"/>
      <c r="R7" s="3"/>
    </row>
    <row r="8" spans="1:22" ht="15.75">
      <c r="A8" s="163">
        <f>'01'!A8+B8-E8</f>
        <v>-119.41</v>
      </c>
      <c r="B8" s="55">
        <v>0</v>
      </c>
      <c r="C8" s="33" t="s">
        <v>38</v>
      </c>
      <c r="D8" s="57"/>
      <c r="E8" s="137">
        <v>119.41</v>
      </c>
      <c r="F8" s="58"/>
      <c r="G8" s="33" t="s">
        <v>38</v>
      </c>
      <c r="H8" s="1"/>
      <c r="I8" s="62" t="s">
        <v>76</v>
      </c>
      <c r="J8" s="35" t="s">
        <v>78</v>
      </c>
      <c r="K8" s="298">
        <v>9090.56</v>
      </c>
      <c r="L8" s="299"/>
      <c r="M8" s="1"/>
      <c r="N8" s="1"/>
      <c r="R8" s="3"/>
    </row>
    <row r="9" spans="1:22" ht="15.75">
      <c r="A9" s="163">
        <f>'01'!A9+B9-E9</f>
        <v>0</v>
      </c>
      <c r="B9" s="55">
        <v>0</v>
      </c>
      <c r="C9" s="33" t="s">
        <v>40</v>
      </c>
      <c r="D9" s="57"/>
      <c r="E9" s="58"/>
      <c r="F9" s="58"/>
      <c r="G9" s="33" t="s">
        <v>40</v>
      </c>
      <c r="H9" s="1"/>
      <c r="I9" s="62" t="s">
        <v>76</v>
      </c>
      <c r="J9" s="35" t="s">
        <v>267</v>
      </c>
      <c r="K9" s="298">
        <v>69.22</v>
      </c>
      <c r="L9" s="299"/>
      <c r="M9" s="1"/>
      <c r="N9" s="1"/>
      <c r="R9" s="3"/>
    </row>
    <row r="10" spans="1:22" ht="15.75">
      <c r="A10" s="163">
        <f>'01'!A10+B10-E10</f>
        <v>3</v>
      </c>
      <c r="B10" s="55">
        <v>12</v>
      </c>
      <c r="C10" s="33" t="s">
        <v>39</v>
      </c>
      <c r="D10" s="57"/>
      <c r="E10" s="58">
        <v>12</v>
      </c>
      <c r="F10" s="58"/>
      <c r="G10" s="33" t="s">
        <v>39</v>
      </c>
      <c r="H10" s="1"/>
      <c r="I10" s="62" t="s">
        <v>76</v>
      </c>
      <c r="J10" s="35" t="s">
        <v>115</v>
      </c>
      <c r="K10" s="298">
        <v>1800.04</v>
      </c>
      <c r="L10" s="299"/>
      <c r="M10" s="1" t="s">
        <v>265</v>
      </c>
      <c r="N10" s="1"/>
      <c r="R10" s="3"/>
    </row>
    <row r="11" spans="1:22" ht="15.75">
      <c r="A11" s="163">
        <f>'01'!A11+B11-E11</f>
        <v>1.5200000000000031</v>
      </c>
      <c r="B11" s="55">
        <v>31</v>
      </c>
      <c r="C11" s="33" t="s">
        <v>37</v>
      </c>
      <c r="D11" s="57"/>
      <c r="E11" s="58">
        <v>30.24</v>
      </c>
      <c r="F11" s="58"/>
      <c r="G11" s="33" t="s">
        <v>37</v>
      </c>
      <c r="H11" s="1"/>
      <c r="I11" s="62" t="s">
        <v>93</v>
      </c>
      <c r="J11" s="35" t="s">
        <v>94</v>
      </c>
      <c r="K11" s="298">
        <f>290+20</f>
        <v>310</v>
      </c>
      <c r="L11" s="299"/>
      <c r="M11" s="1"/>
      <c r="N11" s="1"/>
      <c r="R11" s="3"/>
    </row>
    <row r="12" spans="1:22" ht="15.75">
      <c r="A12" s="163">
        <f>'01'!A12+B12-E12</f>
        <v>232.76</v>
      </c>
      <c r="B12" s="55">
        <v>120</v>
      </c>
      <c r="C12" s="33" t="s">
        <v>195</v>
      </c>
      <c r="D12" s="57"/>
      <c r="E12" s="58">
        <v>43.62</v>
      </c>
      <c r="F12" s="58"/>
      <c r="G12" s="33" t="s">
        <v>224</v>
      </c>
      <c r="H12" s="1"/>
      <c r="I12" s="62"/>
      <c r="J12" s="35"/>
      <c r="K12" s="298"/>
      <c r="L12" s="299"/>
      <c r="N12" s="1"/>
      <c r="R12" s="3"/>
    </row>
    <row r="13" spans="1:22" ht="15.75">
      <c r="A13" s="163">
        <f>'01'!A13+B13-E13</f>
        <v>60</v>
      </c>
      <c r="B13" s="55">
        <v>55</v>
      </c>
      <c r="C13" s="33" t="s">
        <v>196</v>
      </c>
      <c r="D13" s="57"/>
      <c r="E13" s="58"/>
      <c r="F13" s="58"/>
      <c r="G13" s="33"/>
      <c r="H13" s="1"/>
      <c r="I13" s="62"/>
      <c r="J13" s="35"/>
      <c r="K13" s="298"/>
      <c r="L13" s="299"/>
      <c r="M13" s="1"/>
      <c r="N13" s="1"/>
      <c r="R13" s="3"/>
    </row>
    <row r="14" spans="1:22" ht="15.75">
      <c r="A14" s="163">
        <f>'01'!A14+B14-E14</f>
        <v>50</v>
      </c>
      <c r="B14" s="55">
        <v>25</v>
      </c>
      <c r="C14" s="33" t="s">
        <v>206</v>
      </c>
      <c r="D14" s="57"/>
      <c r="E14" s="58"/>
      <c r="F14" s="58"/>
      <c r="G14" s="33"/>
      <c r="H14" s="1"/>
      <c r="I14" s="62"/>
      <c r="J14" s="35"/>
      <c r="K14" s="298"/>
      <c r="L14" s="299"/>
      <c r="M14" s="1"/>
      <c r="N14" s="1"/>
      <c r="R14" s="3"/>
    </row>
    <row r="15" spans="1:22" ht="15.75">
      <c r="A15" s="163">
        <f>'01'!A15+B15-E15</f>
        <v>0</v>
      </c>
      <c r="B15" s="55"/>
      <c r="C15" s="33"/>
      <c r="D15" s="57"/>
      <c r="E15" s="58"/>
      <c r="F15" s="58"/>
      <c r="G15" s="33"/>
      <c r="H15" s="1"/>
      <c r="I15" s="62"/>
      <c r="J15" s="35"/>
      <c r="K15" s="298"/>
      <c r="L15" s="299"/>
      <c r="M15" s="1"/>
      <c r="N15" s="1"/>
      <c r="R15" s="3"/>
    </row>
    <row r="16" spans="1:22" ht="15.75">
      <c r="A16" s="163">
        <f>'01'!A16+B16-E16</f>
        <v>0</v>
      </c>
      <c r="B16" s="55"/>
      <c r="C16" s="33"/>
      <c r="D16" s="57"/>
      <c r="E16" s="58"/>
      <c r="F16" s="58"/>
      <c r="G16" s="33"/>
      <c r="H16" s="1"/>
      <c r="I16" s="62"/>
      <c r="J16" s="35"/>
      <c r="K16" s="298"/>
      <c r="L16" s="299"/>
      <c r="M16" s="1"/>
      <c r="N16" s="1"/>
      <c r="R16" s="3"/>
    </row>
    <row r="17" spans="1:18" ht="15.75">
      <c r="A17" s="1"/>
      <c r="B17" s="55"/>
      <c r="C17" s="33"/>
      <c r="D17" s="57"/>
      <c r="E17" s="58"/>
      <c r="F17" s="58"/>
      <c r="G17" s="33"/>
      <c r="H17" s="1"/>
      <c r="I17" s="62"/>
      <c r="J17" s="35"/>
      <c r="K17" s="298"/>
      <c r="L17" s="299"/>
      <c r="M17" s="1"/>
      <c r="N17" s="1"/>
      <c r="R17" s="3"/>
    </row>
    <row r="18" spans="1:18" ht="16.5" thickBot="1">
      <c r="A18" s="1"/>
      <c r="B18" s="55"/>
      <c r="C18" s="33"/>
      <c r="D18" s="57"/>
      <c r="E18" s="58"/>
      <c r="F18" s="58"/>
      <c r="G18" s="33"/>
      <c r="H18" s="1"/>
      <c r="I18" s="63"/>
      <c r="J18" s="37"/>
      <c r="K18" s="300"/>
      <c r="L18" s="301"/>
      <c r="M18" s="1"/>
      <c r="N18" s="1"/>
      <c r="R18" s="3"/>
    </row>
    <row r="19" spans="1:18" ht="16.5" thickBot="1">
      <c r="A19" s="1"/>
      <c r="B19" s="56"/>
      <c r="C19" s="34"/>
      <c r="D19" s="56"/>
      <c r="E19" s="59"/>
      <c r="F19" s="59"/>
      <c r="G19" s="34"/>
      <c r="H19" s="1"/>
      <c r="I19" s="63" t="s">
        <v>83</v>
      </c>
      <c r="J19" s="37"/>
      <c r="K19" s="300">
        <f>SUM(K5:K18)</f>
        <v>20217</v>
      </c>
      <c r="L19" s="301"/>
      <c r="M19" s="1"/>
      <c r="N19" s="1"/>
      <c r="R19" s="3"/>
    </row>
    <row r="20" spans="1:18" ht="16.5" thickBot="1">
      <c r="A20" s="163">
        <f>SUM(A6:A15)</f>
        <v>380.76</v>
      </c>
      <c r="B20" s="56">
        <f>SUM(B6:B19)</f>
        <v>700</v>
      </c>
      <c r="C20" s="34" t="s">
        <v>66</v>
      </c>
      <c r="D20" s="56">
        <f>SUM(D6:D19)</f>
        <v>0</v>
      </c>
      <c r="E20" s="56">
        <f>SUM(E6:E19)</f>
        <v>605.65</v>
      </c>
      <c r="F20" s="56">
        <f>SUM(F6:F19)</f>
        <v>0</v>
      </c>
      <c r="G20" s="34" t="s">
        <v>66</v>
      </c>
      <c r="H20" s="1"/>
      <c r="I20" s="137" t="s">
        <v>116</v>
      </c>
      <c r="L20" s="140">
        <f>K19-K10</f>
        <v>18416.96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89" t="str">
        <f>'2018'!A21</f>
        <v>Waterloo</v>
      </c>
      <c r="C22" s="290"/>
      <c r="D22" s="290"/>
      <c r="E22" s="290"/>
      <c r="F22" s="290"/>
      <c r="G22" s="291"/>
      <c r="H22" s="1"/>
      <c r="I22" s="302" t="s">
        <v>6</v>
      </c>
      <c r="J22" s="290"/>
      <c r="K22" s="290"/>
      <c r="L22" s="291"/>
      <c r="M22" s="1"/>
      <c r="R22" s="3"/>
    </row>
    <row r="23" spans="1:18" ht="16.149999999999999" customHeight="1" thickBot="1">
      <c r="A23" s="1"/>
      <c r="B23" s="292"/>
      <c r="C23" s="293"/>
      <c r="D23" s="293"/>
      <c r="E23" s="293"/>
      <c r="F23" s="293"/>
      <c r="G23" s="294"/>
      <c r="H23" s="1"/>
      <c r="I23" s="292"/>
      <c r="J23" s="293"/>
      <c r="K23" s="293"/>
      <c r="L23" s="294"/>
      <c r="M23" s="1"/>
      <c r="R23" s="3"/>
    </row>
    <row r="24" spans="1:18" ht="15.75">
      <c r="A24" s="1"/>
      <c r="B24" s="297" t="s">
        <v>10</v>
      </c>
      <c r="C24" s="296"/>
      <c r="D24" s="295" t="s">
        <v>11</v>
      </c>
      <c r="E24" s="295"/>
      <c r="F24" s="295"/>
      <c r="G24" s="296"/>
      <c r="H24" s="1"/>
      <c r="I24" s="88" t="s">
        <v>33</v>
      </c>
      <c r="J24" s="32" t="s">
        <v>133</v>
      </c>
      <c r="K24" s="303" t="s">
        <v>134</v>
      </c>
      <c r="L24" s="304"/>
      <c r="M24" s="1"/>
      <c r="R24" s="3"/>
    </row>
    <row r="25" spans="1:18" ht="15.75">
      <c r="A25" s="1"/>
      <c r="B25" s="52" t="s">
        <v>32</v>
      </c>
      <c r="C25" s="60" t="s">
        <v>33</v>
      </c>
      <c r="D25" s="52" t="s">
        <v>68</v>
      </c>
      <c r="E25" s="53" t="s">
        <v>69</v>
      </c>
      <c r="F25" s="53" t="s">
        <v>32</v>
      </c>
      <c r="G25" s="60" t="s">
        <v>33</v>
      </c>
      <c r="H25" s="1"/>
      <c r="I25" s="151">
        <v>2</v>
      </c>
      <c r="J25" s="35" t="s">
        <v>278</v>
      </c>
      <c r="K25" s="298">
        <v>176.46</v>
      </c>
      <c r="L25" s="299"/>
      <c r="M25" s="1"/>
      <c r="R25" s="3"/>
    </row>
    <row r="26" spans="1:18" ht="15.75">
      <c r="A26" s="1"/>
      <c r="B26" s="54">
        <v>900</v>
      </c>
      <c r="C26" s="66" t="s">
        <v>42</v>
      </c>
      <c r="D26" s="57">
        <v>900</v>
      </c>
      <c r="E26" s="58"/>
      <c r="F26" s="58"/>
      <c r="G26" s="33" t="s">
        <v>42</v>
      </c>
      <c r="H26" s="1"/>
      <c r="I26" s="151">
        <v>9</v>
      </c>
      <c r="J26" s="35" t="s">
        <v>279</v>
      </c>
      <c r="K26" s="298">
        <v>47.52</v>
      </c>
      <c r="L26" s="299"/>
      <c r="M26" s="1"/>
      <c r="R26" s="3"/>
    </row>
    <row r="27" spans="1:18" ht="15.75">
      <c r="A27" s="1"/>
      <c r="B27" s="55">
        <v>200</v>
      </c>
      <c r="C27" s="66" t="s">
        <v>44</v>
      </c>
      <c r="D27" s="57">
        <v>151.16999999999999</v>
      </c>
      <c r="E27" s="58"/>
      <c r="F27" s="58"/>
      <c r="G27" s="33" t="s">
        <v>44</v>
      </c>
      <c r="H27" s="1"/>
      <c r="I27" s="151">
        <v>6</v>
      </c>
      <c r="J27" s="35" t="s">
        <v>223</v>
      </c>
      <c r="K27" s="298">
        <v>93.93</v>
      </c>
      <c r="L27" s="299"/>
      <c r="M27" s="1"/>
      <c r="R27" s="3"/>
    </row>
    <row r="28" spans="1:18" ht="15.75">
      <c r="A28" s="1"/>
      <c r="B28" s="55">
        <v>40</v>
      </c>
      <c r="C28" s="66" t="s">
        <v>45</v>
      </c>
      <c r="D28" s="57"/>
      <c r="E28" s="58"/>
      <c r="F28" s="58"/>
      <c r="G28" s="33" t="s">
        <v>45</v>
      </c>
      <c r="H28" s="1"/>
      <c r="I28" s="151">
        <v>5</v>
      </c>
      <c r="J28" s="35" t="s">
        <v>309</v>
      </c>
      <c r="K28" s="298">
        <v>447.43</v>
      </c>
      <c r="L28" s="299"/>
      <c r="M28" s="1"/>
      <c r="R28" s="3"/>
    </row>
    <row r="29" spans="1:18" ht="15.75">
      <c r="A29" s="1"/>
      <c r="B29" s="55">
        <v>18</v>
      </c>
      <c r="C29" s="66" t="s">
        <v>41</v>
      </c>
      <c r="D29" s="57">
        <v>17.46</v>
      </c>
      <c r="E29" s="58"/>
      <c r="F29" s="58"/>
      <c r="G29" s="33" t="s">
        <v>41</v>
      </c>
      <c r="H29" s="1"/>
      <c r="I29" s="151">
        <v>1</v>
      </c>
      <c r="J29" s="35" t="s">
        <v>312</v>
      </c>
      <c r="K29" s="298">
        <v>1638.24</v>
      </c>
      <c r="L29" s="299"/>
      <c r="M29" s="1"/>
      <c r="R29" s="3"/>
    </row>
    <row r="30" spans="1:18" ht="15.75">
      <c r="A30" s="1"/>
      <c r="B30" s="55">
        <v>47.52</v>
      </c>
      <c r="C30" s="66" t="s">
        <v>280</v>
      </c>
      <c r="D30" s="57"/>
      <c r="E30" s="58"/>
      <c r="F30" s="58"/>
      <c r="G30" s="33"/>
      <c r="H30" s="1"/>
      <c r="I30" s="151"/>
      <c r="J30" s="35"/>
      <c r="K30" s="298"/>
      <c r="L30" s="299"/>
      <c r="M30" s="1"/>
      <c r="R30" s="3"/>
    </row>
    <row r="31" spans="1:18" ht="15.75">
      <c r="A31" s="1"/>
      <c r="B31" s="55"/>
      <c r="C31" s="33"/>
      <c r="D31" s="57"/>
      <c r="E31" s="58"/>
      <c r="F31" s="58"/>
      <c r="G31" s="33"/>
      <c r="H31" s="1"/>
      <c r="I31" s="151"/>
      <c r="J31" s="35"/>
      <c r="K31" s="298"/>
      <c r="L31" s="299"/>
      <c r="M31" s="1"/>
      <c r="R31" s="3"/>
    </row>
    <row r="32" spans="1:18" ht="15.75">
      <c r="A32" s="1"/>
      <c r="B32" s="55"/>
      <c r="C32" s="33"/>
      <c r="D32" s="57"/>
      <c r="E32" s="58"/>
      <c r="F32" s="58"/>
      <c r="G32" s="33"/>
      <c r="H32" s="1"/>
      <c r="I32" s="151"/>
      <c r="J32" s="35"/>
      <c r="K32" s="298"/>
      <c r="L32" s="299"/>
      <c r="M32" s="1"/>
      <c r="R32" s="3"/>
    </row>
    <row r="33" spans="1:18" ht="15.75">
      <c r="A33" s="1"/>
      <c r="B33" s="55"/>
      <c r="C33" s="33"/>
      <c r="D33" s="57"/>
      <c r="E33" s="58"/>
      <c r="F33" s="58"/>
      <c r="G33" s="33"/>
      <c r="H33" s="1"/>
      <c r="I33" s="151"/>
      <c r="J33" s="35"/>
      <c r="K33" s="298"/>
      <c r="L33" s="299"/>
      <c r="M33" s="1"/>
      <c r="R33" s="3"/>
    </row>
    <row r="34" spans="1:18" ht="15.75">
      <c r="A34" s="1"/>
      <c r="B34" s="55"/>
      <c r="C34" s="33"/>
      <c r="D34" s="57"/>
      <c r="E34" s="58"/>
      <c r="F34" s="58"/>
      <c r="G34" s="33"/>
      <c r="H34" s="1"/>
      <c r="I34" s="151"/>
      <c r="J34" s="35"/>
      <c r="K34" s="298"/>
      <c r="L34" s="299"/>
      <c r="M34" s="1"/>
      <c r="R34" s="3"/>
    </row>
    <row r="35" spans="1:18" ht="15.75">
      <c r="A35" s="1"/>
      <c r="B35" s="55"/>
      <c r="C35" s="33"/>
      <c r="D35" s="57"/>
      <c r="E35" s="58"/>
      <c r="F35" s="58"/>
      <c r="G35" s="33"/>
      <c r="H35" s="1"/>
      <c r="I35" s="151"/>
      <c r="J35" s="35"/>
      <c r="K35" s="298"/>
      <c r="L35" s="299"/>
      <c r="M35" s="1"/>
      <c r="R35" s="3"/>
    </row>
    <row r="36" spans="1:18" ht="15.75">
      <c r="A36" s="1"/>
      <c r="B36" s="55"/>
      <c r="C36" s="33"/>
      <c r="D36" s="57"/>
      <c r="E36" s="58"/>
      <c r="F36" s="58"/>
      <c r="G36" s="33"/>
      <c r="H36" s="1"/>
      <c r="I36" s="151"/>
      <c r="J36" s="35"/>
      <c r="K36" s="298"/>
      <c r="L36" s="299"/>
      <c r="M36" s="1"/>
      <c r="R36" s="3"/>
    </row>
    <row r="37" spans="1:18" ht="15.75">
      <c r="A37" s="1"/>
      <c r="B37" s="55"/>
      <c r="C37" s="33"/>
      <c r="D37" s="57"/>
      <c r="E37" s="58"/>
      <c r="F37" s="58"/>
      <c r="G37" s="33"/>
      <c r="H37" s="1"/>
      <c r="I37" s="151"/>
      <c r="J37" s="35"/>
      <c r="K37" s="298"/>
      <c r="L37" s="299"/>
      <c r="M37" s="1"/>
      <c r="R37" s="3"/>
    </row>
    <row r="38" spans="1:18" ht="16.5" thickBot="1">
      <c r="A38" s="1"/>
      <c r="B38" s="55"/>
      <c r="C38" s="33"/>
      <c r="D38" s="57"/>
      <c r="E38" s="58"/>
      <c r="F38" s="58"/>
      <c r="G38" s="33"/>
      <c r="H38" s="1"/>
      <c r="I38" s="152"/>
      <c r="J38" s="37"/>
      <c r="K38" s="300"/>
      <c r="L38" s="301"/>
      <c r="M38" s="1"/>
      <c r="R38" s="3"/>
    </row>
    <row r="39" spans="1:18" ht="16.5" thickBot="1">
      <c r="A39" s="1"/>
      <c r="B39" s="56"/>
      <c r="C39" s="34"/>
      <c r="D39" s="56"/>
      <c r="E39" s="59"/>
      <c r="F39" s="59"/>
      <c r="G39" s="34"/>
      <c r="H39" s="1"/>
      <c r="M39" s="1"/>
      <c r="R39" s="3"/>
    </row>
    <row r="40" spans="1:18" ht="16.5" thickBot="1">
      <c r="A40" s="1"/>
      <c r="B40" s="56">
        <f>SUM(B26:B39)</f>
        <v>1205.52</v>
      </c>
      <c r="C40" s="34" t="s">
        <v>66</v>
      </c>
      <c r="D40" s="56">
        <f>SUM(D26:D39)</f>
        <v>1068.6300000000001</v>
      </c>
      <c r="E40" s="56">
        <f>SUM(E26:E39)</f>
        <v>0</v>
      </c>
      <c r="F40" s="56">
        <f>SUM(F26:F39)</f>
        <v>0</v>
      </c>
      <c r="G40" s="34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89" t="str">
        <f>'2018'!A22</f>
        <v>Comida+Limpieza</v>
      </c>
      <c r="C42" s="290"/>
      <c r="D42" s="290"/>
      <c r="E42" s="290"/>
      <c r="F42" s="290"/>
      <c r="G42" s="291"/>
      <c r="H42" s="1"/>
      <c r="M42" s="1"/>
      <c r="R42" s="3"/>
    </row>
    <row r="43" spans="1:18" ht="16.149999999999999" customHeight="1" thickBot="1">
      <c r="A43" s="1"/>
      <c r="B43" s="292"/>
      <c r="C43" s="293"/>
      <c r="D43" s="293"/>
      <c r="E43" s="293"/>
      <c r="F43" s="293"/>
      <c r="G43" s="294"/>
      <c r="H43" s="1"/>
      <c r="M43" s="1"/>
      <c r="R43" s="3"/>
    </row>
    <row r="44" spans="1:18" ht="15.75">
      <c r="A44" s="1"/>
      <c r="B44" s="297" t="s">
        <v>10</v>
      </c>
      <c r="C44" s="296"/>
      <c r="D44" s="295" t="s">
        <v>11</v>
      </c>
      <c r="E44" s="295"/>
      <c r="F44" s="295"/>
      <c r="G44" s="296"/>
      <c r="H44" s="1"/>
      <c r="M44" s="1"/>
      <c r="R44" s="3"/>
    </row>
    <row r="45" spans="1:18" ht="15.75">
      <c r="A45" s="1"/>
      <c r="B45" s="52" t="s">
        <v>32</v>
      </c>
      <c r="C45" s="60" t="s">
        <v>33</v>
      </c>
      <c r="D45" s="52" t="s">
        <v>68</v>
      </c>
      <c r="E45" s="53" t="s">
        <v>69</v>
      </c>
      <c r="F45" s="53" t="s">
        <v>32</v>
      </c>
      <c r="G45" s="60" t="s">
        <v>33</v>
      </c>
      <c r="H45" s="1"/>
      <c r="M45" s="1"/>
      <c r="R45" s="3"/>
    </row>
    <row r="46" spans="1:18" ht="15.75">
      <c r="A46" s="1"/>
      <c r="B46" s="54">
        <v>360</v>
      </c>
      <c r="C46" s="36"/>
      <c r="D46" s="57">
        <f>159.38+43.55</f>
        <v>202.93</v>
      </c>
      <c r="E46" s="58"/>
      <c r="F46" s="58"/>
      <c r="G46" s="69" t="s">
        <v>47</v>
      </c>
      <c r="H46" s="1"/>
      <c r="M46" s="1"/>
      <c r="R46" s="3"/>
    </row>
    <row r="47" spans="1:18" ht="15.75">
      <c r="A47" s="1"/>
      <c r="B47" s="55">
        <v>20</v>
      </c>
      <c r="C47" s="33" t="s">
        <v>110</v>
      </c>
      <c r="D47" s="57"/>
      <c r="E47" s="58"/>
      <c r="F47" s="58"/>
      <c r="G47" s="33" t="s">
        <v>48</v>
      </c>
      <c r="H47" s="1"/>
      <c r="M47" s="1"/>
      <c r="R47" s="3"/>
    </row>
    <row r="48" spans="1:18" ht="15.75">
      <c r="A48" s="1"/>
      <c r="B48" s="55">
        <v>20</v>
      </c>
      <c r="C48" s="33" t="s">
        <v>259</v>
      </c>
      <c r="D48" s="57">
        <f>19.12+24.23+26.6</f>
        <v>69.95</v>
      </c>
      <c r="E48" s="58"/>
      <c r="F48" s="58"/>
      <c r="G48" s="33" t="s">
        <v>84</v>
      </c>
      <c r="H48" s="1"/>
      <c r="M48" s="1"/>
      <c r="R48" s="3"/>
    </row>
    <row r="49" spans="1:18" ht="15.75">
      <c r="A49" s="1"/>
      <c r="B49" s="55"/>
      <c r="C49" s="33"/>
      <c r="D49" s="57">
        <v>6.86</v>
      </c>
      <c r="E49" s="58"/>
      <c r="F49" s="58"/>
      <c r="G49" s="33" t="s">
        <v>49</v>
      </c>
      <c r="H49" s="1"/>
      <c r="M49" s="1"/>
      <c r="R49" s="3"/>
    </row>
    <row r="50" spans="1:18" ht="15.75">
      <c r="A50" s="1"/>
      <c r="B50" s="55"/>
      <c r="C50" s="33"/>
      <c r="D50" s="57"/>
      <c r="E50" s="58"/>
      <c r="F50" s="58"/>
      <c r="G50" s="33" t="s">
        <v>85</v>
      </c>
      <c r="H50" s="1"/>
      <c r="M50" s="1"/>
      <c r="R50" s="3"/>
    </row>
    <row r="51" spans="1:18" ht="15.75">
      <c r="A51" s="1"/>
      <c r="B51" s="55"/>
      <c r="C51" s="33"/>
      <c r="D51" s="57">
        <f>17.79</f>
        <v>17.79</v>
      </c>
      <c r="E51" s="58"/>
      <c r="F51" s="58"/>
      <c r="G51" s="33" t="s">
        <v>86</v>
      </c>
      <c r="H51" s="1"/>
      <c r="M51" s="1"/>
      <c r="R51" s="3"/>
    </row>
    <row r="52" spans="1:18" ht="15.75">
      <c r="A52" s="1"/>
      <c r="B52" s="55"/>
      <c r="C52" s="33"/>
      <c r="D52" s="57"/>
      <c r="E52" s="58"/>
      <c r="F52" s="58"/>
      <c r="G52" s="33" t="s">
        <v>98</v>
      </c>
      <c r="H52" s="1"/>
      <c r="M52" s="1"/>
      <c r="R52" s="3"/>
    </row>
    <row r="53" spans="1:18" ht="15.75">
      <c r="A53" s="1"/>
      <c r="B53" s="55"/>
      <c r="C53" s="33"/>
      <c r="D53" s="57">
        <f>53.39+12.38</f>
        <v>65.77</v>
      </c>
      <c r="E53" s="58"/>
      <c r="F53" s="58"/>
      <c r="G53" s="33" t="s">
        <v>111</v>
      </c>
      <c r="H53" s="1"/>
      <c r="M53" s="1"/>
      <c r="R53" s="3"/>
    </row>
    <row r="54" spans="1:18" ht="15.75">
      <c r="A54" s="1"/>
      <c r="B54" s="55"/>
      <c r="C54" s="33"/>
      <c r="D54" s="57">
        <f>130.1-55</f>
        <v>75.099999999999994</v>
      </c>
      <c r="E54" s="58"/>
      <c r="F54" s="58"/>
      <c r="G54" s="33" t="s">
        <v>290</v>
      </c>
      <c r="H54" s="1"/>
      <c r="M54" s="1"/>
      <c r="R54" s="3"/>
    </row>
    <row r="55" spans="1:18" ht="15.75">
      <c r="A55" s="1"/>
      <c r="B55" s="55"/>
      <c r="C55" s="33"/>
      <c r="D55" s="57"/>
      <c r="E55" s="58"/>
      <c r="F55" s="58"/>
      <c r="G55" s="33"/>
      <c r="H55" s="1"/>
      <c r="M55" s="1"/>
      <c r="R55" s="3"/>
    </row>
    <row r="56" spans="1:18" ht="15.75">
      <c r="A56" s="1"/>
      <c r="B56" s="55"/>
      <c r="C56" s="33"/>
      <c r="D56" s="57"/>
      <c r="E56" s="58"/>
      <c r="F56" s="58"/>
      <c r="G56" s="33"/>
      <c r="H56" s="1"/>
      <c r="M56" s="1"/>
      <c r="R56" s="3"/>
    </row>
    <row r="57" spans="1:18" ht="15.75">
      <c r="A57" s="1"/>
      <c r="B57" s="55"/>
      <c r="C57" s="33"/>
      <c r="D57" s="57"/>
      <c r="E57" s="58"/>
      <c r="F57" s="58"/>
      <c r="G57" s="33"/>
      <c r="H57" s="1"/>
      <c r="M57" s="1"/>
      <c r="R57" s="3"/>
    </row>
    <row r="58" spans="1:18" ht="15.75">
      <c r="A58" s="1"/>
      <c r="B58" s="55"/>
      <c r="C58" s="33"/>
      <c r="D58" s="57"/>
      <c r="E58" s="58"/>
      <c r="F58" s="58"/>
      <c r="G58" s="33"/>
      <c r="H58" s="1"/>
      <c r="M58" s="1"/>
      <c r="R58" s="3"/>
    </row>
    <row r="59" spans="1:18" ht="16.5" thickBot="1">
      <c r="A59" s="1"/>
      <c r="B59" s="56"/>
      <c r="C59" s="34"/>
      <c r="D59" s="56"/>
      <c r="E59" s="59"/>
      <c r="F59" s="59"/>
      <c r="G59" s="34"/>
      <c r="H59" s="1"/>
      <c r="M59" s="1"/>
      <c r="R59" s="3"/>
    </row>
    <row r="60" spans="1:18" ht="16.5" thickBot="1">
      <c r="A60" s="1"/>
      <c r="B60" s="56">
        <f>SUM(B46:B59)</f>
        <v>400</v>
      </c>
      <c r="C60" s="34" t="s">
        <v>66</v>
      </c>
      <c r="D60" s="56">
        <f>SUM(D46:D59)</f>
        <v>438.4</v>
      </c>
      <c r="E60" s="56">
        <f>SUM(E46:E59)</f>
        <v>0</v>
      </c>
      <c r="F60" s="56">
        <f>SUM(F46:F59)</f>
        <v>0</v>
      </c>
      <c r="G60" s="34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89" t="str">
        <f>'2018'!A23</f>
        <v>Ocio</v>
      </c>
      <c r="C62" s="290"/>
      <c r="D62" s="290"/>
      <c r="E62" s="290"/>
      <c r="F62" s="290"/>
      <c r="G62" s="291"/>
      <c r="H62" s="1"/>
      <c r="M62" s="1"/>
      <c r="R62" s="3"/>
    </row>
    <row r="63" spans="1:18" ht="16.149999999999999" customHeight="1" thickBot="1">
      <c r="A63" s="1"/>
      <c r="B63" s="292"/>
      <c r="C63" s="293"/>
      <c r="D63" s="293"/>
      <c r="E63" s="293"/>
      <c r="F63" s="293"/>
      <c r="G63" s="294"/>
      <c r="H63" s="1"/>
      <c r="M63" s="1"/>
      <c r="R63" s="3"/>
    </row>
    <row r="64" spans="1:18" ht="15.75">
      <c r="A64" s="1"/>
      <c r="B64" s="297" t="s">
        <v>10</v>
      </c>
      <c r="C64" s="296"/>
      <c r="D64" s="295" t="s">
        <v>11</v>
      </c>
      <c r="E64" s="295"/>
      <c r="F64" s="295"/>
      <c r="G64" s="296"/>
      <c r="H64" s="1"/>
      <c r="M64" s="1"/>
      <c r="R64" s="3"/>
    </row>
    <row r="65" spans="1:18" ht="15.75">
      <c r="A65" s="1"/>
      <c r="B65" s="52" t="s">
        <v>32</v>
      </c>
      <c r="C65" s="60" t="s">
        <v>33</v>
      </c>
      <c r="D65" s="52" t="s">
        <v>68</v>
      </c>
      <c r="E65" s="53" t="s">
        <v>69</v>
      </c>
      <c r="F65" s="53" t="s">
        <v>32</v>
      </c>
      <c r="G65" s="60" t="s">
        <v>33</v>
      </c>
      <c r="H65" s="1"/>
      <c r="M65" s="1"/>
      <c r="R65" s="3"/>
    </row>
    <row r="66" spans="1:18" ht="15.75">
      <c r="A66" s="1"/>
      <c r="B66" s="54">
        <v>150</v>
      </c>
      <c r="C66" s="36" t="s">
        <v>36</v>
      </c>
      <c r="D66" s="57"/>
      <c r="E66" s="58"/>
      <c r="F66" s="58">
        <f>23.5</f>
        <v>23.5</v>
      </c>
      <c r="G66" s="36" t="s">
        <v>281</v>
      </c>
      <c r="H66" s="1"/>
      <c r="M66" s="1"/>
      <c r="R66" s="3"/>
    </row>
    <row r="67" spans="1:18" ht="15.75">
      <c r="A67" s="1"/>
      <c r="B67" s="55"/>
      <c r="C67" s="33"/>
      <c r="D67" s="57"/>
      <c r="E67" s="58"/>
      <c r="F67" s="58">
        <f>16</f>
        <v>16</v>
      </c>
      <c r="G67" s="70" t="s">
        <v>282</v>
      </c>
      <c r="H67" s="1"/>
      <c r="M67" s="1"/>
      <c r="R67" s="3"/>
    </row>
    <row r="68" spans="1:18" ht="15.75">
      <c r="A68" s="1"/>
      <c r="B68" s="55"/>
      <c r="C68" s="33"/>
      <c r="D68" s="57">
        <f>23.85</f>
        <v>23.85</v>
      </c>
      <c r="E68" s="58"/>
      <c r="F68" s="58"/>
      <c r="G68" s="33" t="s">
        <v>207</v>
      </c>
      <c r="H68" s="1"/>
      <c r="M68" s="1"/>
      <c r="R68" s="3"/>
    </row>
    <row r="69" spans="1:18" ht="15.75">
      <c r="A69" s="1"/>
      <c r="B69" s="55"/>
      <c r="C69" s="33"/>
      <c r="D69" s="57"/>
      <c r="E69" s="58"/>
      <c r="F69" s="58">
        <v>5</v>
      </c>
      <c r="G69" s="33" t="s">
        <v>297</v>
      </c>
      <c r="H69" s="1"/>
      <c r="M69" s="1"/>
      <c r="R69" s="3"/>
    </row>
    <row r="70" spans="1:18" ht="15.75">
      <c r="A70" s="1"/>
      <c r="B70" s="55"/>
      <c r="C70" s="33"/>
      <c r="D70" s="57"/>
      <c r="E70" s="58"/>
      <c r="F70" s="58">
        <v>28</v>
      </c>
      <c r="G70" s="33" t="s">
        <v>301</v>
      </c>
      <c r="H70" s="1"/>
      <c r="M70" s="1"/>
      <c r="R70" s="3"/>
    </row>
    <row r="71" spans="1:18" ht="15.75">
      <c r="A71" s="1"/>
      <c r="B71" s="55">
        <v>51</v>
      </c>
      <c r="C71" s="33" t="s">
        <v>306</v>
      </c>
      <c r="D71" s="57">
        <v>26</v>
      </c>
      <c r="E71" s="58"/>
      <c r="F71" s="58">
        <v>25</v>
      </c>
      <c r="G71" s="33" t="s">
        <v>305</v>
      </c>
      <c r="H71" s="1"/>
      <c r="M71" s="1"/>
      <c r="R71" s="3"/>
    </row>
    <row r="72" spans="1:18" ht="15.75">
      <c r="A72" s="1"/>
      <c r="B72" s="55"/>
      <c r="C72" s="33"/>
      <c r="D72" s="57"/>
      <c r="E72" s="58"/>
      <c r="F72" s="58"/>
      <c r="G72" s="33"/>
      <c r="H72" s="1"/>
      <c r="M72" s="1"/>
      <c r="R72" s="3"/>
    </row>
    <row r="73" spans="1:18" ht="15.75">
      <c r="A73" s="1"/>
      <c r="B73" s="55"/>
      <c r="C73" s="33"/>
      <c r="D73" s="57"/>
      <c r="E73" s="58"/>
      <c r="F73" s="58"/>
      <c r="G73" s="33"/>
      <c r="H73" s="1"/>
      <c r="M73" s="1"/>
      <c r="R73" s="3"/>
    </row>
    <row r="74" spans="1:18" ht="15.75">
      <c r="A74" s="1"/>
      <c r="B74" s="55"/>
      <c r="C74" s="33"/>
      <c r="D74" s="57"/>
      <c r="E74" s="58"/>
      <c r="F74" s="58"/>
      <c r="G74" s="33"/>
      <c r="H74" s="1"/>
      <c r="M74" s="1"/>
      <c r="R74" s="3"/>
    </row>
    <row r="75" spans="1:18" ht="15.75">
      <c r="A75" s="1"/>
      <c r="B75" s="55"/>
      <c r="C75" s="33"/>
      <c r="D75" s="57"/>
      <c r="E75" s="58"/>
      <c r="F75" s="58"/>
      <c r="G75" s="33"/>
      <c r="H75" s="1"/>
      <c r="M75" s="1"/>
      <c r="R75" s="3"/>
    </row>
    <row r="76" spans="1:18" ht="15.75">
      <c r="A76" s="1"/>
      <c r="B76" s="55"/>
      <c r="C76" s="33"/>
      <c r="D76" s="57"/>
      <c r="E76" s="58"/>
      <c r="F76" s="58"/>
      <c r="G76" s="33"/>
      <c r="H76" s="1"/>
      <c r="M76" s="1"/>
      <c r="R76" s="3"/>
    </row>
    <row r="77" spans="1:18" ht="15.75">
      <c r="A77" s="1"/>
      <c r="B77" s="55"/>
      <c r="C77" s="33"/>
      <c r="D77" s="57"/>
      <c r="E77" s="58"/>
      <c r="F77" s="58"/>
      <c r="G77" s="33"/>
      <c r="H77" s="1"/>
      <c r="M77" s="1"/>
      <c r="R77" s="3"/>
    </row>
    <row r="78" spans="1:18" ht="15.75">
      <c r="A78" s="1"/>
      <c r="B78" s="55"/>
      <c r="C78" s="33"/>
      <c r="D78" s="57"/>
      <c r="E78" s="58"/>
      <c r="F78" s="58"/>
      <c r="G78" s="33"/>
      <c r="H78" s="1"/>
      <c r="M78" s="1"/>
      <c r="R78" s="3"/>
    </row>
    <row r="79" spans="1:18" ht="16.5" thickBot="1">
      <c r="A79" s="1"/>
      <c r="B79" s="56"/>
      <c r="C79" s="34"/>
      <c r="D79" s="56"/>
      <c r="E79" s="59"/>
      <c r="F79" s="59"/>
      <c r="G79" s="34"/>
      <c r="H79" s="1"/>
      <c r="M79" s="1"/>
      <c r="R79" s="3"/>
    </row>
    <row r="80" spans="1:18" ht="16.5" thickBot="1">
      <c r="A80" s="1"/>
      <c r="B80" s="56">
        <f>SUM(B66:B79)</f>
        <v>201</v>
      </c>
      <c r="C80" s="34" t="s">
        <v>66</v>
      </c>
      <c r="D80" s="56">
        <f>SUM(D66:D79)</f>
        <v>49.85</v>
      </c>
      <c r="E80" s="56">
        <f>SUM(E66:E79)</f>
        <v>0</v>
      </c>
      <c r="F80" s="56">
        <f>SUM(F66:F79)</f>
        <v>97.5</v>
      </c>
      <c r="G80" s="34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89" t="str">
        <f>'2018'!A24</f>
        <v>Transportes</v>
      </c>
      <c r="C82" s="290"/>
      <c r="D82" s="290"/>
      <c r="E82" s="290"/>
      <c r="F82" s="290"/>
      <c r="G82" s="291"/>
      <c r="H82" s="1"/>
      <c r="M82" s="1"/>
      <c r="R82" s="3"/>
    </row>
    <row r="83" spans="1:18" ht="16.149999999999999" customHeight="1" thickBot="1">
      <c r="A83" s="1"/>
      <c r="B83" s="292"/>
      <c r="C83" s="293"/>
      <c r="D83" s="293"/>
      <c r="E83" s="293"/>
      <c r="F83" s="293"/>
      <c r="G83" s="294"/>
      <c r="H83" s="1"/>
      <c r="M83" s="1"/>
      <c r="R83" s="3"/>
    </row>
    <row r="84" spans="1:18" ht="15.75">
      <c r="A84" s="1"/>
      <c r="B84" s="297" t="s">
        <v>10</v>
      </c>
      <c r="C84" s="296"/>
      <c r="D84" s="295" t="s">
        <v>11</v>
      </c>
      <c r="E84" s="295"/>
      <c r="F84" s="295"/>
      <c r="G84" s="296"/>
      <c r="H84" s="1"/>
      <c r="M84" s="1"/>
      <c r="R84" s="3"/>
    </row>
    <row r="85" spans="1:18" ht="15.75">
      <c r="A85" s="1"/>
      <c r="B85" s="52" t="s">
        <v>32</v>
      </c>
      <c r="C85" s="60" t="s">
        <v>33</v>
      </c>
      <c r="D85" s="52" t="s">
        <v>68</v>
      </c>
      <c r="E85" s="53" t="s">
        <v>69</v>
      </c>
      <c r="F85" s="53" t="s">
        <v>32</v>
      </c>
      <c r="G85" s="60" t="s">
        <v>33</v>
      </c>
      <c r="H85" s="1"/>
      <c r="M85" s="1"/>
      <c r="R85" s="3"/>
    </row>
    <row r="86" spans="1:18" ht="15.75">
      <c r="A86" s="1"/>
      <c r="B86" s="54">
        <v>150</v>
      </c>
      <c r="C86" s="36" t="s">
        <v>51</v>
      </c>
      <c r="D86" s="57">
        <f>51.13+35.12+43.83+52.84</f>
        <v>182.92</v>
      </c>
      <c r="E86" s="58"/>
      <c r="F86" s="58"/>
      <c r="G86" s="33" t="s">
        <v>52</v>
      </c>
      <c r="H86" s="1"/>
      <c r="M86" s="1"/>
      <c r="R86" s="3"/>
    </row>
    <row r="87" spans="1:18" ht="15.75">
      <c r="A87" s="1"/>
      <c r="B87" s="55"/>
      <c r="C87" s="33"/>
      <c r="D87" s="57"/>
      <c r="E87" s="58"/>
      <c r="F87" s="58"/>
      <c r="G87" s="33" t="s">
        <v>53</v>
      </c>
      <c r="H87" s="1"/>
      <c r="M87" s="1"/>
      <c r="R87" s="3"/>
    </row>
    <row r="88" spans="1:18" ht="15.75">
      <c r="A88" s="1"/>
      <c r="B88" s="55"/>
      <c r="C88" s="33"/>
      <c r="D88" s="57"/>
      <c r="E88" s="58"/>
      <c r="F88" s="58"/>
      <c r="G88" s="33" t="s">
        <v>54</v>
      </c>
      <c r="H88" s="1"/>
      <c r="M88" s="1"/>
      <c r="R88" s="3"/>
    </row>
    <row r="89" spans="1:18" ht="15.75">
      <c r="A89" s="1"/>
      <c r="B89" s="55"/>
      <c r="C89" s="33"/>
      <c r="D89" s="57"/>
      <c r="E89" s="58"/>
      <c r="F89" s="58"/>
      <c r="G89" s="33" t="s">
        <v>90</v>
      </c>
      <c r="H89" s="1"/>
      <c r="M89" s="1"/>
      <c r="R89" s="3"/>
    </row>
    <row r="90" spans="1:18" ht="15.75">
      <c r="A90" s="1"/>
      <c r="B90" s="55"/>
      <c r="C90" s="33"/>
      <c r="D90" s="57"/>
      <c r="E90" s="58"/>
      <c r="F90" s="58"/>
      <c r="G90" s="33" t="s">
        <v>203</v>
      </c>
      <c r="H90" s="1"/>
      <c r="M90" s="1"/>
      <c r="R90" s="3"/>
    </row>
    <row r="91" spans="1:18" ht="15.75">
      <c r="A91" s="1"/>
      <c r="B91" s="55"/>
      <c r="C91" s="33"/>
      <c r="D91" s="57"/>
      <c r="E91" s="58"/>
      <c r="F91" s="58"/>
      <c r="G91" s="33"/>
      <c r="H91" s="1"/>
      <c r="M91" s="1"/>
      <c r="R91" s="3"/>
    </row>
    <row r="92" spans="1:18" ht="15.75">
      <c r="A92" s="1"/>
      <c r="B92" s="55"/>
      <c r="C92" s="33"/>
      <c r="D92" s="57"/>
      <c r="E92" s="58"/>
      <c r="F92" s="58"/>
      <c r="G92" s="33"/>
      <c r="H92" s="1"/>
      <c r="M92" s="1"/>
      <c r="R92" s="3"/>
    </row>
    <row r="93" spans="1:18" ht="15.75">
      <c r="A93" s="1"/>
      <c r="B93" s="55"/>
      <c r="C93" s="33"/>
      <c r="D93" s="57"/>
      <c r="E93" s="58"/>
      <c r="F93" s="58"/>
      <c r="G93" s="33"/>
      <c r="H93" s="1"/>
      <c r="M93" s="1"/>
      <c r="R93" s="3"/>
    </row>
    <row r="94" spans="1:18" ht="15.75">
      <c r="A94" s="1"/>
      <c r="B94" s="55"/>
      <c r="C94" s="33"/>
      <c r="D94" s="57"/>
      <c r="E94" s="58"/>
      <c r="F94" s="58"/>
      <c r="G94" s="33"/>
      <c r="H94" s="1"/>
      <c r="M94" s="1"/>
      <c r="R94" s="3"/>
    </row>
    <row r="95" spans="1:18" ht="15.75">
      <c r="A95" s="1"/>
      <c r="B95" s="55"/>
      <c r="C95" s="33"/>
      <c r="D95" s="57"/>
      <c r="E95" s="58"/>
      <c r="F95" s="58"/>
      <c r="G95" s="33"/>
      <c r="H95" s="1"/>
      <c r="M95" s="1"/>
      <c r="R95" s="3"/>
    </row>
    <row r="96" spans="1:18" ht="15.75">
      <c r="A96" s="1"/>
      <c r="B96" s="55"/>
      <c r="C96" s="33"/>
      <c r="D96" s="57"/>
      <c r="E96" s="58"/>
      <c r="F96" s="58"/>
      <c r="G96" s="33"/>
      <c r="H96" s="1"/>
      <c r="M96" s="1"/>
      <c r="R96" s="3"/>
    </row>
    <row r="97" spans="1:18" ht="15.75">
      <c r="A97" s="1"/>
      <c r="B97" s="55"/>
      <c r="C97" s="33"/>
      <c r="D97" s="57"/>
      <c r="E97" s="58"/>
      <c r="F97" s="58"/>
      <c r="G97" s="33"/>
      <c r="H97" s="1"/>
      <c r="M97" s="1"/>
      <c r="R97" s="3"/>
    </row>
    <row r="98" spans="1:18" ht="15.75">
      <c r="A98" s="1"/>
      <c r="B98" s="55"/>
      <c r="C98" s="33"/>
      <c r="D98" s="57"/>
      <c r="E98" s="58"/>
      <c r="F98" s="58"/>
      <c r="G98" s="33"/>
      <c r="H98" s="1"/>
      <c r="M98" s="1"/>
      <c r="R98" s="3"/>
    </row>
    <row r="99" spans="1:18" ht="16.5" thickBot="1">
      <c r="A99" s="1"/>
      <c r="B99" s="56"/>
      <c r="C99" s="34"/>
      <c r="D99" s="56"/>
      <c r="E99" s="59"/>
      <c r="F99" s="59"/>
      <c r="G99" s="34"/>
      <c r="H99" s="1"/>
      <c r="M99" s="1"/>
      <c r="R99" s="3"/>
    </row>
    <row r="100" spans="1:18" ht="16.5" thickBot="1">
      <c r="A100" s="1"/>
      <c r="B100" s="56">
        <f>SUM(B86:B99)</f>
        <v>150</v>
      </c>
      <c r="C100" s="34" t="s">
        <v>66</v>
      </c>
      <c r="D100" s="56">
        <f>SUM(D86:D99)</f>
        <v>182.92</v>
      </c>
      <c r="E100" s="56">
        <f>SUM(E86:E99)</f>
        <v>0</v>
      </c>
      <c r="F100" s="56">
        <f>SUM(F86:F99)</f>
        <v>0</v>
      </c>
      <c r="G100" s="34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89" t="str">
        <f>'2018'!A25</f>
        <v>Coche</v>
      </c>
      <c r="C102" s="290"/>
      <c r="D102" s="290"/>
      <c r="E102" s="290"/>
      <c r="F102" s="290"/>
      <c r="G102" s="291"/>
      <c r="H102" s="1"/>
      <c r="M102" s="1"/>
      <c r="R102" s="3"/>
    </row>
    <row r="103" spans="1:18" ht="16.149999999999999" customHeight="1" thickBot="1">
      <c r="A103" s="1"/>
      <c r="B103" s="292"/>
      <c r="C103" s="293"/>
      <c r="D103" s="293"/>
      <c r="E103" s="293"/>
      <c r="F103" s="293"/>
      <c r="G103" s="294"/>
      <c r="H103" s="1"/>
      <c r="M103" s="1"/>
      <c r="R103" s="3"/>
    </row>
    <row r="104" spans="1:18" ht="15.75">
      <c r="A104" s="1"/>
      <c r="B104" s="297" t="s">
        <v>10</v>
      </c>
      <c r="C104" s="296"/>
      <c r="D104" s="295" t="s">
        <v>11</v>
      </c>
      <c r="E104" s="295"/>
      <c r="F104" s="295"/>
      <c r="G104" s="296"/>
      <c r="H104" s="1"/>
      <c r="M104" s="1"/>
      <c r="R104" s="3"/>
    </row>
    <row r="105" spans="1:18" ht="15.75">
      <c r="A105" s="1"/>
      <c r="B105" s="52" t="s">
        <v>32</v>
      </c>
      <c r="C105" s="60" t="s">
        <v>33</v>
      </c>
      <c r="D105" s="52" t="s">
        <v>68</v>
      </c>
      <c r="E105" s="53" t="s">
        <v>69</v>
      </c>
      <c r="F105" s="53" t="s">
        <v>32</v>
      </c>
      <c r="G105" s="60" t="s">
        <v>33</v>
      </c>
      <c r="H105" s="1"/>
      <c r="M105" s="1"/>
      <c r="R105" s="3"/>
    </row>
    <row r="106" spans="1:18" ht="15.75">
      <c r="A106" s="1"/>
      <c r="B106" s="54">
        <v>260</v>
      </c>
      <c r="C106" s="35" t="s">
        <v>55</v>
      </c>
      <c r="D106" s="57">
        <v>258.47000000000003</v>
      </c>
      <c r="E106" s="58"/>
      <c r="F106" s="58"/>
      <c r="G106" s="70" t="s">
        <v>55</v>
      </c>
      <c r="H106" s="1"/>
      <c r="M106" s="1"/>
      <c r="R106" s="3"/>
    </row>
    <row r="107" spans="1:18" ht="15.75">
      <c r="A107" s="1"/>
      <c r="B107" s="55">
        <v>71</v>
      </c>
      <c r="C107" s="35" t="s">
        <v>56</v>
      </c>
      <c r="D107" s="57">
        <v>70.349999999999994</v>
      </c>
      <c r="E107" s="58"/>
      <c r="F107" s="58"/>
      <c r="G107" s="70" t="s">
        <v>56</v>
      </c>
      <c r="H107" s="1"/>
      <c r="M107" s="1"/>
      <c r="R107" s="3"/>
    </row>
    <row r="108" spans="1:18" ht="15.75">
      <c r="A108" s="1"/>
      <c r="B108" s="55">
        <v>69</v>
      </c>
      <c r="C108" s="35" t="s">
        <v>46</v>
      </c>
      <c r="D108" s="57"/>
      <c r="E108" s="58"/>
      <c r="F108" s="58"/>
      <c r="G108" s="73" t="s">
        <v>88</v>
      </c>
      <c r="H108" s="1"/>
      <c r="M108" s="1"/>
      <c r="R108" s="3"/>
    </row>
    <row r="109" spans="1:18" ht="15.75">
      <c r="A109" s="1"/>
      <c r="B109" s="55"/>
      <c r="C109" s="35"/>
      <c r="D109" s="57"/>
      <c r="E109" s="58"/>
      <c r="F109" s="58"/>
      <c r="G109" s="70"/>
      <c r="H109" s="1"/>
      <c r="M109" s="1"/>
      <c r="R109" s="3"/>
    </row>
    <row r="110" spans="1:18" ht="15.75">
      <c r="A110" s="1"/>
      <c r="B110" s="55"/>
      <c r="C110" s="35"/>
      <c r="D110" s="57"/>
      <c r="E110" s="58"/>
      <c r="F110" s="58"/>
      <c r="G110" s="70"/>
      <c r="H110" s="1"/>
      <c r="M110" s="1"/>
      <c r="R110" s="3"/>
    </row>
    <row r="111" spans="1:18" ht="15.75">
      <c r="A111" s="1"/>
      <c r="B111" s="55"/>
      <c r="C111" s="66"/>
      <c r="D111" s="57"/>
      <c r="E111" s="58"/>
      <c r="F111" s="58"/>
      <c r="G111" s="73"/>
      <c r="H111" s="1"/>
      <c r="M111" s="1"/>
      <c r="R111" s="3"/>
    </row>
    <row r="112" spans="1:18" ht="15.75">
      <c r="A112" s="1"/>
      <c r="B112" s="55"/>
      <c r="C112" s="71"/>
      <c r="D112" s="57"/>
      <c r="E112" s="58"/>
      <c r="F112" s="58"/>
      <c r="G112" s="70"/>
      <c r="H112" s="1"/>
      <c r="M112" s="1"/>
      <c r="R112" s="3"/>
    </row>
    <row r="113" spans="1:18" ht="15.75">
      <c r="A113" s="1"/>
      <c r="B113" s="55"/>
      <c r="C113" s="72"/>
      <c r="D113" s="57"/>
      <c r="E113" s="58"/>
      <c r="F113" s="58"/>
      <c r="G113" s="70"/>
      <c r="H113" s="1"/>
      <c r="M113" s="1"/>
      <c r="R113" s="3"/>
    </row>
    <row r="114" spans="1:18" ht="15.75">
      <c r="A114" s="1"/>
      <c r="B114" s="55"/>
      <c r="C114" s="71"/>
      <c r="D114" s="57"/>
      <c r="E114" s="58"/>
      <c r="F114" s="58"/>
      <c r="G114" s="70"/>
      <c r="H114" s="1"/>
      <c r="M114" s="1"/>
      <c r="R114" s="3"/>
    </row>
    <row r="115" spans="1:18" ht="15.75">
      <c r="A115" s="1"/>
      <c r="B115" s="55"/>
      <c r="C115" s="66"/>
      <c r="D115" s="57"/>
      <c r="E115" s="58"/>
      <c r="F115" s="58"/>
      <c r="G115" s="33"/>
      <c r="H115" s="1"/>
      <c r="M115" s="1"/>
      <c r="R115" s="3"/>
    </row>
    <row r="116" spans="1:18" ht="15.75">
      <c r="A116" s="1"/>
      <c r="B116" s="55"/>
      <c r="C116" s="35"/>
      <c r="D116" s="57"/>
      <c r="E116" s="58"/>
      <c r="F116" s="58"/>
      <c r="G116" s="33"/>
      <c r="H116" s="1"/>
      <c r="M116" s="1"/>
      <c r="R116" s="3"/>
    </row>
    <row r="117" spans="1:18" ht="15.75">
      <c r="A117" s="1"/>
      <c r="B117" s="55"/>
      <c r="C117" s="35"/>
      <c r="D117" s="57"/>
      <c r="E117" s="58"/>
      <c r="F117" s="58"/>
      <c r="G117" s="33"/>
      <c r="H117" s="1"/>
      <c r="M117" s="1"/>
      <c r="R117" s="3"/>
    </row>
    <row r="118" spans="1:18" ht="15.75">
      <c r="A118" s="1"/>
      <c r="B118" s="55"/>
      <c r="C118" s="35"/>
      <c r="D118" s="57"/>
      <c r="E118" s="58"/>
      <c r="F118" s="58"/>
      <c r="G118" s="33"/>
      <c r="H118" s="1"/>
      <c r="M118" s="1"/>
      <c r="R118" s="3"/>
    </row>
    <row r="119" spans="1:18" ht="16.5" thickBot="1">
      <c r="A119" s="1"/>
      <c r="B119" s="56"/>
      <c r="C119" s="37"/>
      <c r="D119" s="56"/>
      <c r="E119" s="59"/>
      <c r="F119" s="59"/>
      <c r="G119" s="34"/>
      <c r="H119" s="1"/>
      <c r="M119" s="1"/>
      <c r="R119" s="3"/>
    </row>
    <row r="120" spans="1:18" ht="16.5" thickBot="1">
      <c r="A120" s="1"/>
      <c r="B120" s="56">
        <f>SUM(B106:B119)</f>
        <v>400</v>
      </c>
      <c r="C120" s="34" t="s">
        <v>66</v>
      </c>
      <c r="D120" s="56">
        <f>SUM(D106:D119)</f>
        <v>328.82000000000005</v>
      </c>
      <c r="E120" s="56">
        <f>SUM(E106:E119)</f>
        <v>0</v>
      </c>
      <c r="F120" s="56">
        <f>SUM(F106:F119)</f>
        <v>0</v>
      </c>
      <c r="G120" s="34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89" t="str">
        <f>'2018'!A26</f>
        <v>Teléfono</v>
      </c>
      <c r="C122" s="290"/>
      <c r="D122" s="290"/>
      <c r="E122" s="290"/>
      <c r="F122" s="290"/>
      <c r="G122" s="291"/>
      <c r="H122" s="1"/>
      <c r="M122" s="1"/>
      <c r="R122" s="3"/>
    </row>
    <row r="123" spans="1:18" ht="16.149999999999999" customHeight="1" thickBot="1">
      <c r="A123" s="1"/>
      <c r="B123" s="292"/>
      <c r="C123" s="293"/>
      <c r="D123" s="293"/>
      <c r="E123" s="293"/>
      <c r="F123" s="293"/>
      <c r="G123" s="294"/>
      <c r="H123" s="1"/>
      <c r="M123" s="1"/>
      <c r="R123" s="3"/>
    </row>
    <row r="124" spans="1:18" ht="15.75">
      <c r="A124" s="1"/>
      <c r="B124" s="297" t="s">
        <v>10</v>
      </c>
      <c r="C124" s="296"/>
      <c r="D124" s="295" t="s">
        <v>11</v>
      </c>
      <c r="E124" s="295"/>
      <c r="F124" s="295"/>
      <c r="G124" s="296"/>
      <c r="H124" s="1"/>
      <c r="M124" s="1"/>
      <c r="R124" s="3"/>
    </row>
    <row r="125" spans="1:18" ht="15.75">
      <c r="A125" s="1"/>
      <c r="B125" s="52" t="s">
        <v>32</v>
      </c>
      <c r="C125" s="60" t="s">
        <v>33</v>
      </c>
      <c r="D125" s="52" t="s">
        <v>68</v>
      </c>
      <c r="E125" s="53" t="s">
        <v>69</v>
      </c>
      <c r="F125" s="53" t="s">
        <v>32</v>
      </c>
      <c r="G125" s="60" t="s">
        <v>33</v>
      </c>
      <c r="H125" s="1"/>
      <c r="M125" s="1"/>
      <c r="R125" s="3"/>
    </row>
    <row r="126" spans="1:18" ht="15.75">
      <c r="A126" s="1"/>
      <c r="B126" s="54">
        <v>27.5</v>
      </c>
      <c r="C126" s="36" t="s">
        <v>57</v>
      </c>
      <c r="D126" s="57">
        <v>27.5</v>
      </c>
      <c r="E126" s="58"/>
      <c r="F126" s="58"/>
      <c r="G126" s="33" t="s">
        <v>57</v>
      </c>
      <c r="H126" s="1"/>
      <c r="M126" s="1"/>
      <c r="R126" s="3"/>
    </row>
    <row r="127" spans="1:18" ht="15.75">
      <c r="A127" s="1"/>
      <c r="B127" s="55">
        <f>22.5</f>
        <v>22.5</v>
      </c>
      <c r="C127" s="33" t="s">
        <v>58</v>
      </c>
      <c r="D127" s="57">
        <f>10+10</f>
        <v>20</v>
      </c>
      <c r="E127" s="58"/>
      <c r="F127" s="58"/>
      <c r="G127" s="33" t="s">
        <v>58</v>
      </c>
      <c r="H127" s="1"/>
      <c r="M127" s="1"/>
      <c r="R127" s="3"/>
    </row>
    <row r="128" spans="1:18" ht="15.75">
      <c r="A128" s="1"/>
      <c r="B128" s="55"/>
      <c r="C128" s="33"/>
      <c r="D128" s="57"/>
      <c r="E128" s="58"/>
      <c r="F128" s="58"/>
      <c r="G128" s="33"/>
      <c r="H128" s="1"/>
      <c r="M128" s="1"/>
      <c r="R128" s="3"/>
    </row>
    <row r="129" spans="1:18" ht="15.75">
      <c r="A129" s="1"/>
      <c r="B129" s="55"/>
      <c r="C129" s="33"/>
      <c r="D129" s="57"/>
      <c r="E129" s="58"/>
      <c r="F129" s="58"/>
      <c r="G129" s="33"/>
      <c r="H129" s="1"/>
      <c r="M129" s="1"/>
      <c r="R129" s="3"/>
    </row>
    <row r="130" spans="1:18" ht="15.75">
      <c r="A130" s="1"/>
      <c r="B130" s="55"/>
      <c r="C130" s="33"/>
      <c r="D130" s="57"/>
      <c r="E130" s="58"/>
      <c r="F130" s="58"/>
      <c r="G130" s="33"/>
      <c r="H130" s="1"/>
      <c r="M130" s="1"/>
      <c r="R130" s="3"/>
    </row>
    <row r="131" spans="1:18" ht="15.75">
      <c r="A131" s="1"/>
      <c r="B131" s="55"/>
      <c r="C131" s="33"/>
      <c r="D131" s="57"/>
      <c r="E131" s="58"/>
      <c r="F131" s="58"/>
      <c r="G131" s="33"/>
      <c r="H131" s="1"/>
      <c r="M131" s="1"/>
      <c r="R131" s="3"/>
    </row>
    <row r="132" spans="1:18" ht="15.75">
      <c r="A132" s="1"/>
      <c r="B132" s="55"/>
      <c r="C132" s="33"/>
      <c r="D132" s="57"/>
      <c r="E132" s="58"/>
      <c r="F132" s="58"/>
      <c r="G132" s="33"/>
      <c r="H132" s="1"/>
      <c r="M132" s="1"/>
      <c r="R132" s="3"/>
    </row>
    <row r="133" spans="1:18" ht="15.75">
      <c r="A133" s="1"/>
      <c r="B133" s="55"/>
      <c r="C133" s="33"/>
      <c r="D133" s="57"/>
      <c r="E133" s="58"/>
      <c r="F133" s="58"/>
      <c r="G133" s="33"/>
      <c r="H133" s="1"/>
      <c r="M133" s="1"/>
      <c r="R133" s="3"/>
    </row>
    <row r="134" spans="1:18" ht="15.75">
      <c r="A134" s="1"/>
      <c r="B134" s="55"/>
      <c r="C134" s="33"/>
      <c r="D134" s="57"/>
      <c r="E134" s="58"/>
      <c r="F134" s="58"/>
      <c r="G134" s="33"/>
      <c r="H134" s="1"/>
      <c r="M134" s="1"/>
      <c r="R134" s="3"/>
    </row>
    <row r="135" spans="1:18" ht="15.75">
      <c r="A135" s="1"/>
      <c r="B135" s="55"/>
      <c r="C135" s="33"/>
      <c r="D135" s="57"/>
      <c r="E135" s="58"/>
      <c r="F135" s="58"/>
      <c r="G135" s="33"/>
      <c r="H135" s="1"/>
      <c r="M135" s="1"/>
      <c r="R135" s="3"/>
    </row>
    <row r="136" spans="1:18" ht="15.75">
      <c r="A136" s="1"/>
      <c r="B136" s="55"/>
      <c r="C136" s="33"/>
      <c r="D136" s="57"/>
      <c r="E136" s="58"/>
      <c r="F136" s="58"/>
      <c r="G136" s="33"/>
      <c r="H136" s="1"/>
      <c r="M136" s="1"/>
      <c r="R136" s="3"/>
    </row>
    <row r="137" spans="1:18" ht="15.75">
      <c r="A137" s="1"/>
      <c r="B137" s="55"/>
      <c r="C137" s="33"/>
      <c r="D137" s="57"/>
      <c r="E137" s="58"/>
      <c r="F137" s="58"/>
      <c r="G137" s="33"/>
      <c r="H137" s="1"/>
      <c r="M137" s="1"/>
      <c r="R137" s="3"/>
    </row>
    <row r="138" spans="1:18" ht="15.75">
      <c r="A138" s="1"/>
      <c r="B138" s="55"/>
      <c r="C138" s="33"/>
      <c r="D138" s="57"/>
      <c r="E138" s="58"/>
      <c r="F138" s="58"/>
      <c r="G138" s="33"/>
      <c r="H138" s="1"/>
      <c r="M138" s="1"/>
      <c r="R138" s="3"/>
    </row>
    <row r="139" spans="1:18" ht="16.5" thickBot="1">
      <c r="A139" s="1"/>
      <c r="B139" s="56"/>
      <c r="C139" s="34"/>
      <c r="D139" s="56"/>
      <c r="E139" s="59"/>
      <c r="F139" s="59"/>
      <c r="G139" s="34"/>
      <c r="H139" s="1"/>
      <c r="M139" s="1"/>
      <c r="R139" s="3"/>
    </row>
    <row r="140" spans="1:18" ht="16.5" thickBot="1">
      <c r="A140" s="1"/>
      <c r="B140" s="56">
        <f>SUM(B126:B139)</f>
        <v>50</v>
      </c>
      <c r="C140" s="34" t="s">
        <v>66</v>
      </c>
      <c r="D140" s="56">
        <f>SUM(D126:D139)</f>
        <v>47.5</v>
      </c>
      <c r="E140" s="56">
        <f>SUM(E126:E139)</f>
        <v>0</v>
      </c>
      <c r="F140" s="56">
        <f>SUM(F126:F139)</f>
        <v>0</v>
      </c>
      <c r="G140" s="34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89" t="str">
        <f>'2018'!A27</f>
        <v>Gatos</v>
      </c>
      <c r="C142" s="290"/>
      <c r="D142" s="290"/>
      <c r="E142" s="290"/>
      <c r="F142" s="290"/>
      <c r="G142" s="291"/>
      <c r="H142" s="1"/>
      <c r="M142" s="1"/>
      <c r="R142" s="3"/>
    </row>
    <row r="143" spans="1:18" ht="16.149999999999999" customHeight="1" thickBot="1">
      <c r="A143" s="1"/>
      <c r="B143" s="292"/>
      <c r="C143" s="293"/>
      <c r="D143" s="293"/>
      <c r="E143" s="293"/>
      <c r="F143" s="293"/>
      <c r="G143" s="294"/>
      <c r="H143" s="1"/>
      <c r="M143" s="1"/>
      <c r="R143" s="3"/>
    </row>
    <row r="144" spans="1:18" ht="15.75">
      <c r="A144" s="1"/>
      <c r="B144" s="297" t="s">
        <v>10</v>
      </c>
      <c r="C144" s="296"/>
      <c r="D144" s="295" t="s">
        <v>11</v>
      </c>
      <c r="E144" s="295"/>
      <c r="F144" s="295"/>
      <c r="G144" s="296"/>
      <c r="H144" s="1"/>
      <c r="M144" s="1"/>
      <c r="R144" s="3"/>
    </row>
    <row r="145" spans="1:22" ht="15.75">
      <c r="A145" s="1"/>
      <c r="B145" s="52" t="s">
        <v>32</v>
      </c>
      <c r="C145" s="60" t="s">
        <v>33</v>
      </c>
      <c r="D145" s="52" t="s">
        <v>68</v>
      </c>
      <c r="E145" s="53" t="s">
        <v>69</v>
      </c>
      <c r="F145" s="53" t="s">
        <v>32</v>
      </c>
      <c r="G145" s="60" t="s">
        <v>33</v>
      </c>
      <c r="H145" s="1"/>
      <c r="M145" s="1"/>
      <c r="R145" s="3"/>
    </row>
    <row r="146" spans="1:22" ht="15.75">
      <c r="A146" s="1"/>
      <c r="B146" s="54">
        <v>60</v>
      </c>
      <c r="C146" s="36" t="s">
        <v>43</v>
      </c>
      <c r="D146" s="57"/>
      <c r="E146" s="58"/>
      <c r="F146" s="58"/>
      <c r="G146" s="33" t="s">
        <v>48</v>
      </c>
      <c r="H146" s="1"/>
      <c r="M146" s="1"/>
      <c r="R146" s="3"/>
    </row>
    <row r="147" spans="1:22" ht="15.75">
      <c r="A147" s="1"/>
      <c r="B147" s="55"/>
      <c r="C147" s="33"/>
      <c r="D147" s="57">
        <v>23.07</v>
      </c>
      <c r="E147" s="58"/>
      <c r="F147" s="58"/>
      <c r="G147" s="33" t="s">
        <v>61</v>
      </c>
      <c r="H147" s="1"/>
      <c r="M147" s="1"/>
      <c r="R147" s="3"/>
    </row>
    <row r="148" spans="1:22" ht="15.75">
      <c r="A148" s="1"/>
      <c r="B148" s="55"/>
      <c r="C148" s="33"/>
      <c r="D148" s="57"/>
      <c r="E148" s="58"/>
      <c r="F148" s="58"/>
      <c r="G148" s="33" t="s">
        <v>47</v>
      </c>
      <c r="H148" s="1"/>
      <c r="M148" s="1"/>
      <c r="R148" s="3"/>
    </row>
    <row r="149" spans="1:22" ht="15.75">
      <c r="A149" s="1"/>
      <c r="B149" s="55"/>
      <c r="C149" s="33"/>
      <c r="D149" s="57"/>
      <c r="E149" s="58"/>
      <c r="F149" s="58"/>
      <c r="G149" s="33"/>
      <c r="H149" s="1"/>
      <c r="M149" s="1"/>
      <c r="R149" s="3"/>
    </row>
    <row r="150" spans="1:22" ht="15.75">
      <c r="A150" s="1"/>
      <c r="B150" s="55"/>
      <c r="C150" s="33"/>
      <c r="D150" s="57"/>
      <c r="E150" s="58"/>
      <c r="F150" s="58"/>
      <c r="G150" s="33"/>
      <c r="H150" s="1"/>
      <c r="M150" s="1"/>
      <c r="R150" s="3"/>
    </row>
    <row r="151" spans="1:22" ht="15.75">
      <c r="A151" s="1"/>
      <c r="B151" s="55"/>
      <c r="C151" s="33"/>
      <c r="D151" s="57"/>
      <c r="E151" s="58"/>
      <c r="F151" s="58"/>
      <c r="G151" s="33"/>
      <c r="H151" s="1"/>
      <c r="M151" s="1"/>
      <c r="R151" s="3"/>
    </row>
    <row r="152" spans="1:22" ht="15.75">
      <c r="A152" s="1"/>
      <c r="B152" s="55"/>
      <c r="C152" s="33"/>
      <c r="D152" s="57"/>
      <c r="E152" s="58"/>
      <c r="F152" s="58"/>
      <c r="G152" s="33"/>
      <c r="H152" s="1"/>
      <c r="M152" s="1"/>
      <c r="R152" s="3"/>
    </row>
    <row r="153" spans="1:22" ht="15.75">
      <c r="A153" s="1"/>
      <c r="B153" s="55"/>
      <c r="C153" s="33"/>
      <c r="D153" s="57"/>
      <c r="E153" s="58"/>
      <c r="F153" s="58"/>
      <c r="G153" s="33"/>
      <c r="H153" s="1"/>
      <c r="M153" s="1"/>
      <c r="R153" s="3"/>
    </row>
    <row r="154" spans="1:22" ht="15.75">
      <c r="A154" s="1"/>
      <c r="B154" s="55"/>
      <c r="C154" s="33"/>
      <c r="D154" s="57"/>
      <c r="E154" s="58"/>
      <c r="F154" s="58"/>
      <c r="G154" s="33"/>
      <c r="H154" s="1"/>
      <c r="M154" s="1"/>
      <c r="R154" s="3"/>
    </row>
    <row r="155" spans="1:22" ht="15.75">
      <c r="A155" s="1"/>
      <c r="B155" s="55"/>
      <c r="C155" s="33"/>
      <c r="D155" s="57"/>
      <c r="E155" s="58"/>
      <c r="F155" s="58"/>
      <c r="G155" s="33"/>
      <c r="H155" s="1"/>
      <c r="M155" s="1"/>
      <c r="R155" s="3"/>
    </row>
    <row r="156" spans="1:22" ht="15.75">
      <c r="A156" s="1"/>
      <c r="B156" s="55"/>
      <c r="C156" s="33"/>
      <c r="D156" s="57"/>
      <c r="E156" s="58"/>
      <c r="F156" s="58"/>
      <c r="G156" s="33"/>
      <c r="H156" s="1"/>
      <c r="M156" s="1"/>
      <c r="R156" s="3"/>
    </row>
    <row r="157" spans="1:22" ht="15.75">
      <c r="A157" s="1"/>
      <c r="B157" s="55"/>
      <c r="C157" s="33"/>
      <c r="D157" s="57"/>
      <c r="E157" s="58"/>
      <c r="F157" s="58"/>
      <c r="G157" s="33"/>
      <c r="H157" s="1"/>
      <c r="M157" s="1"/>
      <c r="R157" s="3"/>
    </row>
    <row r="158" spans="1:22" ht="15.75">
      <c r="A158" s="1"/>
      <c r="B158" s="55"/>
      <c r="C158" s="33"/>
      <c r="D158" s="57"/>
      <c r="E158" s="58"/>
      <c r="F158" s="58"/>
      <c r="G158" s="33"/>
      <c r="H158" s="1"/>
      <c r="M158" s="1"/>
      <c r="R158" s="3"/>
    </row>
    <row r="159" spans="1:22" ht="16.5" thickBot="1">
      <c r="A159" s="1"/>
      <c r="B159" s="56"/>
      <c r="C159" s="34"/>
      <c r="D159" s="56"/>
      <c r="E159" s="59"/>
      <c r="F159" s="59"/>
      <c r="G159" s="34"/>
      <c r="H159" s="1"/>
      <c r="M159" s="1"/>
      <c r="R159" s="3"/>
    </row>
    <row r="160" spans="1:22" ht="16.5" thickBot="1">
      <c r="A160" s="1"/>
      <c r="B160" s="56">
        <f>SUM(B146:B159)</f>
        <v>60</v>
      </c>
      <c r="C160" s="34" t="s">
        <v>66</v>
      </c>
      <c r="D160" s="56">
        <f>SUM(D146:D159)</f>
        <v>23.07</v>
      </c>
      <c r="E160" s="56">
        <f>SUM(E146:E159)</f>
        <v>0</v>
      </c>
      <c r="F160" s="56">
        <f>SUM(F146:F159)</f>
        <v>0</v>
      </c>
      <c r="G160" s="34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89" t="str">
        <f>'2018'!A28</f>
        <v>Vacaciones</v>
      </c>
      <c r="C162" s="290"/>
      <c r="D162" s="290"/>
      <c r="E162" s="290"/>
      <c r="F162" s="290"/>
      <c r="G162" s="29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92"/>
      <c r="C163" s="293"/>
      <c r="D163" s="293"/>
      <c r="E163" s="293"/>
      <c r="F163" s="293"/>
      <c r="G163" s="294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97" t="s">
        <v>10</v>
      </c>
      <c r="C164" s="296"/>
      <c r="D164" s="295" t="s">
        <v>11</v>
      </c>
      <c r="E164" s="295"/>
      <c r="F164" s="295"/>
      <c r="G164" s="29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52" t="s">
        <v>32</v>
      </c>
      <c r="C165" s="60" t="s">
        <v>33</v>
      </c>
      <c r="D165" s="52" t="s">
        <v>68</v>
      </c>
      <c r="E165" s="53" t="s">
        <v>69</v>
      </c>
      <c r="F165" s="53" t="s">
        <v>32</v>
      </c>
      <c r="G165" s="60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54">
        <v>200</v>
      </c>
      <c r="C166" s="36" t="s">
        <v>36</v>
      </c>
      <c r="D166" s="57"/>
      <c r="E166" s="58">
        <f>447.43</f>
        <v>447.43</v>
      </c>
      <c r="F166" s="58"/>
      <c r="G166" s="33" t="s">
        <v>291</v>
      </c>
      <c r="H166" s="82">
        <f>626.6-E166</f>
        <v>179.17000000000002</v>
      </c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55">
        <v>447.43</v>
      </c>
      <c r="C167" s="33" t="s">
        <v>308</v>
      </c>
      <c r="D167" s="57"/>
      <c r="E167" s="58"/>
      <c r="F167" s="58"/>
      <c r="G167" s="33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55"/>
      <c r="C168" s="33"/>
      <c r="D168" s="57"/>
      <c r="E168" s="58"/>
      <c r="F168" s="58"/>
      <c r="G168" s="33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55"/>
      <c r="C169" s="33"/>
      <c r="D169" s="57"/>
      <c r="E169" s="58"/>
      <c r="F169" s="58"/>
      <c r="G169" s="33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55"/>
      <c r="C170" s="33"/>
      <c r="D170" s="57"/>
      <c r="E170" s="58"/>
      <c r="F170" s="58"/>
      <c r="G170" s="33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55"/>
      <c r="C171" s="33"/>
      <c r="D171" s="57"/>
      <c r="E171" s="58"/>
      <c r="F171" s="58"/>
      <c r="G171" s="33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55"/>
      <c r="C172" s="33"/>
      <c r="D172" s="57"/>
      <c r="E172" s="58"/>
      <c r="F172" s="58"/>
      <c r="G172" s="33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55"/>
      <c r="C173" s="33"/>
      <c r="D173" s="57"/>
      <c r="E173" s="58"/>
      <c r="F173" s="58"/>
      <c r="G173" s="33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55"/>
      <c r="C174" s="33"/>
      <c r="D174" s="57"/>
      <c r="E174" s="58"/>
      <c r="F174" s="58"/>
      <c r="G174" s="33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55"/>
      <c r="C175" s="33"/>
      <c r="D175" s="57"/>
      <c r="E175" s="58"/>
      <c r="F175" s="58"/>
      <c r="G175" s="33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55"/>
      <c r="C176" s="33"/>
      <c r="D176" s="57"/>
      <c r="E176" s="58"/>
      <c r="F176" s="58"/>
      <c r="G176" s="33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55"/>
      <c r="C177" s="33"/>
      <c r="D177" s="57"/>
      <c r="E177" s="58"/>
      <c r="F177" s="58"/>
      <c r="G177" s="33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55"/>
      <c r="C178" s="33"/>
      <c r="D178" s="57"/>
      <c r="E178" s="58"/>
      <c r="F178" s="58"/>
      <c r="G178" s="33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56"/>
      <c r="C179" s="34"/>
      <c r="D179" s="56"/>
      <c r="E179" s="59"/>
      <c r="F179" s="59"/>
      <c r="G179" s="34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56">
        <f>SUM(B166:B179)</f>
        <v>647.43000000000006</v>
      </c>
      <c r="C180" s="34" t="s">
        <v>66</v>
      </c>
      <c r="D180" s="56">
        <f>SUM(D166:D179)</f>
        <v>0</v>
      </c>
      <c r="E180" s="56">
        <f>SUM(E166:E179)</f>
        <v>447.43</v>
      </c>
      <c r="F180" s="56">
        <f>SUM(F166:F179)</f>
        <v>0</v>
      </c>
      <c r="G180" s="34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89" t="str">
        <f>'2018'!A29</f>
        <v>Ropa</v>
      </c>
      <c r="C182" s="290"/>
      <c r="D182" s="290"/>
      <c r="E182" s="290"/>
      <c r="F182" s="290"/>
      <c r="G182" s="29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92"/>
      <c r="C183" s="293"/>
      <c r="D183" s="293"/>
      <c r="E183" s="293"/>
      <c r="F183" s="293"/>
      <c r="G183" s="294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97" t="s">
        <v>10</v>
      </c>
      <c r="C184" s="296"/>
      <c r="D184" s="295" t="s">
        <v>11</v>
      </c>
      <c r="E184" s="295"/>
      <c r="F184" s="295"/>
      <c r="G184" s="29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52" t="s">
        <v>32</v>
      </c>
      <c r="C185" s="60" t="s">
        <v>33</v>
      </c>
      <c r="D185" s="52" t="s">
        <v>68</v>
      </c>
      <c r="E185" s="53" t="s">
        <v>69</v>
      </c>
      <c r="F185" s="53" t="s">
        <v>32</v>
      </c>
      <c r="G185" s="60" t="s">
        <v>33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54">
        <v>50</v>
      </c>
      <c r="C186" s="36" t="s">
        <v>43</v>
      </c>
      <c r="D186" s="57">
        <f>88.32-D286</f>
        <v>58.319999999999993</v>
      </c>
      <c r="E186" s="58"/>
      <c r="F186" s="58"/>
      <c r="G186" s="33" t="s">
        <v>288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55"/>
      <c r="C187" s="33"/>
      <c r="D187" s="57"/>
      <c r="E187" s="58"/>
      <c r="F187" s="58"/>
      <c r="G187" s="33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55"/>
      <c r="C188" s="33"/>
      <c r="D188" s="57"/>
      <c r="E188" s="58"/>
      <c r="F188" s="58"/>
      <c r="G188" s="33"/>
    </row>
    <row r="189" spans="1:22">
      <c r="B189" s="55"/>
      <c r="C189" s="33"/>
      <c r="D189" s="57"/>
      <c r="E189" s="58"/>
      <c r="F189" s="58"/>
      <c r="G189" s="33"/>
    </row>
    <row r="190" spans="1:22">
      <c r="B190" s="55"/>
      <c r="C190" s="33"/>
      <c r="D190" s="57"/>
      <c r="E190" s="58"/>
      <c r="F190" s="58"/>
      <c r="G190" s="33"/>
    </row>
    <row r="191" spans="1:22">
      <c r="B191" s="55"/>
      <c r="C191" s="33"/>
      <c r="D191" s="57"/>
      <c r="E191" s="58"/>
      <c r="F191" s="58"/>
      <c r="G191" s="33"/>
    </row>
    <row r="192" spans="1:22">
      <c r="B192" s="55"/>
      <c r="C192" s="33"/>
      <c r="D192" s="57"/>
      <c r="E192" s="58"/>
      <c r="F192" s="58"/>
      <c r="G192" s="33"/>
    </row>
    <row r="193" spans="2:7">
      <c r="B193" s="55"/>
      <c r="C193" s="33"/>
      <c r="D193" s="57"/>
      <c r="E193" s="58"/>
      <c r="F193" s="58"/>
      <c r="G193" s="33"/>
    </row>
    <row r="194" spans="2:7">
      <c r="B194" s="55"/>
      <c r="C194" s="33"/>
      <c r="D194" s="57"/>
      <c r="E194" s="58"/>
      <c r="F194" s="58"/>
      <c r="G194" s="33"/>
    </row>
    <row r="195" spans="2:7">
      <c r="B195" s="55"/>
      <c r="C195" s="33"/>
      <c r="D195" s="57"/>
      <c r="E195" s="58"/>
      <c r="F195" s="58"/>
      <c r="G195" s="33"/>
    </row>
    <row r="196" spans="2:7">
      <c r="B196" s="55"/>
      <c r="C196" s="33"/>
      <c r="D196" s="57"/>
      <c r="E196" s="58"/>
      <c r="F196" s="58"/>
      <c r="G196" s="33"/>
    </row>
    <row r="197" spans="2:7">
      <c r="B197" s="55"/>
      <c r="C197" s="33"/>
      <c r="D197" s="57"/>
      <c r="E197" s="58"/>
      <c r="F197" s="58"/>
      <c r="G197" s="33"/>
    </row>
    <row r="198" spans="2:7">
      <c r="B198" s="55"/>
      <c r="C198" s="33"/>
      <c r="D198" s="57"/>
      <c r="E198" s="58"/>
      <c r="F198" s="58"/>
      <c r="G198" s="33"/>
    </row>
    <row r="199" spans="2:7" ht="15.75" thickBot="1">
      <c r="B199" s="56"/>
      <c r="C199" s="34"/>
      <c r="D199" s="56"/>
      <c r="E199" s="59"/>
      <c r="F199" s="59"/>
      <c r="G199" s="34"/>
    </row>
    <row r="200" spans="2:7" ht="15.75" thickBot="1">
      <c r="B200" s="56">
        <f>SUM(B186:B199)</f>
        <v>50</v>
      </c>
      <c r="C200" s="34" t="s">
        <v>66</v>
      </c>
      <c r="D200" s="56">
        <f>SUM(D186:D199)</f>
        <v>58.319999999999993</v>
      </c>
      <c r="E200" s="56">
        <f>SUM(E186:E199)</f>
        <v>0</v>
      </c>
      <c r="F200" s="56">
        <f>SUM(F186:F199)</f>
        <v>0</v>
      </c>
      <c r="G200" s="34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89" t="str">
        <f>'2018'!A30</f>
        <v>Belleza</v>
      </c>
      <c r="C202" s="290"/>
      <c r="D202" s="290"/>
      <c r="E202" s="290"/>
      <c r="F202" s="290"/>
      <c r="G202" s="291"/>
    </row>
    <row r="203" spans="2:7" ht="15" customHeight="1" thickBot="1">
      <c r="B203" s="292"/>
      <c r="C203" s="293"/>
      <c r="D203" s="293"/>
      <c r="E203" s="293"/>
      <c r="F203" s="293"/>
      <c r="G203" s="294"/>
    </row>
    <row r="204" spans="2:7">
      <c r="B204" s="297" t="s">
        <v>10</v>
      </c>
      <c r="C204" s="296"/>
      <c r="D204" s="295" t="s">
        <v>11</v>
      </c>
      <c r="E204" s="295"/>
      <c r="F204" s="295"/>
      <c r="G204" s="296"/>
    </row>
    <row r="205" spans="2:7">
      <c r="B205" s="52" t="s">
        <v>32</v>
      </c>
      <c r="C205" s="60" t="s">
        <v>33</v>
      </c>
      <c r="D205" s="52" t="s">
        <v>68</v>
      </c>
      <c r="E205" s="53" t="s">
        <v>69</v>
      </c>
      <c r="F205" s="53" t="s">
        <v>32</v>
      </c>
      <c r="G205" s="60" t="s">
        <v>33</v>
      </c>
    </row>
    <row r="206" spans="2:7">
      <c r="B206" s="54">
        <v>35</v>
      </c>
      <c r="C206" s="36"/>
      <c r="D206" s="57"/>
      <c r="E206" s="58"/>
      <c r="F206" s="58"/>
      <c r="G206" s="33" t="s">
        <v>96</v>
      </c>
    </row>
    <row r="207" spans="2:7">
      <c r="B207" s="55"/>
      <c r="C207" s="33"/>
      <c r="D207" s="57"/>
      <c r="E207" s="58"/>
      <c r="F207" s="58"/>
      <c r="G207" s="33"/>
    </row>
    <row r="208" spans="2:7">
      <c r="B208" s="55"/>
      <c r="C208" s="33"/>
      <c r="D208" s="57"/>
      <c r="E208" s="58"/>
      <c r="F208" s="58"/>
      <c r="G208" s="33"/>
    </row>
    <row r="209" spans="2:7">
      <c r="B209" s="55"/>
      <c r="C209" s="33"/>
      <c r="D209" s="57"/>
      <c r="E209" s="58"/>
      <c r="F209" s="58"/>
      <c r="G209" s="33"/>
    </row>
    <row r="210" spans="2:7">
      <c r="B210" s="55"/>
      <c r="C210" s="33"/>
      <c r="D210" s="57"/>
      <c r="E210" s="58"/>
      <c r="F210" s="58"/>
      <c r="G210" s="33"/>
    </row>
    <row r="211" spans="2:7">
      <c r="B211" s="55"/>
      <c r="C211" s="33"/>
      <c r="D211" s="57"/>
      <c r="E211" s="58"/>
      <c r="F211" s="58"/>
      <c r="G211" s="33"/>
    </row>
    <row r="212" spans="2:7">
      <c r="B212" s="55"/>
      <c r="C212" s="33"/>
      <c r="D212" s="57"/>
      <c r="E212" s="58"/>
      <c r="F212" s="58"/>
      <c r="G212" s="33"/>
    </row>
    <row r="213" spans="2:7">
      <c r="B213" s="55"/>
      <c r="C213" s="33"/>
      <c r="D213" s="57"/>
      <c r="E213" s="58"/>
      <c r="F213" s="58"/>
      <c r="G213" s="33"/>
    </row>
    <row r="214" spans="2:7">
      <c r="B214" s="55"/>
      <c r="C214" s="33"/>
      <c r="D214" s="57"/>
      <c r="E214" s="58"/>
      <c r="F214" s="58"/>
      <c r="G214" s="33"/>
    </row>
    <row r="215" spans="2:7">
      <c r="B215" s="55"/>
      <c r="C215" s="33"/>
      <c r="D215" s="57"/>
      <c r="E215" s="58"/>
      <c r="F215" s="58"/>
      <c r="G215" s="33"/>
    </row>
    <row r="216" spans="2:7">
      <c r="B216" s="55"/>
      <c r="C216" s="33"/>
      <c r="D216" s="57"/>
      <c r="E216" s="58"/>
      <c r="F216" s="58"/>
      <c r="G216" s="33"/>
    </row>
    <row r="217" spans="2:7">
      <c r="B217" s="55"/>
      <c r="C217" s="33"/>
      <c r="D217" s="57"/>
      <c r="E217" s="58"/>
      <c r="F217" s="58"/>
      <c r="G217" s="33"/>
    </row>
    <row r="218" spans="2:7">
      <c r="B218" s="55"/>
      <c r="C218" s="33"/>
      <c r="D218" s="57"/>
      <c r="E218" s="58"/>
      <c r="F218" s="58"/>
      <c r="G218" s="33"/>
    </row>
    <row r="219" spans="2:7" ht="15.75" thickBot="1">
      <c r="B219" s="56"/>
      <c r="C219" s="34"/>
      <c r="D219" s="56"/>
      <c r="E219" s="59"/>
      <c r="F219" s="59"/>
      <c r="G219" s="34"/>
    </row>
    <row r="220" spans="2:7" ht="15.75" thickBot="1">
      <c r="B220" s="56">
        <f>SUM(B206:B219)</f>
        <v>35</v>
      </c>
      <c r="C220" s="34" t="s">
        <v>66</v>
      </c>
      <c r="D220" s="56">
        <f>SUM(D206:D219)</f>
        <v>0</v>
      </c>
      <c r="E220" s="56">
        <f>SUM(E206:E219)</f>
        <v>0</v>
      </c>
      <c r="F220" s="56">
        <f>SUM(F206:F219)</f>
        <v>0</v>
      </c>
      <c r="G220" s="34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89" t="str">
        <f>'2018'!A31</f>
        <v>Deportes</v>
      </c>
      <c r="C222" s="290"/>
      <c r="D222" s="290"/>
      <c r="E222" s="290"/>
      <c r="F222" s="290"/>
      <c r="G222" s="291"/>
    </row>
    <row r="223" spans="2:7" ht="15" customHeight="1" thickBot="1">
      <c r="B223" s="292"/>
      <c r="C223" s="293"/>
      <c r="D223" s="293"/>
      <c r="E223" s="293"/>
      <c r="F223" s="293"/>
      <c r="G223" s="294"/>
    </row>
    <row r="224" spans="2:7">
      <c r="B224" s="297" t="s">
        <v>10</v>
      </c>
      <c r="C224" s="296"/>
      <c r="D224" s="295" t="s">
        <v>11</v>
      </c>
      <c r="E224" s="295"/>
      <c r="F224" s="295"/>
      <c r="G224" s="296"/>
    </row>
    <row r="225" spans="2:7">
      <c r="B225" s="52" t="s">
        <v>32</v>
      </c>
      <c r="C225" s="60" t="s">
        <v>33</v>
      </c>
      <c r="D225" s="52" t="s">
        <v>68</v>
      </c>
      <c r="E225" s="53" t="s">
        <v>69</v>
      </c>
      <c r="F225" s="53" t="s">
        <v>32</v>
      </c>
      <c r="G225" s="60" t="s">
        <v>33</v>
      </c>
    </row>
    <row r="226" spans="2:7">
      <c r="B226" s="54">
        <v>20</v>
      </c>
      <c r="C226" s="36" t="s">
        <v>50</v>
      </c>
      <c r="D226" s="57">
        <v>20</v>
      </c>
      <c r="E226" s="58"/>
      <c r="F226" s="58"/>
      <c r="G226" s="58" t="s">
        <v>50</v>
      </c>
    </row>
    <row r="227" spans="2:7">
      <c r="B227" s="55">
        <v>45</v>
      </c>
      <c r="C227" s="33" t="s">
        <v>102</v>
      </c>
      <c r="D227" s="57"/>
      <c r="E227" s="58"/>
      <c r="F227" s="58"/>
      <c r="G227" s="33"/>
    </row>
    <row r="228" spans="2:7">
      <c r="B228" s="55">
        <v>5</v>
      </c>
      <c r="C228" s="33" t="s">
        <v>46</v>
      </c>
      <c r="D228" s="57"/>
      <c r="E228" s="58"/>
      <c r="F228" s="58"/>
      <c r="G228" s="33"/>
    </row>
    <row r="229" spans="2:7">
      <c r="B229" s="55"/>
      <c r="C229" s="33"/>
      <c r="D229" s="57"/>
      <c r="E229" s="58"/>
      <c r="F229" s="58"/>
      <c r="G229" s="33"/>
    </row>
    <row r="230" spans="2:7">
      <c r="B230" s="55"/>
      <c r="C230" s="33"/>
      <c r="D230" s="57"/>
      <c r="E230" s="58"/>
      <c r="F230" s="58"/>
      <c r="G230" s="33"/>
    </row>
    <row r="231" spans="2:7">
      <c r="B231" s="55"/>
      <c r="C231" s="33"/>
      <c r="D231" s="57"/>
      <c r="E231" s="58"/>
      <c r="F231" s="58"/>
      <c r="G231" s="33"/>
    </row>
    <row r="232" spans="2:7">
      <c r="B232" s="55"/>
      <c r="C232" s="33"/>
      <c r="D232" s="57"/>
      <c r="E232" s="58"/>
      <c r="F232" s="58"/>
      <c r="G232" s="33"/>
    </row>
    <row r="233" spans="2:7">
      <c r="B233" s="55"/>
      <c r="C233" s="33"/>
      <c r="D233" s="57"/>
      <c r="E233" s="58"/>
      <c r="F233" s="58"/>
      <c r="G233" s="33"/>
    </row>
    <row r="234" spans="2:7">
      <c r="B234" s="55"/>
      <c r="C234" s="33"/>
      <c r="D234" s="57"/>
      <c r="E234" s="58"/>
      <c r="F234" s="58"/>
      <c r="G234" s="33"/>
    </row>
    <row r="235" spans="2:7">
      <c r="B235" s="55"/>
      <c r="C235" s="33"/>
      <c r="D235" s="57"/>
      <c r="E235" s="58"/>
      <c r="F235" s="58"/>
      <c r="G235" s="33"/>
    </row>
    <row r="236" spans="2:7">
      <c r="B236" s="55"/>
      <c r="C236" s="33"/>
      <c r="D236" s="57"/>
      <c r="E236" s="58"/>
      <c r="F236" s="58"/>
      <c r="G236" s="33"/>
    </row>
    <row r="237" spans="2:7">
      <c r="B237" s="55"/>
      <c r="C237" s="33"/>
      <c r="D237" s="57"/>
      <c r="E237" s="58"/>
      <c r="F237" s="58"/>
      <c r="G237" s="33"/>
    </row>
    <row r="238" spans="2:7">
      <c r="B238" s="55"/>
      <c r="C238" s="33"/>
      <c r="D238" s="57"/>
      <c r="E238" s="58"/>
      <c r="F238" s="58"/>
      <c r="G238" s="33"/>
    </row>
    <row r="239" spans="2:7" ht="15.75" thickBot="1">
      <c r="B239" s="56"/>
      <c r="C239" s="34"/>
      <c r="D239" s="56"/>
      <c r="E239" s="59"/>
      <c r="F239" s="59"/>
      <c r="G239" s="34"/>
    </row>
    <row r="240" spans="2:7" ht="15.75" thickBot="1">
      <c r="B240" s="56">
        <f>SUM(B226:B239)</f>
        <v>70</v>
      </c>
      <c r="C240" s="34" t="s">
        <v>66</v>
      </c>
      <c r="D240" s="56">
        <f>SUM(D226:D239)</f>
        <v>20</v>
      </c>
      <c r="E240" s="56">
        <f>SUM(E226:E239)</f>
        <v>0</v>
      </c>
      <c r="F240" s="56">
        <f>SUM(F226:F239)</f>
        <v>0</v>
      </c>
      <c r="G240" s="34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89" t="str">
        <f>'2018'!A32</f>
        <v>Hogar</v>
      </c>
      <c r="C242" s="290"/>
      <c r="D242" s="290"/>
      <c r="E242" s="290"/>
      <c r="F242" s="290"/>
      <c r="G242" s="291"/>
    </row>
    <row r="243" spans="2:7" ht="15" customHeight="1" thickBot="1">
      <c r="B243" s="292"/>
      <c r="C243" s="293"/>
      <c r="D243" s="293"/>
      <c r="E243" s="293"/>
      <c r="F243" s="293"/>
      <c r="G243" s="294"/>
    </row>
    <row r="244" spans="2:7" ht="15" customHeight="1">
      <c r="B244" s="297" t="s">
        <v>10</v>
      </c>
      <c r="C244" s="296"/>
      <c r="D244" s="295" t="s">
        <v>11</v>
      </c>
      <c r="E244" s="295"/>
      <c r="F244" s="295"/>
      <c r="G244" s="296"/>
    </row>
    <row r="245" spans="2:7" ht="15" customHeight="1">
      <c r="B245" s="52" t="s">
        <v>32</v>
      </c>
      <c r="C245" s="60" t="s">
        <v>33</v>
      </c>
      <c r="D245" s="52" t="s">
        <v>68</v>
      </c>
      <c r="E245" s="53" t="s">
        <v>69</v>
      </c>
      <c r="F245" s="53" t="s">
        <v>32</v>
      </c>
      <c r="G245" s="60" t="s">
        <v>33</v>
      </c>
    </row>
    <row r="246" spans="2:7" ht="15" customHeight="1">
      <c r="B246" s="55">
        <v>50</v>
      </c>
      <c r="C246" s="66"/>
      <c r="D246" s="57"/>
      <c r="E246" s="58"/>
      <c r="F246" s="58"/>
      <c r="G246" s="33" t="s">
        <v>47</v>
      </c>
    </row>
    <row r="247" spans="2:7" ht="15" customHeight="1">
      <c r="B247" s="55"/>
      <c r="C247" s="33"/>
      <c r="D247" s="57">
        <f>65.16</f>
        <v>65.16</v>
      </c>
      <c r="E247" s="58"/>
      <c r="F247" s="58"/>
      <c r="G247" s="33" t="s">
        <v>98</v>
      </c>
    </row>
    <row r="248" spans="2:7">
      <c r="B248" s="55"/>
      <c r="C248" s="33"/>
      <c r="D248" s="57"/>
      <c r="E248" s="58"/>
      <c r="F248" s="58"/>
      <c r="G248" s="33" t="s">
        <v>120</v>
      </c>
    </row>
    <row r="249" spans="2:7">
      <c r="B249" s="55"/>
      <c r="C249" s="33"/>
      <c r="D249" s="57"/>
      <c r="E249" s="58"/>
      <c r="F249" s="58"/>
      <c r="G249" s="33" t="s">
        <v>205</v>
      </c>
    </row>
    <row r="250" spans="2:7">
      <c r="B250" s="55"/>
      <c r="C250" s="33"/>
      <c r="D250" s="57"/>
      <c r="E250" s="58"/>
      <c r="F250" s="58"/>
      <c r="G250" s="33"/>
    </row>
    <row r="251" spans="2:7">
      <c r="B251" s="55"/>
      <c r="C251" s="33"/>
      <c r="D251" s="57"/>
      <c r="E251" s="58"/>
      <c r="F251" s="58"/>
      <c r="G251" s="33"/>
    </row>
    <row r="252" spans="2:7">
      <c r="B252" s="55"/>
      <c r="C252" s="33"/>
      <c r="D252" s="57"/>
      <c r="E252" s="58"/>
      <c r="F252" s="58"/>
      <c r="G252" s="33"/>
    </row>
    <row r="253" spans="2:7">
      <c r="B253" s="55"/>
      <c r="C253" s="33"/>
      <c r="D253" s="57"/>
      <c r="E253" s="58"/>
      <c r="F253" s="58"/>
      <c r="G253" s="33"/>
    </row>
    <row r="254" spans="2:7">
      <c r="B254" s="55"/>
      <c r="C254" s="33"/>
      <c r="D254" s="57"/>
      <c r="E254" s="58"/>
      <c r="F254" s="58"/>
      <c r="G254" s="33"/>
    </row>
    <row r="255" spans="2:7">
      <c r="B255" s="55"/>
      <c r="C255" s="33"/>
      <c r="D255" s="57"/>
      <c r="E255" s="58"/>
      <c r="F255" s="58"/>
      <c r="G255" s="33"/>
    </row>
    <row r="256" spans="2:7">
      <c r="B256" s="55"/>
      <c r="C256" s="33"/>
      <c r="D256" s="57"/>
      <c r="E256" s="58"/>
      <c r="F256" s="58"/>
      <c r="G256" s="33"/>
    </row>
    <row r="257" spans="2:7">
      <c r="B257" s="55"/>
      <c r="C257" s="33"/>
      <c r="D257" s="57"/>
      <c r="E257" s="58"/>
      <c r="F257" s="58"/>
      <c r="G257" s="33"/>
    </row>
    <row r="258" spans="2:7">
      <c r="B258" s="55"/>
      <c r="C258" s="33"/>
      <c r="D258" s="57"/>
      <c r="E258" s="58"/>
      <c r="F258" s="58"/>
      <c r="G258" s="33"/>
    </row>
    <row r="259" spans="2:7" ht="15.75" thickBot="1">
      <c r="B259" s="56"/>
      <c r="C259" s="34"/>
      <c r="D259" s="56"/>
      <c r="E259" s="59"/>
      <c r="F259" s="59"/>
      <c r="G259" s="34"/>
    </row>
    <row r="260" spans="2:7" ht="15.75" thickBot="1">
      <c r="B260" s="56">
        <f>SUM(B246:B259)</f>
        <v>50</v>
      </c>
      <c r="C260" s="34" t="s">
        <v>66</v>
      </c>
      <c r="D260" s="56">
        <f>SUM(D246:D259)</f>
        <v>65.16</v>
      </c>
      <c r="E260" s="56">
        <f>SUM(E246:E259)</f>
        <v>0</v>
      </c>
      <c r="F260" s="56">
        <f>SUM(F246:F259)</f>
        <v>0</v>
      </c>
      <c r="G260" s="34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89" t="str">
        <f>'2018'!A33</f>
        <v>Formación</v>
      </c>
      <c r="C262" s="290"/>
      <c r="D262" s="290"/>
      <c r="E262" s="290"/>
      <c r="F262" s="290"/>
      <c r="G262" s="291"/>
    </row>
    <row r="263" spans="2:7" ht="15" customHeight="1" thickBot="1">
      <c r="B263" s="292"/>
      <c r="C263" s="293"/>
      <c r="D263" s="293"/>
      <c r="E263" s="293"/>
      <c r="F263" s="293"/>
      <c r="G263" s="294"/>
    </row>
    <row r="264" spans="2:7">
      <c r="B264" s="297" t="s">
        <v>10</v>
      </c>
      <c r="C264" s="296"/>
      <c r="D264" s="295" t="s">
        <v>11</v>
      </c>
      <c r="E264" s="295"/>
      <c r="F264" s="295"/>
      <c r="G264" s="296"/>
    </row>
    <row r="265" spans="2:7">
      <c r="B265" s="52" t="s">
        <v>32</v>
      </c>
      <c r="C265" s="60" t="s">
        <v>33</v>
      </c>
      <c r="D265" s="52" t="s">
        <v>68</v>
      </c>
      <c r="E265" s="53" t="s">
        <v>69</v>
      </c>
      <c r="F265" s="53" t="s">
        <v>32</v>
      </c>
      <c r="G265" s="60" t="s">
        <v>33</v>
      </c>
    </row>
    <row r="266" spans="2:7">
      <c r="B266" s="54">
        <v>10</v>
      </c>
      <c r="C266" s="36"/>
      <c r="D266" s="57"/>
      <c r="E266" s="58"/>
      <c r="F266" s="58"/>
      <c r="G266" s="33"/>
    </row>
    <row r="267" spans="2:7">
      <c r="B267" s="55"/>
      <c r="C267" s="33"/>
      <c r="D267" s="57"/>
      <c r="E267" s="58"/>
      <c r="F267" s="58"/>
      <c r="G267" s="33"/>
    </row>
    <row r="268" spans="2:7">
      <c r="B268" s="55"/>
      <c r="C268" s="33"/>
      <c r="D268" s="57"/>
      <c r="E268" s="58"/>
      <c r="F268" s="58"/>
      <c r="G268" s="33"/>
    </row>
    <row r="269" spans="2:7">
      <c r="B269" s="55"/>
      <c r="C269" s="33"/>
      <c r="D269" s="57"/>
      <c r="E269" s="58"/>
      <c r="F269" s="58"/>
      <c r="G269" s="33"/>
    </row>
    <row r="270" spans="2:7">
      <c r="B270" s="55"/>
      <c r="C270" s="33"/>
      <c r="D270" s="57"/>
      <c r="E270" s="58"/>
      <c r="F270" s="58"/>
      <c r="G270" s="33"/>
    </row>
    <row r="271" spans="2:7">
      <c r="B271" s="55"/>
      <c r="C271" s="33"/>
      <c r="D271" s="57"/>
      <c r="E271" s="58"/>
      <c r="F271" s="58"/>
      <c r="G271" s="33"/>
    </row>
    <row r="272" spans="2:7">
      <c r="B272" s="55"/>
      <c r="C272" s="33"/>
      <c r="D272" s="57"/>
      <c r="E272" s="58"/>
      <c r="F272" s="58"/>
      <c r="G272" s="33"/>
    </row>
    <row r="273" spans="2:8">
      <c r="B273" s="55"/>
      <c r="C273" s="33"/>
      <c r="D273" s="57"/>
      <c r="E273" s="58"/>
      <c r="F273" s="58"/>
      <c r="G273" s="33"/>
    </row>
    <row r="274" spans="2:8">
      <c r="B274" s="55"/>
      <c r="C274" s="33"/>
      <c r="D274" s="57"/>
      <c r="E274" s="58"/>
      <c r="F274" s="58"/>
      <c r="G274" s="33"/>
    </row>
    <row r="275" spans="2:8">
      <c r="B275" s="55"/>
      <c r="C275" s="33"/>
      <c r="D275" s="57"/>
      <c r="E275" s="58"/>
      <c r="F275" s="58"/>
      <c r="G275" s="33"/>
    </row>
    <row r="276" spans="2:8">
      <c r="B276" s="55"/>
      <c r="C276" s="33"/>
      <c r="D276" s="57"/>
      <c r="E276" s="58"/>
      <c r="F276" s="58"/>
      <c r="G276" s="33"/>
    </row>
    <row r="277" spans="2:8">
      <c r="B277" s="55"/>
      <c r="C277" s="33"/>
      <c r="D277" s="57"/>
      <c r="E277" s="58"/>
      <c r="F277" s="58"/>
      <c r="G277" s="33"/>
    </row>
    <row r="278" spans="2:8">
      <c r="B278" s="55"/>
      <c r="C278" s="33"/>
      <c r="D278" s="57"/>
      <c r="E278" s="58"/>
      <c r="F278" s="58"/>
      <c r="G278" s="33"/>
    </row>
    <row r="279" spans="2:8" ht="15.75" thickBot="1">
      <c r="B279" s="56"/>
      <c r="C279" s="34"/>
      <c r="D279" s="56"/>
      <c r="E279" s="59"/>
      <c r="F279" s="59"/>
      <c r="G279" s="34"/>
    </row>
    <row r="280" spans="2:8" ht="15.75" thickBot="1">
      <c r="B280" s="56">
        <f>SUM(B266:B279)</f>
        <v>10</v>
      </c>
      <c r="C280" s="34" t="s">
        <v>66</v>
      </c>
      <c r="D280" s="56">
        <f>SUM(D266:D279)</f>
        <v>0</v>
      </c>
      <c r="E280" s="56">
        <f>SUM(E266:E279)</f>
        <v>0</v>
      </c>
      <c r="F280" s="56">
        <f>SUM(F266:F279)</f>
        <v>0</v>
      </c>
      <c r="G280" s="34" t="s">
        <v>66</v>
      </c>
    </row>
    <row r="281" spans="2:8" ht="15.75" thickBot="1">
      <c r="B281" s="3"/>
      <c r="C281" s="3"/>
      <c r="D281" s="3"/>
      <c r="E281" s="3"/>
    </row>
    <row r="282" spans="2:8" ht="14.45" customHeight="1">
      <c r="B282" s="289" t="str">
        <f>'2018'!A34</f>
        <v>Regalos</v>
      </c>
      <c r="C282" s="290"/>
      <c r="D282" s="290"/>
      <c r="E282" s="290"/>
      <c r="F282" s="290"/>
      <c r="G282" s="291"/>
    </row>
    <row r="283" spans="2:8" ht="15" customHeight="1" thickBot="1">
      <c r="B283" s="292"/>
      <c r="C283" s="293"/>
      <c r="D283" s="293"/>
      <c r="E283" s="293"/>
      <c r="F283" s="293"/>
      <c r="G283" s="294"/>
    </row>
    <row r="284" spans="2:8">
      <c r="B284" s="297" t="s">
        <v>10</v>
      </c>
      <c r="C284" s="296"/>
      <c r="D284" s="295" t="s">
        <v>11</v>
      </c>
      <c r="E284" s="295"/>
      <c r="F284" s="295"/>
      <c r="G284" s="296"/>
    </row>
    <row r="285" spans="2:8">
      <c r="B285" s="52" t="s">
        <v>32</v>
      </c>
      <c r="C285" s="60" t="s">
        <v>33</v>
      </c>
      <c r="D285" s="52" t="s">
        <v>68</v>
      </c>
      <c r="E285" s="53" t="s">
        <v>69</v>
      </c>
      <c r="F285" s="53" t="s">
        <v>32</v>
      </c>
      <c r="G285" s="60" t="s">
        <v>33</v>
      </c>
    </row>
    <row r="286" spans="2:8">
      <c r="B286" s="54">
        <v>120</v>
      </c>
      <c r="C286" s="36" t="s">
        <v>36</v>
      </c>
      <c r="D286" s="57">
        <f>30</f>
        <v>30</v>
      </c>
      <c r="E286" s="58"/>
      <c r="F286" s="58"/>
      <c r="G286" s="33" t="s">
        <v>288</v>
      </c>
    </row>
    <row r="287" spans="2:8">
      <c r="B287" s="55"/>
      <c r="C287" s="33"/>
      <c r="D287" s="57">
        <v>54.1</v>
      </c>
      <c r="E287" s="58"/>
      <c r="F287" s="58"/>
      <c r="G287" s="33" t="s">
        <v>289</v>
      </c>
    </row>
    <row r="288" spans="2:8">
      <c r="B288" s="55"/>
      <c r="C288" s="33"/>
      <c r="D288" s="57">
        <f>0.9</f>
        <v>0.9</v>
      </c>
      <c r="E288" s="58"/>
      <c r="F288" s="58"/>
      <c r="G288" s="33" t="s">
        <v>240</v>
      </c>
      <c r="H288" s="137">
        <v>0.95</v>
      </c>
    </row>
    <row r="289" spans="2:7">
      <c r="B289" s="55"/>
      <c r="C289" s="33"/>
      <c r="D289" s="57"/>
      <c r="E289" s="58"/>
      <c r="F289" s="58"/>
      <c r="G289" s="33"/>
    </row>
    <row r="290" spans="2:7">
      <c r="B290" s="55"/>
      <c r="C290" s="33"/>
      <c r="D290" s="57"/>
      <c r="E290" s="58"/>
      <c r="F290" s="58"/>
      <c r="G290" s="33"/>
    </row>
    <row r="291" spans="2:7">
      <c r="B291" s="55"/>
      <c r="C291" s="33"/>
      <c r="D291" s="57"/>
      <c r="E291" s="58"/>
      <c r="F291" s="58"/>
      <c r="G291" s="33"/>
    </row>
    <row r="292" spans="2:7">
      <c r="B292" s="55"/>
      <c r="C292" s="33"/>
      <c r="D292" s="57"/>
      <c r="E292" s="58"/>
      <c r="F292" s="58"/>
      <c r="G292" s="33"/>
    </row>
    <row r="293" spans="2:7">
      <c r="B293" s="55"/>
      <c r="C293" s="33"/>
      <c r="D293" s="57"/>
      <c r="E293" s="58"/>
      <c r="F293" s="58"/>
      <c r="G293" s="33"/>
    </row>
    <row r="294" spans="2:7">
      <c r="B294" s="55"/>
      <c r="C294" s="33"/>
      <c r="D294" s="57"/>
      <c r="E294" s="58"/>
      <c r="F294" s="58"/>
      <c r="G294" s="33"/>
    </row>
    <row r="295" spans="2:7">
      <c r="B295" s="55"/>
      <c r="C295" s="33"/>
      <c r="D295" s="57"/>
      <c r="E295" s="58"/>
      <c r="F295" s="58"/>
      <c r="G295" s="33"/>
    </row>
    <row r="296" spans="2:7">
      <c r="B296" s="55"/>
      <c r="C296" s="33"/>
      <c r="D296" s="57"/>
      <c r="E296" s="58"/>
      <c r="F296" s="58"/>
      <c r="G296" s="33"/>
    </row>
    <row r="297" spans="2:7">
      <c r="B297" s="55"/>
      <c r="C297" s="33"/>
      <c r="D297" s="57"/>
      <c r="E297" s="58"/>
      <c r="F297" s="58"/>
      <c r="G297" s="33"/>
    </row>
    <row r="298" spans="2:7">
      <c r="B298" s="55"/>
      <c r="C298" s="33"/>
      <c r="D298" s="57"/>
      <c r="E298" s="58"/>
      <c r="F298" s="58"/>
      <c r="G298" s="33"/>
    </row>
    <row r="299" spans="2:7" ht="15.75" thickBot="1">
      <c r="B299" s="56"/>
      <c r="C299" s="34"/>
      <c r="D299" s="56"/>
      <c r="E299" s="59"/>
      <c r="F299" s="59"/>
      <c r="G299" s="34"/>
    </row>
    <row r="300" spans="2:7" ht="15.75" thickBot="1">
      <c r="B300" s="56">
        <f>SUM(B286:B299)</f>
        <v>120</v>
      </c>
      <c r="C300" s="34" t="s">
        <v>66</v>
      </c>
      <c r="D300" s="56">
        <f>SUM(D286:D299)</f>
        <v>85</v>
      </c>
      <c r="E300" s="56">
        <f>SUM(E286:E299)</f>
        <v>0</v>
      </c>
      <c r="F300" s="56">
        <f>SUM(F286:F299)</f>
        <v>0</v>
      </c>
      <c r="G300" s="34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89" t="str">
        <f>'2018'!A35</f>
        <v>Salud</v>
      </c>
      <c r="C302" s="290"/>
      <c r="D302" s="290"/>
      <c r="E302" s="290"/>
      <c r="F302" s="290"/>
      <c r="G302" s="291"/>
    </row>
    <row r="303" spans="2:7" ht="15" customHeight="1" thickBot="1">
      <c r="B303" s="292"/>
      <c r="C303" s="293"/>
      <c r="D303" s="293"/>
      <c r="E303" s="293"/>
      <c r="F303" s="293"/>
      <c r="G303" s="294"/>
    </row>
    <row r="304" spans="2:7">
      <c r="B304" s="297" t="s">
        <v>10</v>
      </c>
      <c r="C304" s="296"/>
      <c r="D304" s="295" t="s">
        <v>11</v>
      </c>
      <c r="E304" s="295"/>
      <c r="F304" s="295"/>
      <c r="G304" s="296"/>
    </row>
    <row r="305" spans="2:7">
      <c r="B305" s="52" t="s">
        <v>32</v>
      </c>
      <c r="C305" s="60" t="s">
        <v>33</v>
      </c>
      <c r="D305" s="52" t="s">
        <v>68</v>
      </c>
      <c r="E305" s="53" t="s">
        <v>69</v>
      </c>
      <c r="F305" s="53" t="s">
        <v>32</v>
      </c>
      <c r="G305" s="60" t="s">
        <v>33</v>
      </c>
    </row>
    <row r="306" spans="2:7">
      <c r="B306" s="54">
        <v>100</v>
      </c>
      <c r="C306" s="36" t="s">
        <v>60</v>
      </c>
      <c r="D306" s="57"/>
      <c r="E306" s="58"/>
      <c r="F306" s="58"/>
      <c r="G306" s="33" t="s">
        <v>101</v>
      </c>
    </row>
    <row r="307" spans="2:7">
      <c r="B307" s="84"/>
      <c r="C307" s="66"/>
      <c r="D307" s="57"/>
      <c r="E307" s="58"/>
      <c r="F307" s="58"/>
      <c r="G307" s="33" t="s">
        <v>97</v>
      </c>
    </row>
    <row r="308" spans="2:7">
      <c r="B308" s="84"/>
      <c r="C308" s="66"/>
      <c r="D308" s="57">
        <f>20.67</f>
        <v>20.67</v>
      </c>
      <c r="E308" s="58"/>
      <c r="F308" s="58"/>
      <c r="G308" s="33" t="s">
        <v>216</v>
      </c>
    </row>
    <row r="309" spans="2:7">
      <c r="B309" s="55"/>
      <c r="C309" s="33"/>
      <c r="D309" s="57"/>
      <c r="E309" s="58"/>
      <c r="F309" s="58">
        <f>38.12</f>
        <v>38.119999999999997</v>
      </c>
      <c r="G309" s="33" t="s">
        <v>239</v>
      </c>
    </row>
    <row r="310" spans="2:7">
      <c r="B310" s="55"/>
      <c r="C310" s="33"/>
      <c r="D310" s="57"/>
      <c r="E310" s="58"/>
      <c r="F310" s="58">
        <f>65</f>
        <v>65</v>
      </c>
      <c r="G310" s="33" t="s">
        <v>296</v>
      </c>
    </row>
    <row r="311" spans="2:7">
      <c r="B311" s="55"/>
      <c r="C311" s="33"/>
      <c r="D311" s="57">
        <v>40</v>
      </c>
      <c r="E311" s="58"/>
      <c r="F311" s="58"/>
      <c r="G311" s="33" t="s">
        <v>298</v>
      </c>
    </row>
    <row r="312" spans="2:7">
      <c r="B312" s="55"/>
      <c r="C312" s="33"/>
      <c r="D312" s="57">
        <v>57</v>
      </c>
      <c r="E312" s="58"/>
      <c r="F312" s="58"/>
      <c r="G312" s="33" t="s">
        <v>300</v>
      </c>
    </row>
    <row r="313" spans="2:7">
      <c r="B313" s="55"/>
      <c r="C313" s="33"/>
      <c r="D313" s="57"/>
      <c r="E313" s="58"/>
      <c r="F313" s="58"/>
      <c r="G313" s="33"/>
    </row>
    <row r="314" spans="2:7">
      <c r="B314" s="55"/>
      <c r="C314" s="33"/>
      <c r="D314" s="57"/>
      <c r="E314" s="58"/>
      <c r="F314" s="58"/>
      <c r="G314" s="33"/>
    </row>
    <row r="315" spans="2:7">
      <c r="B315" s="55"/>
      <c r="C315" s="33"/>
      <c r="D315" s="57"/>
      <c r="E315" s="58"/>
      <c r="F315" s="58"/>
      <c r="G315" s="33"/>
    </row>
    <row r="316" spans="2:7">
      <c r="B316" s="55"/>
      <c r="C316" s="33"/>
      <c r="D316" s="57"/>
      <c r="E316" s="58"/>
      <c r="F316" s="58"/>
      <c r="G316" s="33"/>
    </row>
    <row r="317" spans="2:7">
      <c r="B317" s="55"/>
      <c r="C317" s="33"/>
      <c r="D317" s="57"/>
      <c r="E317" s="58"/>
      <c r="F317" s="58"/>
      <c r="G317" s="33"/>
    </row>
    <row r="318" spans="2:7">
      <c r="B318" s="55"/>
      <c r="C318" s="33"/>
      <c r="D318" s="57"/>
      <c r="E318" s="58"/>
      <c r="F318" s="58"/>
      <c r="G318" s="33"/>
    </row>
    <row r="319" spans="2:7" ht="15.75" thickBot="1">
      <c r="B319" s="56"/>
      <c r="C319" s="34"/>
      <c r="D319" s="56"/>
      <c r="E319" s="59"/>
      <c r="F319" s="59"/>
      <c r="G319" s="34"/>
    </row>
    <row r="320" spans="2:7" ht="15.75" thickBot="1">
      <c r="B320" s="56">
        <f>SUM(B306:B319)</f>
        <v>100</v>
      </c>
      <c r="C320" s="34" t="s">
        <v>66</v>
      </c>
      <c r="D320" s="56">
        <f>SUM(D306:D319)</f>
        <v>117.67</v>
      </c>
      <c r="E320" s="56">
        <f>SUM(E306:E319)</f>
        <v>0</v>
      </c>
      <c r="F320" s="56">
        <f>SUM(F306:F319)</f>
        <v>103.12</v>
      </c>
      <c r="G320" s="34" t="s">
        <v>66</v>
      </c>
    </row>
    <row r="321" spans="2:7" ht="15.75" thickBot="1"/>
    <row r="322" spans="2:7" ht="14.45" customHeight="1">
      <c r="B322" s="289" t="str">
        <f>'2018'!A36</f>
        <v>Martina</v>
      </c>
      <c r="C322" s="290"/>
      <c r="D322" s="290"/>
      <c r="E322" s="290"/>
      <c r="F322" s="290"/>
      <c r="G322" s="291"/>
    </row>
    <row r="323" spans="2:7" ht="15" customHeight="1" thickBot="1">
      <c r="B323" s="292"/>
      <c r="C323" s="293"/>
      <c r="D323" s="293"/>
      <c r="E323" s="293"/>
      <c r="F323" s="293"/>
      <c r="G323" s="294"/>
    </row>
    <row r="324" spans="2:7">
      <c r="B324" s="297" t="s">
        <v>10</v>
      </c>
      <c r="C324" s="296"/>
      <c r="D324" s="295" t="s">
        <v>11</v>
      </c>
      <c r="E324" s="295"/>
      <c r="F324" s="295"/>
      <c r="G324" s="296"/>
    </row>
    <row r="325" spans="2:7">
      <c r="B325" s="52" t="s">
        <v>32</v>
      </c>
      <c r="C325" s="60" t="s">
        <v>33</v>
      </c>
      <c r="D325" s="52" t="s">
        <v>68</v>
      </c>
      <c r="E325" s="53" t="s">
        <v>69</v>
      </c>
      <c r="F325" s="53" t="s">
        <v>32</v>
      </c>
      <c r="G325" s="60" t="s">
        <v>33</v>
      </c>
    </row>
    <row r="326" spans="2:7">
      <c r="B326" s="54">
        <v>50</v>
      </c>
      <c r="C326" s="36"/>
      <c r="D326" s="57">
        <v>600</v>
      </c>
      <c r="E326" s="58"/>
      <c r="F326" s="58"/>
      <c r="G326" s="33" t="s">
        <v>286</v>
      </c>
    </row>
    <row r="327" spans="2:7">
      <c r="B327" s="55"/>
      <c r="C327" s="33"/>
      <c r="D327" s="57"/>
      <c r="E327" s="58"/>
      <c r="F327" s="58"/>
      <c r="G327" s="33"/>
    </row>
    <row r="328" spans="2:7">
      <c r="B328" s="55"/>
      <c r="C328" s="33"/>
      <c r="D328" s="57"/>
      <c r="E328" s="58"/>
      <c r="F328" s="58"/>
      <c r="G328" s="33"/>
    </row>
    <row r="329" spans="2:7">
      <c r="B329" s="55"/>
      <c r="C329" s="33"/>
      <c r="D329" s="57"/>
      <c r="E329" s="58"/>
      <c r="F329" s="58"/>
      <c r="G329" s="33"/>
    </row>
    <row r="330" spans="2:7">
      <c r="B330" s="55"/>
      <c r="C330" s="33"/>
      <c r="D330" s="57"/>
      <c r="E330" s="58"/>
      <c r="F330" s="58"/>
      <c r="G330" s="33"/>
    </row>
    <row r="331" spans="2:7">
      <c r="B331" s="55"/>
      <c r="C331" s="33"/>
      <c r="D331" s="57"/>
      <c r="E331" s="58"/>
      <c r="F331" s="58"/>
      <c r="G331" s="33"/>
    </row>
    <row r="332" spans="2:7">
      <c r="B332" s="55"/>
      <c r="C332" s="33"/>
      <c r="D332" s="57"/>
      <c r="E332" s="58"/>
      <c r="F332" s="58"/>
      <c r="G332" s="33"/>
    </row>
    <row r="333" spans="2:7">
      <c r="B333" s="55"/>
      <c r="C333" s="33"/>
      <c r="D333" s="57"/>
      <c r="E333" s="58"/>
      <c r="F333" s="58"/>
      <c r="G333" s="33"/>
    </row>
    <row r="334" spans="2:7">
      <c r="B334" s="55"/>
      <c r="C334" s="33"/>
      <c r="D334" s="57"/>
      <c r="E334" s="58"/>
      <c r="F334" s="58"/>
      <c r="G334" s="33"/>
    </row>
    <row r="335" spans="2:7">
      <c r="B335" s="55"/>
      <c r="C335" s="33"/>
      <c r="D335" s="57"/>
      <c r="E335" s="58"/>
      <c r="F335" s="58"/>
      <c r="G335" s="33"/>
    </row>
    <row r="336" spans="2:7">
      <c r="B336" s="55"/>
      <c r="C336" s="33"/>
      <c r="D336" s="57"/>
      <c r="E336" s="58"/>
      <c r="F336" s="58"/>
      <c r="G336" s="33"/>
    </row>
    <row r="337" spans="2:7">
      <c r="B337" s="55"/>
      <c r="C337" s="33"/>
      <c r="D337" s="57"/>
      <c r="E337" s="58"/>
      <c r="F337" s="58"/>
      <c r="G337" s="33"/>
    </row>
    <row r="338" spans="2:7">
      <c r="B338" s="55"/>
      <c r="C338" s="33"/>
      <c r="D338" s="57"/>
      <c r="E338" s="58"/>
      <c r="F338" s="58"/>
      <c r="G338" s="33"/>
    </row>
    <row r="339" spans="2:7" ht="15.75" thickBot="1">
      <c r="B339" s="56"/>
      <c r="C339" s="34"/>
      <c r="D339" s="56"/>
      <c r="E339" s="59"/>
      <c r="F339" s="59"/>
      <c r="G339" s="34"/>
    </row>
    <row r="340" spans="2:7" ht="15.75" thickBot="1">
      <c r="B340" s="56">
        <f>SUM(B326:B339)</f>
        <v>50</v>
      </c>
      <c r="C340" s="34" t="s">
        <v>66</v>
      </c>
      <c r="D340" s="56">
        <f>SUM(D326:D339)</f>
        <v>600</v>
      </c>
      <c r="E340" s="56">
        <f>SUM(E326:E339)</f>
        <v>0</v>
      </c>
      <c r="F340" s="56">
        <f>SUM(F326:F339)</f>
        <v>0</v>
      </c>
      <c r="G340" s="34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89" t="str">
        <f>'2018'!A37</f>
        <v>Impuestos</v>
      </c>
      <c r="C342" s="290"/>
      <c r="D342" s="290"/>
      <c r="E342" s="290"/>
      <c r="F342" s="290"/>
      <c r="G342" s="291"/>
    </row>
    <row r="343" spans="2:7" ht="15" customHeight="1" thickBot="1">
      <c r="B343" s="292"/>
      <c r="C343" s="293"/>
      <c r="D343" s="293"/>
      <c r="E343" s="293"/>
      <c r="F343" s="293"/>
      <c r="G343" s="294"/>
    </row>
    <row r="344" spans="2:7">
      <c r="B344" s="297" t="s">
        <v>10</v>
      </c>
      <c r="C344" s="296"/>
      <c r="D344" s="295" t="s">
        <v>11</v>
      </c>
      <c r="E344" s="295"/>
      <c r="F344" s="295"/>
      <c r="G344" s="296"/>
    </row>
    <row r="345" spans="2:7">
      <c r="B345" s="52" t="s">
        <v>32</v>
      </c>
      <c r="C345" s="60" t="s">
        <v>33</v>
      </c>
      <c r="D345" s="52" t="s">
        <v>68</v>
      </c>
      <c r="E345" s="53" t="s">
        <v>69</v>
      </c>
      <c r="F345" s="53" t="s">
        <v>32</v>
      </c>
      <c r="G345" s="60" t="s">
        <v>33</v>
      </c>
    </row>
    <row r="346" spans="2:7">
      <c r="B346" s="54">
        <v>30</v>
      </c>
      <c r="C346" s="36" t="s">
        <v>119</v>
      </c>
      <c r="D346" s="57"/>
      <c r="E346" s="58"/>
      <c r="F346" s="58"/>
      <c r="G346" s="33"/>
    </row>
    <row r="347" spans="2:7">
      <c r="B347" s="55"/>
      <c r="C347" s="33"/>
      <c r="D347" s="57"/>
      <c r="E347" s="58"/>
      <c r="F347" s="58"/>
      <c r="G347" s="33"/>
    </row>
    <row r="348" spans="2:7">
      <c r="B348" s="55"/>
      <c r="C348" s="33"/>
      <c r="D348" s="57"/>
      <c r="E348" s="58"/>
      <c r="F348" s="58"/>
      <c r="G348" s="33"/>
    </row>
    <row r="349" spans="2:7">
      <c r="B349" s="55"/>
      <c r="C349" s="33"/>
      <c r="D349" s="57"/>
      <c r="E349" s="58"/>
      <c r="F349" s="58"/>
      <c r="G349" s="33"/>
    </row>
    <row r="350" spans="2:7">
      <c r="B350" s="55"/>
      <c r="C350" s="33"/>
      <c r="D350" s="57"/>
      <c r="E350" s="58"/>
      <c r="F350" s="58"/>
      <c r="G350" s="33"/>
    </row>
    <row r="351" spans="2:7">
      <c r="B351" s="55"/>
      <c r="C351" s="33"/>
      <c r="D351" s="57"/>
      <c r="E351" s="58"/>
      <c r="F351" s="58"/>
      <c r="G351" s="33"/>
    </row>
    <row r="352" spans="2:7">
      <c r="B352" s="55"/>
      <c r="C352" s="33"/>
      <c r="D352" s="57"/>
      <c r="E352" s="58"/>
      <c r="F352" s="58"/>
      <c r="G352" s="33"/>
    </row>
    <row r="353" spans="2:7">
      <c r="B353" s="55"/>
      <c r="C353" s="33"/>
      <c r="D353" s="57"/>
      <c r="E353" s="58"/>
      <c r="F353" s="58"/>
      <c r="G353" s="33"/>
    </row>
    <row r="354" spans="2:7">
      <c r="B354" s="55"/>
      <c r="C354" s="33"/>
      <c r="D354" s="57"/>
      <c r="E354" s="58"/>
      <c r="F354" s="58"/>
      <c r="G354" s="33"/>
    </row>
    <row r="355" spans="2:7">
      <c r="B355" s="55"/>
      <c r="C355" s="33"/>
      <c r="D355" s="57"/>
      <c r="E355" s="58"/>
      <c r="F355" s="58"/>
      <c r="G355" s="33"/>
    </row>
    <row r="356" spans="2:7">
      <c r="B356" s="55"/>
      <c r="C356" s="33"/>
      <c r="D356" s="57"/>
      <c r="E356" s="58"/>
      <c r="F356" s="58"/>
      <c r="G356" s="33"/>
    </row>
    <row r="357" spans="2:7">
      <c r="B357" s="55"/>
      <c r="C357" s="33"/>
      <c r="D357" s="57"/>
      <c r="E357" s="58"/>
      <c r="F357" s="58"/>
      <c r="G357" s="33"/>
    </row>
    <row r="358" spans="2:7">
      <c r="B358" s="55"/>
      <c r="C358" s="33"/>
      <c r="D358" s="57"/>
      <c r="E358" s="58"/>
      <c r="F358" s="58"/>
      <c r="G358" s="33"/>
    </row>
    <row r="359" spans="2:7" ht="15.75" thickBot="1">
      <c r="B359" s="56"/>
      <c r="C359" s="34"/>
      <c r="D359" s="56"/>
      <c r="E359" s="59"/>
      <c r="F359" s="59"/>
      <c r="G359" s="34"/>
    </row>
    <row r="360" spans="2:7" ht="15.75" thickBot="1">
      <c r="B360" s="56">
        <f>SUM(B346:B359)</f>
        <v>30</v>
      </c>
      <c r="C360" s="34" t="s">
        <v>66</v>
      </c>
      <c r="D360" s="56">
        <f>SUM(D346:D359)</f>
        <v>0</v>
      </c>
      <c r="E360" s="56">
        <f>SUM(E346:E359)</f>
        <v>0</v>
      </c>
      <c r="F360" s="56">
        <f>SUM(F346:F359)</f>
        <v>0</v>
      </c>
      <c r="G360" s="34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89" t="str">
        <f>'2018'!A38</f>
        <v>Gastos Curros</v>
      </c>
      <c r="C362" s="290"/>
      <c r="D362" s="290"/>
      <c r="E362" s="290"/>
      <c r="F362" s="290"/>
      <c r="G362" s="291"/>
    </row>
    <row r="363" spans="2:7" ht="15" customHeight="1" thickBot="1">
      <c r="B363" s="292"/>
      <c r="C363" s="293"/>
      <c r="D363" s="293"/>
      <c r="E363" s="293"/>
      <c r="F363" s="293"/>
      <c r="G363" s="294"/>
    </row>
    <row r="364" spans="2:7">
      <c r="B364" s="297" t="s">
        <v>10</v>
      </c>
      <c r="C364" s="296"/>
      <c r="D364" s="295" t="s">
        <v>11</v>
      </c>
      <c r="E364" s="295"/>
      <c r="F364" s="295"/>
      <c r="G364" s="296"/>
    </row>
    <row r="365" spans="2:7">
      <c r="B365" s="52" t="s">
        <v>32</v>
      </c>
      <c r="C365" s="60" t="s">
        <v>33</v>
      </c>
      <c r="D365" s="52" t="s">
        <v>68</v>
      </c>
      <c r="E365" s="53" t="s">
        <v>69</v>
      </c>
      <c r="F365" s="53" t="s">
        <v>32</v>
      </c>
      <c r="G365" s="60" t="s">
        <v>33</v>
      </c>
    </row>
    <row r="366" spans="2:7">
      <c r="B366" s="54">
        <v>50</v>
      </c>
      <c r="C366" s="36" t="s">
        <v>36</v>
      </c>
      <c r="D366" s="57"/>
      <c r="E366" s="58"/>
      <c r="F366" s="58">
        <f>4.45+3.4+4.45+4+4+3.5+3.4+3.5</f>
        <v>30.7</v>
      </c>
      <c r="G366" s="70" t="s">
        <v>91</v>
      </c>
    </row>
    <row r="367" spans="2:7">
      <c r="B367" s="55"/>
      <c r="C367" s="33"/>
      <c r="D367" s="57"/>
      <c r="E367" s="58"/>
      <c r="F367" s="58"/>
      <c r="G367" s="70" t="s">
        <v>92</v>
      </c>
    </row>
    <row r="368" spans="2:7">
      <c r="B368" s="55"/>
      <c r="C368" s="33"/>
      <c r="D368" s="57">
        <f>27.49+40.48</f>
        <v>67.97</v>
      </c>
      <c r="E368" s="58">
        <f>25.05</f>
        <v>25.05</v>
      </c>
      <c r="F368" s="58"/>
      <c r="G368" s="33" t="s">
        <v>295</v>
      </c>
    </row>
    <row r="369" spans="2:7">
      <c r="B369" s="55"/>
      <c r="C369" s="33"/>
      <c r="D369" s="57"/>
      <c r="E369" s="58"/>
      <c r="F369" s="58"/>
      <c r="G369" s="33"/>
    </row>
    <row r="370" spans="2:7">
      <c r="B370" s="55"/>
      <c r="C370" s="33"/>
      <c r="D370" s="57"/>
      <c r="E370" s="58"/>
      <c r="F370" s="58"/>
      <c r="G370" s="33"/>
    </row>
    <row r="371" spans="2:7">
      <c r="B371" s="55"/>
      <c r="C371" s="33"/>
      <c r="D371" s="57"/>
      <c r="E371" s="58"/>
      <c r="F371" s="58"/>
      <c r="G371" s="33"/>
    </row>
    <row r="372" spans="2:7">
      <c r="B372" s="55"/>
      <c r="C372" s="33"/>
      <c r="D372" s="57"/>
      <c r="E372" s="58"/>
      <c r="F372" s="58"/>
      <c r="G372" s="33"/>
    </row>
    <row r="373" spans="2:7">
      <c r="B373" s="55"/>
      <c r="C373" s="33"/>
      <c r="D373" s="57"/>
      <c r="E373" s="58"/>
      <c r="F373" s="58"/>
      <c r="G373" s="33"/>
    </row>
    <row r="374" spans="2:7">
      <c r="B374" s="55"/>
      <c r="C374" s="33"/>
      <c r="D374" s="57"/>
      <c r="E374" s="58"/>
      <c r="F374" s="58"/>
      <c r="G374" s="33"/>
    </row>
    <row r="375" spans="2:7">
      <c r="B375" s="55"/>
      <c r="C375" s="33"/>
      <c r="D375" s="57"/>
      <c r="E375" s="58"/>
      <c r="F375" s="58"/>
      <c r="G375" s="33"/>
    </row>
    <row r="376" spans="2:7">
      <c r="B376" s="55"/>
      <c r="C376" s="33"/>
      <c r="D376" s="57"/>
      <c r="E376" s="58"/>
      <c r="F376" s="58"/>
      <c r="G376" s="33"/>
    </row>
    <row r="377" spans="2:7">
      <c r="B377" s="55"/>
      <c r="C377" s="33"/>
      <c r="D377" s="57"/>
      <c r="E377" s="58"/>
      <c r="F377" s="58"/>
      <c r="G377" s="33"/>
    </row>
    <row r="378" spans="2:7">
      <c r="B378" s="55"/>
      <c r="C378" s="33"/>
      <c r="D378" s="57"/>
      <c r="E378" s="58"/>
      <c r="F378" s="58"/>
      <c r="G378" s="33"/>
    </row>
    <row r="379" spans="2:7" ht="15.75" thickBot="1">
      <c r="B379" s="56"/>
      <c r="C379" s="34"/>
      <c r="D379" s="56"/>
      <c r="E379" s="59"/>
      <c r="F379" s="59"/>
      <c r="G379" s="34"/>
    </row>
    <row r="380" spans="2:7" ht="15.75" thickBot="1">
      <c r="B380" s="56">
        <f>SUM(B366:B379)</f>
        <v>50</v>
      </c>
      <c r="C380" s="34" t="s">
        <v>66</v>
      </c>
      <c r="D380" s="56">
        <f>SUM(D366:D379)</f>
        <v>67.97</v>
      </c>
      <c r="E380" s="56">
        <f>SUM(E366:E379)</f>
        <v>25.05</v>
      </c>
      <c r="F380" s="56">
        <f>SUM(F366:F379)</f>
        <v>30.7</v>
      </c>
      <c r="G380" s="34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89" t="str">
        <f>'2018'!A39</f>
        <v>Dreamed Holidays</v>
      </c>
      <c r="C382" s="290"/>
      <c r="D382" s="290"/>
      <c r="E382" s="290"/>
      <c r="F382" s="290"/>
      <c r="G382" s="291"/>
    </row>
    <row r="383" spans="2:7" ht="15" customHeight="1" thickBot="1">
      <c r="B383" s="292"/>
      <c r="C383" s="293"/>
      <c r="D383" s="293"/>
      <c r="E383" s="293"/>
      <c r="F383" s="293"/>
      <c r="G383" s="294"/>
    </row>
    <row r="384" spans="2:7">
      <c r="B384" s="297" t="s">
        <v>10</v>
      </c>
      <c r="C384" s="296"/>
      <c r="D384" s="295" t="s">
        <v>11</v>
      </c>
      <c r="E384" s="295"/>
      <c r="F384" s="295"/>
      <c r="G384" s="296"/>
    </row>
    <row r="385" spans="2:7">
      <c r="B385" s="52" t="s">
        <v>32</v>
      </c>
      <c r="C385" s="60" t="s">
        <v>33</v>
      </c>
      <c r="D385" s="52" t="s">
        <v>68</v>
      </c>
      <c r="E385" s="53" t="s">
        <v>69</v>
      </c>
      <c r="F385" s="53" t="s">
        <v>32</v>
      </c>
      <c r="G385" s="60" t="s">
        <v>33</v>
      </c>
    </row>
    <row r="386" spans="2:7">
      <c r="B386" s="54">
        <v>10</v>
      </c>
      <c r="C386" s="36"/>
      <c r="D386" s="57"/>
      <c r="E386" s="58"/>
      <c r="F386" s="58"/>
      <c r="G386" s="33"/>
    </row>
    <row r="387" spans="2:7">
      <c r="B387" s="55"/>
      <c r="C387" s="33"/>
      <c r="D387" s="57"/>
      <c r="E387" s="58"/>
      <c r="F387" s="58"/>
      <c r="G387" s="33"/>
    </row>
    <row r="388" spans="2:7">
      <c r="B388" s="55"/>
      <c r="C388" s="33"/>
      <c r="D388" s="57"/>
      <c r="E388" s="58"/>
      <c r="F388" s="58"/>
      <c r="G388" s="33"/>
    </row>
    <row r="389" spans="2:7">
      <c r="B389" s="55"/>
      <c r="C389" s="33"/>
      <c r="D389" s="57"/>
      <c r="E389" s="58"/>
      <c r="F389" s="58"/>
      <c r="G389" s="33"/>
    </row>
    <row r="390" spans="2:7">
      <c r="B390" s="55"/>
      <c r="C390" s="33"/>
      <c r="D390" s="57"/>
      <c r="E390" s="58"/>
      <c r="F390" s="58"/>
      <c r="G390" s="33"/>
    </row>
    <row r="391" spans="2:7">
      <c r="B391" s="55"/>
      <c r="C391" s="33"/>
      <c r="D391" s="57"/>
      <c r="E391" s="58"/>
      <c r="F391" s="58"/>
      <c r="G391" s="33"/>
    </row>
    <row r="392" spans="2:7">
      <c r="B392" s="55"/>
      <c r="C392" s="33"/>
      <c r="D392" s="57"/>
      <c r="E392" s="58"/>
      <c r="F392" s="58"/>
      <c r="G392" s="33"/>
    </row>
    <row r="393" spans="2:7">
      <c r="B393" s="55"/>
      <c r="C393" s="33"/>
      <c r="D393" s="57"/>
      <c r="E393" s="58"/>
      <c r="F393" s="58"/>
      <c r="G393" s="33"/>
    </row>
    <row r="394" spans="2:7">
      <c r="B394" s="55"/>
      <c r="C394" s="33"/>
      <c r="D394" s="57"/>
      <c r="E394" s="58"/>
      <c r="F394" s="58"/>
      <c r="G394" s="33"/>
    </row>
    <row r="395" spans="2:7">
      <c r="B395" s="55"/>
      <c r="C395" s="33"/>
      <c r="D395" s="57"/>
      <c r="E395" s="58"/>
      <c r="F395" s="58"/>
      <c r="G395" s="33"/>
    </row>
    <row r="396" spans="2:7">
      <c r="B396" s="55"/>
      <c r="C396" s="33"/>
      <c r="D396" s="57"/>
      <c r="E396" s="58"/>
      <c r="F396" s="58"/>
      <c r="G396" s="33"/>
    </row>
    <row r="397" spans="2:7">
      <c r="B397" s="55"/>
      <c r="C397" s="33"/>
      <c r="D397" s="57"/>
      <c r="E397" s="58"/>
      <c r="F397" s="58"/>
      <c r="G397" s="33"/>
    </row>
    <row r="398" spans="2:7">
      <c r="B398" s="55"/>
      <c r="C398" s="33"/>
      <c r="D398" s="57"/>
      <c r="E398" s="58"/>
      <c r="F398" s="58"/>
      <c r="G398" s="33"/>
    </row>
    <row r="399" spans="2:7" ht="15.75" thickBot="1">
      <c r="B399" s="56"/>
      <c r="C399" s="34"/>
      <c r="D399" s="56"/>
      <c r="E399" s="59"/>
      <c r="F399" s="59"/>
      <c r="G399" s="34"/>
    </row>
    <row r="400" spans="2:7" ht="15.75" thickBot="1">
      <c r="B400" s="56">
        <f>SUM(B386:B399)</f>
        <v>10</v>
      </c>
      <c r="C400" s="34" t="s">
        <v>66</v>
      </c>
      <c r="D400" s="56">
        <f>SUM(D386:D399)</f>
        <v>0</v>
      </c>
      <c r="E400" s="56">
        <f>SUM(E386:E399)</f>
        <v>0</v>
      </c>
      <c r="F400" s="56">
        <f>SUM(F386:F399)</f>
        <v>0</v>
      </c>
      <c r="G400" s="34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89" t="str">
        <f>'2018'!A40</f>
        <v>Financieros</v>
      </c>
      <c r="C402" s="290"/>
      <c r="D402" s="290"/>
      <c r="E402" s="290"/>
      <c r="F402" s="290"/>
      <c r="G402" s="291"/>
    </row>
    <row r="403" spans="2:7" ht="15" customHeight="1" thickBot="1">
      <c r="B403" s="292"/>
      <c r="C403" s="293"/>
      <c r="D403" s="293"/>
      <c r="E403" s="293"/>
      <c r="F403" s="293"/>
      <c r="G403" s="294"/>
    </row>
    <row r="404" spans="2:7">
      <c r="B404" s="297" t="s">
        <v>10</v>
      </c>
      <c r="C404" s="296"/>
      <c r="D404" s="295" t="s">
        <v>11</v>
      </c>
      <c r="E404" s="295"/>
      <c r="F404" s="295"/>
      <c r="G404" s="296"/>
    </row>
    <row r="405" spans="2:7">
      <c r="B405" s="52" t="s">
        <v>32</v>
      </c>
      <c r="C405" s="60" t="s">
        <v>33</v>
      </c>
      <c r="D405" s="52" t="s">
        <v>68</v>
      </c>
      <c r="E405" s="53" t="s">
        <v>69</v>
      </c>
      <c r="F405" s="53" t="s">
        <v>32</v>
      </c>
      <c r="G405" s="60" t="s">
        <v>33</v>
      </c>
    </row>
    <row r="406" spans="2:7">
      <c r="B406" s="54">
        <v>-5092.08</v>
      </c>
      <c r="C406" s="36" t="s">
        <v>310</v>
      </c>
      <c r="D406" s="57">
        <v>56.01</v>
      </c>
      <c r="E406" s="58"/>
      <c r="F406" s="58"/>
      <c r="G406" s="33" t="s">
        <v>302</v>
      </c>
    </row>
    <row r="407" spans="2:7">
      <c r="B407" s="55"/>
      <c r="C407" s="33"/>
      <c r="D407" s="57"/>
      <c r="E407" s="58"/>
      <c r="F407" s="58"/>
      <c r="G407" s="33"/>
    </row>
    <row r="408" spans="2:7">
      <c r="B408" s="55"/>
      <c r="C408" s="33"/>
      <c r="D408" s="57"/>
      <c r="E408" s="58"/>
      <c r="F408" s="58"/>
      <c r="G408" s="33"/>
    </row>
    <row r="409" spans="2:7">
      <c r="B409" s="55"/>
      <c r="C409" s="33"/>
      <c r="D409" s="57"/>
      <c r="E409" s="58"/>
      <c r="F409" s="58"/>
      <c r="G409" s="33"/>
    </row>
    <row r="410" spans="2:7">
      <c r="B410" s="55"/>
      <c r="C410" s="33"/>
      <c r="D410" s="57"/>
      <c r="E410" s="58"/>
      <c r="F410" s="58"/>
      <c r="G410" s="33"/>
    </row>
    <row r="411" spans="2:7">
      <c r="B411" s="55"/>
      <c r="C411" s="33"/>
      <c r="D411" s="57"/>
      <c r="E411" s="58"/>
      <c r="F411" s="58"/>
      <c r="G411" s="33"/>
    </row>
    <row r="412" spans="2:7">
      <c r="B412" s="55"/>
      <c r="C412" s="33"/>
      <c r="D412" s="57"/>
      <c r="E412" s="58"/>
      <c r="F412" s="58"/>
      <c r="G412" s="33"/>
    </row>
    <row r="413" spans="2:7">
      <c r="B413" s="55"/>
      <c r="C413" s="33"/>
      <c r="D413" s="57"/>
      <c r="E413" s="58"/>
      <c r="F413" s="58"/>
      <c r="G413" s="33"/>
    </row>
    <row r="414" spans="2:7">
      <c r="B414" s="55"/>
      <c r="C414" s="33"/>
      <c r="D414" s="57"/>
      <c r="E414" s="58"/>
      <c r="F414" s="58"/>
      <c r="G414" s="33"/>
    </row>
    <row r="415" spans="2:7">
      <c r="B415" s="55"/>
      <c r="C415" s="33"/>
      <c r="D415" s="57"/>
      <c r="E415" s="58"/>
      <c r="F415" s="58"/>
      <c r="G415" s="33"/>
    </row>
    <row r="416" spans="2:7">
      <c r="B416" s="55"/>
      <c r="C416" s="33"/>
      <c r="D416" s="57"/>
      <c r="E416" s="58"/>
      <c r="F416" s="58"/>
      <c r="G416" s="33"/>
    </row>
    <row r="417" spans="2:7">
      <c r="B417" s="55"/>
      <c r="C417" s="33"/>
      <c r="D417" s="57"/>
      <c r="E417" s="58"/>
      <c r="F417" s="58"/>
      <c r="G417" s="33"/>
    </row>
    <row r="418" spans="2:7">
      <c r="B418" s="55"/>
      <c r="C418" s="33"/>
      <c r="D418" s="57"/>
      <c r="E418" s="58"/>
      <c r="F418" s="58"/>
      <c r="G418" s="33"/>
    </row>
    <row r="419" spans="2:7" ht="15.75" thickBot="1">
      <c r="B419" s="56"/>
      <c r="C419" s="34"/>
      <c r="D419" s="56"/>
      <c r="E419" s="59"/>
      <c r="F419" s="59"/>
      <c r="G419" s="34"/>
    </row>
    <row r="420" spans="2:7" ht="15.75" thickBot="1">
      <c r="B420" s="56">
        <f>SUM(B406:B419)</f>
        <v>-5092.08</v>
      </c>
      <c r="C420" s="34" t="s">
        <v>66</v>
      </c>
      <c r="D420" s="56">
        <f>SUM(D406:D419)</f>
        <v>56.01</v>
      </c>
      <c r="E420" s="56">
        <f>SUM(E406:E419)</f>
        <v>0</v>
      </c>
      <c r="F420" s="56">
        <f>SUM(F406:F419)</f>
        <v>0</v>
      </c>
      <c r="G420" s="34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89" t="str">
        <f>'2018'!A41</f>
        <v>Ahorros Colchón</v>
      </c>
      <c r="C422" s="307"/>
      <c r="D422" s="307"/>
      <c r="E422" s="307"/>
      <c r="F422" s="307"/>
      <c r="G422" s="308"/>
    </row>
    <row r="423" spans="2:7" ht="15" customHeight="1" thickBot="1">
      <c r="B423" s="309"/>
      <c r="C423" s="310"/>
      <c r="D423" s="310"/>
      <c r="E423" s="310"/>
      <c r="F423" s="310"/>
      <c r="G423" s="311"/>
    </row>
    <row r="424" spans="2:7">
      <c r="B424" s="297" t="s">
        <v>10</v>
      </c>
      <c r="C424" s="296"/>
      <c r="D424" s="295" t="s">
        <v>11</v>
      </c>
      <c r="E424" s="295"/>
      <c r="F424" s="295"/>
      <c r="G424" s="296"/>
    </row>
    <row r="425" spans="2:7">
      <c r="B425" s="52" t="s">
        <v>32</v>
      </c>
      <c r="C425" s="60" t="s">
        <v>33</v>
      </c>
      <c r="D425" s="52" t="s">
        <v>68</v>
      </c>
      <c r="E425" s="53" t="s">
        <v>69</v>
      </c>
      <c r="F425" s="53" t="s">
        <v>32</v>
      </c>
      <c r="G425" s="60" t="s">
        <v>33</v>
      </c>
    </row>
    <row r="426" spans="2:7">
      <c r="B426" s="54">
        <v>1117.3900000000001</v>
      </c>
      <c r="C426" s="36" t="s">
        <v>306</v>
      </c>
      <c r="D426" s="57"/>
      <c r="E426" s="58"/>
      <c r="F426" s="58"/>
      <c r="G426" s="33"/>
    </row>
    <row r="427" spans="2:7">
      <c r="B427" s="55"/>
      <c r="C427" s="33"/>
      <c r="D427" s="57"/>
      <c r="E427" s="58"/>
      <c r="F427" s="58"/>
      <c r="G427" s="33"/>
    </row>
    <row r="428" spans="2:7">
      <c r="B428" s="55"/>
      <c r="C428" s="33"/>
      <c r="D428" s="57"/>
      <c r="E428" s="58"/>
      <c r="F428" s="58"/>
      <c r="G428" s="33"/>
    </row>
    <row r="429" spans="2:7">
      <c r="B429" s="55"/>
      <c r="C429" s="33"/>
      <c r="D429" s="57"/>
      <c r="E429" s="58"/>
      <c r="F429" s="58"/>
      <c r="G429" s="33"/>
    </row>
    <row r="430" spans="2:7">
      <c r="B430" s="55"/>
      <c r="C430" s="33"/>
      <c r="D430" s="57"/>
      <c r="E430" s="58"/>
      <c r="F430" s="58"/>
      <c r="G430" s="33"/>
    </row>
    <row r="431" spans="2:7">
      <c r="B431" s="55"/>
      <c r="C431" s="33"/>
      <c r="D431" s="57"/>
      <c r="E431" s="58"/>
      <c r="F431" s="58"/>
      <c r="G431" s="33"/>
    </row>
    <row r="432" spans="2:7">
      <c r="B432" s="55"/>
      <c r="C432" s="33"/>
      <c r="D432" s="57"/>
      <c r="E432" s="58"/>
      <c r="F432" s="58"/>
      <c r="G432" s="33"/>
    </row>
    <row r="433" spans="2:7">
      <c r="B433" s="55"/>
      <c r="C433" s="33"/>
      <c r="D433" s="57"/>
      <c r="E433" s="58"/>
      <c r="F433" s="58"/>
      <c r="G433" s="33"/>
    </row>
    <row r="434" spans="2:7">
      <c r="B434" s="55"/>
      <c r="C434" s="33"/>
      <c r="D434" s="57"/>
      <c r="E434" s="58"/>
      <c r="F434" s="58"/>
      <c r="G434" s="33"/>
    </row>
    <row r="435" spans="2:7">
      <c r="B435" s="55"/>
      <c r="C435" s="33"/>
      <c r="D435" s="57"/>
      <c r="E435" s="58"/>
      <c r="F435" s="58"/>
      <c r="G435" s="33"/>
    </row>
    <row r="436" spans="2:7">
      <c r="B436" s="55"/>
      <c r="C436" s="33"/>
      <c r="D436" s="57"/>
      <c r="E436" s="58"/>
      <c r="F436" s="58"/>
      <c r="G436" s="33"/>
    </row>
    <row r="437" spans="2:7">
      <c r="B437" s="55"/>
      <c r="C437" s="33"/>
      <c r="D437" s="57"/>
      <c r="E437" s="58"/>
      <c r="F437" s="58"/>
      <c r="G437" s="33"/>
    </row>
    <row r="438" spans="2:7">
      <c r="B438" s="55"/>
      <c r="C438" s="33"/>
      <c r="D438" s="57"/>
      <c r="E438" s="58"/>
      <c r="F438" s="58"/>
      <c r="G438" s="33"/>
    </row>
    <row r="439" spans="2:7" ht="15.75" thickBot="1">
      <c r="B439" s="56"/>
      <c r="C439" s="34"/>
      <c r="D439" s="56"/>
      <c r="E439" s="59"/>
      <c r="F439" s="59"/>
      <c r="G439" s="34"/>
    </row>
    <row r="440" spans="2:7" ht="15.75" thickBot="1">
      <c r="B440" s="56">
        <f>SUM(B426:B439)</f>
        <v>1117.3900000000001</v>
      </c>
      <c r="C440" s="34" t="s">
        <v>66</v>
      </c>
      <c r="D440" s="56">
        <f>SUM(D426:D439)</f>
        <v>0</v>
      </c>
      <c r="E440" s="56">
        <f>SUM(E426:E439)</f>
        <v>0</v>
      </c>
      <c r="F440" s="56">
        <f>SUM(F426:F439)</f>
        <v>0</v>
      </c>
      <c r="G440" s="34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89" t="str">
        <f>'2018'!A42</f>
        <v>Dinero Bloqueado</v>
      </c>
      <c r="C442" s="307"/>
      <c r="D442" s="307"/>
      <c r="E442" s="307"/>
      <c r="F442" s="307"/>
      <c r="G442" s="308"/>
    </row>
    <row r="443" spans="2:7" ht="15" customHeight="1" thickBot="1">
      <c r="B443" s="309"/>
      <c r="C443" s="310"/>
      <c r="D443" s="310"/>
      <c r="E443" s="310"/>
      <c r="F443" s="310"/>
      <c r="G443" s="311"/>
    </row>
    <row r="444" spans="2:7">
      <c r="B444" s="297" t="s">
        <v>10</v>
      </c>
      <c r="C444" s="296"/>
      <c r="D444" s="295" t="s">
        <v>11</v>
      </c>
      <c r="E444" s="295"/>
      <c r="F444" s="295"/>
      <c r="G444" s="296"/>
    </row>
    <row r="445" spans="2:7">
      <c r="B445" s="52" t="s">
        <v>32</v>
      </c>
      <c r="C445" s="60" t="s">
        <v>33</v>
      </c>
      <c r="D445" s="52" t="s">
        <v>68</v>
      </c>
      <c r="E445" s="53" t="s">
        <v>69</v>
      </c>
      <c r="F445" s="53" t="s">
        <v>32</v>
      </c>
      <c r="G445" s="60" t="s">
        <v>33</v>
      </c>
    </row>
    <row r="446" spans="2:7">
      <c r="B446" s="54">
        <v>5092.08</v>
      </c>
      <c r="C446" s="36" t="s">
        <v>310</v>
      </c>
      <c r="D446" s="57"/>
      <c r="E446" s="58"/>
      <c r="F446" s="58"/>
      <c r="G446" s="33"/>
    </row>
    <row r="447" spans="2:7">
      <c r="B447" s="55"/>
      <c r="C447" s="33"/>
      <c r="D447" s="57"/>
      <c r="E447" s="58"/>
      <c r="F447" s="58"/>
      <c r="G447" s="33"/>
    </row>
    <row r="448" spans="2:7">
      <c r="B448" s="55"/>
      <c r="C448" s="33"/>
      <c r="D448" s="57"/>
      <c r="E448" s="58"/>
      <c r="F448" s="58"/>
      <c r="G448" s="33"/>
    </row>
    <row r="449" spans="2:7">
      <c r="B449" s="55"/>
      <c r="C449" s="33"/>
      <c r="D449" s="57"/>
      <c r="E449" s="58"/>
      <c r="F449" s="58"/>
      <c r="G449" s="33"/>
    </row>
    <row r="450" spans="2:7">
      <c r="B450" s="55"/>
      <c r="C450" s="33"/>
      <c r="D450" s="57"/>
      <c r="E450" s="58"/>
      <c r="F450" s="58"/>
      <c r="G450" s="33"/>
    </row>
    <row r="451" spans="2:7">
      <c r="B451" s="55"/>
      <c r="C451" s="33"/>
      <c r="D451" s="57"/>
      <c r="E451" s="58"/>
      <c r="F451" s="58"/>
      <c r="G451" s="33"/>
    </row>
    <row r="452" spans="2:7">
      <c r="B452" s="55"/>
      <c r="C452" s="33"/>
      <c r="D452" s="57"/>
      <c r="E452" s="58"/>
      <c r="F452" s="58"/>
      <c r="G452" s="33"/>
    </row>
    <row r="453" spans="2:7">
      <c r="B453" s="55"/>
      <c r="C453" s="33"/>
      <c r="D453" s="57"/>
      <c r="E453" s="58"/>
      <c r="F453" s="58"/>
      <c r="G453" s="33"/>
    </row>
    <row r="454" spans="2:7">
      <c r="B454" s="55"/>
      <c r="C454" s="33"/>
      <c r="D454" s="57"/>
      <c r="E454" s="58"/>
      <c r="F454" s="58"/>
      <c r="G454" s="33"/>
    </row>
    <row r="455" spans="2:7">
      <c r="B455" s="55"/>
      <c r="C455" s="33"/>
      <c r="D455" s="57"/>
      <c r="E455" s="58"/>
      <c r="F455" s="58"/>
      <c r="G455" s="33"/>
    </row>
    <row r="456" spans="2:7">
      <c r="B456" s="55"/>
      <c r="C456" s="33"/>
      <c r="D456" s="57"/>
      <c r="E456" s="58"/>
      <c r="F456" s="58"/>
      <c r="G456" s="33"/>
    </row>
    <row r="457" spans="2:7">
      <c r="B457" s="55"/>
      <c r="C457" s="33"/>
      <c r="D457" s="57"/>
      <c r="E457" s="58"/>
      <c r="F457" s="58"/>
      <c r="G457" s="33"/>
    </row>
    <row r="458" spans="2:7">
      <c r="B458" s="55"/>
      <c r="C458" s="33"/>
      <c r="D458" s="57"/>
      <c r="E458" s="58"/>
      <c r="F458" s="58"/>
      <c r="G458" s="33"/>
    </row>
    <row r="459" spans="2:7" ht="15.75" thickBot="1">
      <c r="B459" s="56"/>
      <c r="C459" s="34"/>
      <c r="D459" s="56"/>
      <c r="E459" s="59"/>
      <c r="F459" s="59"/>
      <c r="G459" s="34"/>
    </row>
    <row r="460" spans="2:7" ht="15.75" thickBot="1">
      <c r="B460" s="56">
        <f>SUM(B446:B459)</f>
        <v>5092.08</v>
      </c>
      <c r="C460" s="34" t="s">
        <v>66</v>
      </c>
      <c r="D460" s="56">
        <f>SUM(D446:D459)</f>
        <v>0</v>
      </c>
      <c r="E460" s="56">
        <f>SUM(E446:E459)</f>
        <v>0</v>
      </c>
      <c r="F460" s="56">
        <f>SUM(F446:F459)</f>
        <v>0</v>
      </c>
      <c r="G460" s="34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89" t="str">
        <f>'2018'!A43</f>
        <v>Cartama Finanazas</v>
      </c>
      <c r="C462" s="307"/>
      <c r="D462" s="307"/>
      <c r="E462" s="307"/>
      <c r="F462" s="307"/>
      <c r="G462" s="308"/>
    </row>
    <row r="463" spans="2:7" ht="15" customHeight="1" thickBot="1">
      <c r="B463" s="309"/>
      <c r="C463" s="310"/>
      <c r="D463" s="310"/>
      <c r="E463" s="310"/>
      <c r="F463" s="310"/>
      <c r="G463" s="311"/>
    </row>
    <row r="464" spans="2:7">
      <c r="B464" s="297" t="s">
        <v>10</v>
      </c>
      <c r="C464" s="296"/>
      <c r="D464" s="295" t="s">
        <v>11</v>
      </c>
      <c r="E464" s="295"/>
      <c r="F464" s="295"/>
      <c r="G464" s="296"/>
    </row>
    <row r="465" spans="2:7">
      <c r="B465" s="52" t="s">
        <v>32</v>
      </c>
      <c r="C465" s="60" t="s">
        <v>33</v>
      </c>
      <c r="D465" s="52" t="s">
        <v>68</v>
      </c>
      <c r="E465" s="53" t="s">
        <v>69</v>
      </c>
      <c r="F465" s="53" t="s">
        <v>32</v>
      </c>
      <c r="G465" s="60" t="s">
        <v>33</v>
      </c>
    </row>
    <row r="466" spans="2:7">
      <c r="B466" s="54"/>
      <c r="C466" s="36"/>
      <c r="D466" s="57"/>
      <c r="E466" s="58"/>
      <c r="F466" s="58"/>
      <c r="G466" s="33"/>
    </row>
    <row r="467" spans="2:7">
      <c r="B467" s="55"/>
      <c r="C467" s="33"/>
      <c r="D467" s="57"/>
      <c r="E467" s="58"/>
      <c r="F467" s="58"/>
      <c r="G467" s="33"/>
    </row>
    <row r="468" spans="2:7">
      <c r="B468" s="55"/>
      <c r="C468" s="33"/>
      <c r="D468" s="57"/>
      <c r="E468" s="58"/>
      <c r="F468" s="58"/>
      <c r="G468" s="33"/>
    </row>
    <row r="469" spans="2:7">
      <c r="B469" s="55"/>
      <c r="C469" s="33"/>
      <c r="D469" s="57"/>
      <c r="E469" s="58"/>
      <c r="F469" s="58"/>
      <c r="G469" s="33"/>
    </row>
    <row r="470" spans="2:7">
      <c r="B470" s="55"/>
      <c r="C470" s="33"/>
      <c r="D470" s="57"/>
      <c r="E470" s="58"/>
      <c r="F470" s="58"/>
      <c r="G470" s="33"/>
    </row>
    <row r="471" spans="2:7">
      <c r="B471" s="55"/>
      <c r="C471" s="33"/>
      <c r="D471" s="57"/>
      <c r="E471" s="58"/>
      <c r="F471" s="58"/>
      <c r="G471" s="33"/>
    </row>
    <row r="472" spans="2:7">
      <c r="B472" s="55"/>
      <c r="C472" s="33"/>
      <c r="D472" s="57"/>
      <c r="E472" s="58"/>
      <c r="F472" s="58"/>
      <c r="G472" s="33"/>
    </row>
    <row r="473" spans="2:7">
      <c r="B473" s="55"/>
      <c r="C473" s="33"/>
      <c r="D473" s="57"/>
      <c r="E473" s="58"/>
      <c r="F473" s="58"/>
      <c r="G473" s="33"/>
    </row>
    <row r="474" spans="2:7">
      <c r="B474" s="55"/>
      <c r="C474" s="33"/>
      <c r="D474" s="57"/>
      <c r="E474" s="58"/>
      <c r="F474" s="58"/>
      <c r="G474" s="33"/>
    </row>
    <row r="475" spans="2:7">
      <c r="B475" s="55"/>
      <c r="C475" s="33"/>
      <c r="D475" s="57"/>
      <c r="E475" s="58"/>
      <c r="F475" s="58"/>
      <c r="G475" s="33"/>
    </row>
    <row r="476" spans="2:7">
      <c r="B476" s="55"/>
      <c r="C476" s="33"/>
      <c r="D476" s="57"/>
      <c r="E476" s="58"/>
      <c r="F476" s="58"/>
      <c r="G476" s="33"/>
    </row>
    <row r="477" spans="2:7">
      <c r="B477" s="55"/>
      <c r="C477" s="33"/>
      <c r="D477" s="57"/>
      <c r="E477" s="58"/>
      <c r="F477" s="58"/>
      <c r="G477" s="33"/>
    </row>
    <row r="478" spans="2:7">
      <c r="B478" s="55"/>
      <c r="C478" s="33"/>
      <c r="D478" s="57"/>
      <c r="E478" s="58"/>
      <c r="F478" s="58"/>
      <c r="G478" s="33"/>
    </row>
    <row r="479" spans="2:7" ht="15.75" thickBot="1">
      <c r="B479" s="56"/>
      <c r="C479" s="34"/>
      <c r="D479" s="56"/>
      <c r="E479" s="59"/>
      <c r="F479" s="59"/>
      <c r="G479" s="34"/>
    </row>
    <row r="480" spans="2:7" ht="15.75" thickBot="1">
      <c r="B480" s="56">
        <f>SUM(B466:B479)</f>
        <v>0</v>
      </c>
      <c r="C480" s="34" t="s">
        <v>66</v>
      </c>
      <c r="D480" s="56">
        <f>SUM(D466:D479)</f>
        <v>0</v>
      </c>
      <c r="E480" s="56">
        <f>SUM(E466:E479)</f>
        <v>0</v>
      </c>
      <c r="F480" s="56">
        <f>SUM(F466:F479)</f>
        <v>0</v>
      </c>
      <c r="G480" s="34" t="s">
        <v>66</v>
      </c>
    </row>
    <row r="481" spans="2:7" ht="15.75" thickBot="1"/>
    <row r="482" spans="2:7" ht="14.45" customHeight="1">
      <c r="B482" s="289" t="str">
        <f>'2018'!A44</f>
        <v>NULO</v>
      </c>
      <c r="C482" s="307"/>
      <c r="D482" s="307"/>
      <c r="E482" s="307"/>
      <c r="F482" s="307"/>
      <c r="G482" s="308"/>
    </row>
    <row r="483" spans="2:7" ht="15" customHeight="1" thickBot="1">
      <c r="B483" s="309"/>
      <c r="C483" s="310"/>
      <c r="D483" s="310"/>
      <c r="E483" s="310"/>
      <c r="F483" s="310"/>
      <c r="G483" s="311"/>
    </row>
    <row r="484" spans="2:7">
      <c r="B484" s="297" t="s">
        <v>10</v>
      </c>
      <c r="C484" s="296"/>
      <c r="D484" s="295" t="s">
        <v>11</v>
      </c>
      <c r="E484" s="295"/>
      <c r="F484" s="295"/>
      <c r="G484" s="296"/>
    </row>
    <row r="485" spans="2:7">
      <c r="B485" s="52" t="s">
        <v>32</v>
      </c>
      <c r="C485" s="60" t="s">
        <v>33</v>
      </c>
      <c r="D485" s="52" t="s">
        <v>68</v>
      </c>
      <c r="E485" s="53" t="s">
        <v>69</v>
      </c>
      <c r="F485" s="53" t="s">
        <v>32</v>
      </c>
      <c r="G485" s="60" t="s">
        <v>33</v>
      </c>
    </row>
    <row r="486" spans="2:7">
      <c r="B486" s="54"/>
      <c r="C486" s="36"/>
      <c r="D486" s="57"/>
      <c r="E486" s="58"/>
      <c r="F486" s="58"/>
      <c r="G486" s="33"/>
    </row>
    <row r="487" spans="2:7">
      <c r="B487" s="55"/>
      <c r="C487" s="33"/>
      <c r="D487" s="57"/>
      <c r="E487" s="58"/>
      <c r="F487" s="58"/>
      <c r="G487" s="33"/>
    </row>
    <row r="488" spans="2:7">
      <c r="B488" s="55"/>
      <c r="C488" s="33"/>
      <c r="D488" s="57"/>
      <c r="E488" s="58"/>
      <c r="F488" s="58"/>
      <c r="G488" s="33"/>
    </row>
    <row r="489" spans="2:7">
      <c r="B489" s="55"/>
      <c r="C489" s="33"/>
      <c r="D489" s="57"/>
      <c r="E489" s="58"/>
      <c r="F489" s="58"/>
      <c r="G489" s="33"/>
    </row>
    <row r="490" spans="2:7">
      <c r="B490" s="55"/>
      <c r="C490" s="33"/>
      <c r="D490" s="57"/>
      <c r="E490" s="58"/>
      <c r="F490" s="58"/>
      <c r="G490" s="33"/>
    </row>
    <row r="491" spans="2:7">
      <c r="B491" s="55"/>
      <c r="C491" s="33"/>
      <c r="D491" s="57"/>
      <c r="E491" s="58"/>
      <c r="F491" s="58"/>
      <c r="G491" s="33"/>
    </row>
    <row r="492" spans="2:7">
      <c r="B492" s="55"/>
      <c r="C492" s="33"/>
      <c r="D492" s="57"/>
      <c r="E492" s="58"/>
      <c r="F492" s="58"/>
      <c r="G492" s="33"/>
    </row>
    <row r="493" spans="2:7">
      <c r="B493" s="55"/>
      <c r="C493" s="33"/>
      <c r="D493" s="57"/>
      <c r="E493" s="58"/>
      <c r="F493" s="58"/>
      <c r="G493" s="33"/>
    </row>
    <row r="494" spans="2:7">
      <c r="B494" s="55"/>
      <c r="C494" s="33"/>
      <c r="D494" s="57"/>
      <c r="E494" s="58"/>
      <c r="F494" s="58"/>
      <c r="G494" s="33"/>
    </row>
    <row r="495" spans="2:7">
      <c r="B495" s="55"/>
      <c r="C495" s="33"/>
      <c r="D495" s="57"/>
      <c r="E495" s="58"/>
      <c r="F495" s="58"/>
      <c r="G495" s="33"/>
    </row>
    <row r="496" spans="2:7">
      <c r="B496" s="55"/>
      <c r="C496" s="33"/>
      <c r="D496" s="57"/>
      <c r="E496" s="58"/>
      <c r="F496" s="58"/>
      <c r="G496" s="33"/>
    </row>
    <row r="497" spans="2:7">
      <c r="B497" s="55"/>
      <c r="C497" s="33"/>
      <c r="D497" s="57"/>
      <c r="E497" s="58"/>
      <c r="F497" s="58"/>
      <c r="G497" s="33"/>
    </row>
    <row r="498" spans="2:7">
      <c r="B498" s="55"/>
      <c r="C498" s="33"/>
      <c r="D498" s="57"/>
      <c r="E498" s="58"/>
      <c r="F498" s="58"/>
      <c r="G498" s="33"/>
    </row>
    <row r="499" spans="2:7" ht="15.75" thickBot="1">
      <c r="B499" s="56"/>
      <c r="C499" s="34"/>
      <c r="D499" s="56"/>
      <c r="E499" s="59"/>
      <c r="F499" s="59"/>
      <c r="G499" s="34"/>
    </row>
    <row r="500" spans="2:7" ht="15.75" thickBot="1">
      <c r="B500" s="56">
        <f>SUM(B486:B499)</f>
        <v>0</v>
      </c>
      <c r="C500" s="34" t="s">
        <v>66</v>
      </c>
      <c r="D500" s="56">
        <f>SUM(D486:D499)</f>
        <v>0</v>
      </c>
      <c r="E500" s="56">
        <f>SUM(E486:E499)</f>
        <v>0</v>
      </c>
      <c r="F500" s="56">
        <f>SUM(F486:F499)</f>
        <v>0</v>
      </c>
      <c r="G500" s="34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89" t="str">
        <f>'2018'!A45</f>
        <v>OTROS</v>
      </c>
      <c r="C502" s="307"/>
      <c r="D502" s="307"/>
      <c r="E502" s="307"/>
      <c r="F502" s="307"/>
      <c r="G502" s="308"/>
    </row>
    <row r="503" spans="2:7" ht="15" customHeight="1" thickBot="1">
      <c r="B503" s="309"/>
      <c r="C503" s="310"/>
      <c r="D503" s="310"/>
      <c r="E503" s="310"/>
      <c r="F503" s="310"/>
      <c r="G503" s="311"/>
    </row>
    <row r="504" spans="2:7">
      <c r="B504" s="297" t="s">
        <v>10</v>
      </c>
      <c r="C504" s="296"/>
      <c r="D504" s="295" t="s">
        <v>11</v>
      </c>
      <c r="E504" s="295"/>
      <c r="F504" s="295"/>
      <c r="G504" s="296"/>
    </row>
    <row r="505" spans="2:7">
      <c r="B505" s="52" t="s">
        <v>32</v>
      </c>
      <c r="C505" s="60" t="s">
        <v>33</v>
      </c>
      <c r="D505" s="52" t="s">
        <v>68</v>
      </c>
      <c r="E505" s="53" t="s">
        <v>69</v>
      </c>
      <c r="F505" s="53" t="s">
        <v>32</v>
      </c>
      <c r="G505" s="60" t="s">
        <v>33</v>
      </c>
    </row>
    <row r="506" spans="2:7">
      <c r="B506" s="54">
        <v>10</v>
      </c>
      <c r="C506" s="36"/>
      <c r="D506" s="57"/>
      <c r="E506" s="58"/>
      <c r="F506" s="58"/>
      <c r="G506" s="33"/>
    </row>
    <row r="507" spans="2:7">
      <c r="B507" s="55"/>
      <c r="C507" s="33"/>
      <c r="D507" s="57"/>
      <c r="E507" s="58"/>
      <c r="F507" s="58"/>
      <c r="G507" s="33"/>
    </row>
    <row r="508" spans="2:7">
      <c r="B508" s="55"/>
      <c r="C508" s="33"/>
      <c r="D508" s="57"/>
      <c r="E508" s="58"/>
      <c r="F508" s="58"/>
      <c r="G508" s="33"/>
    </row>
    <row r="509" spans="2:7">
      <c r="B509" s="55"/>
      <c r="C509" s="33"/>
      <c r="D509" s="57"/>
      <c r="E509" s="58"/>
      <c r="F509" s="58"/>
      <c r="G509" s="33"/>
    </row>
    <row r="510" spans="2:7">
      <c r="B510" s="55"/>
      <c r="C510" s="33"/>
      <c r="D510" s="57"/>
      <c r="E510" s="58"/>
      <c r="F510" s="58"/>
      <c r="G510" s="33"/>
    </row>
    <row r="511" spans="2:7">
      <c r="B511" s="55"/>
      <c r="C511" s="33"/>
      <c r="D511" s="57"/>
      <c r="E511" s="58"/>
      <c r="F511" s="58"/>
      <c r="G511" s="33"/>
    </row>
    <row r="512" spans="2:7">
      <c r="B512" s="55"/>
      <c r="C512" s="33"/>
      <c r="D512" s="57"/>
      <c r="E512" s="58"/>
      <c r="F512" s="58"/>
      <c r="G512" s="33"/>
    </row>
    <row r="513" spans="2:7">
      <c r="B513" s="55"/>
      <c r="C513" s="33"/>
      <c r="D513" s="57"/>
      <c r="E513" s="58"/>
      <c r="F513" s="58"/>
      <c r="G513" s="33"/>
    </row>
    <row r="514" spans="2:7">
      <c r="B514" s="55"/>
      <c r="C514" s="33"/>
      <c r="D514" s="57"/>
      <c r="E514" s="58"/>
      <c r="F514" s="58"/>
      <c r="G514" s="33"/>
    </row>
    <row r="515" spans="2:7">
      <c r="B515" s="55"/>
      <c r="C515" s="33"/>
      <c r="D515" s="57"/>
      <c r="E515" s="58"/>
      <c r="F515" s="58"/>
      <c r="G515" s="33"/>
    </row>
    <row r="516" spans="2:7">
      <c r="B516" s="55"/>
      <c r="C516" s="33"/>
      <c r="D516" s="57"/>
      <c r="E516" s="58"/>
      <c r="F516" s="58"/>
      <c r="G516" s="33"/>
    </row>
    <row r="517" spans="2:7">
      <c r="B517" s="55"/>
      <c r="C517" s="33"/>
      <c r="D517" s="57"/>
      <c r="E517" s="58"/>
      <c r="F517" s="58"/>
      <c r="G517" s="33"/>
    </row>
    <row r="518" spans="2:7">
      <c r="B518" s="55"/>
      <c r="C518" s="33"/>
      <c r="D518" s="57"/>
      <c r="E518" s="58"/>
      <c r="F518" s="58"/>
      <c r="G518" s="33"/>
    </row>
    <row r="519" spans="2:7" ht="15.75" thickBot="1">
      <c r="B519" s="56"/>
      <c r="C519" s="34"/>
      <c r="D519" s="56"/>
      <c r="E519" s="59"/>
      <c r="F519" s="59"/>
      <c r="G519" s="34"/>
    </row>
    <row r="520" spans="2:7" ht="15.75" thickBot="1">
      <c r="B520" s="56">
        <f>SUM(B506:B519)</f>
        <v>10</v>
      </c>
      <c r="C520" s="34" t="s">
        <v>66</v>
      </c>
      <c r="D520" s="56">
        <f>SUM(D506:D519)</f>
        <v>0</v>
      </c>
      <c r="E520" s="56">
        <f>SUM(E506:E519)</f>
        <v>0</v>
      </c>
      <c r="F520" s="56">
        <f>SUM(F506:F519)</f>
        <v>0</v>
      </c>
      <c r="G520" s="34" t="s">
        <v>66</v>
      </c>
    </row>
  </sheetData>
  <mergeCells count="111"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3:L13"/>
    <mergeCell ref="K14:L14"/>
    <mergeCell ref="K15:L15"/>
    <mergeCell ref="K16:L16"/>
    <mergeCell ref="K12:L12"/>
  </mergeCells>
  <hyperlinks>
    <hyperlink ref="I2" location="Trimestre!C39:F40" display="TELÉFONO" xr:uid="{00000000-0004-0000-0200-000000000000}"/>
    <hyperlink ref="I2:L3" location="'2018'!G4:J4" display="SALDO REAL" xr:uid="{00000000-0004-0000-0200-000001000000}"/>
    <hyperlink ref="I22" location="Trimestre!C39:F40" display="TELÉFONO" xr:uid="{00000000-0004-0000-0200-000002000000}"/>
    <hyperlink ref="I22:L23" location="'2018'!G7:J7" display="INGRESOS" xr:uid="{00000000-0004-0000-0200-000003000000}"/>
    <hyperlink ref="B2" location="Trimestre!C25:F26" display="HIPOTECA" xr:uid="{00000000-0004-0000-0200-000004000000}"/>
    <hyperlink ref="B2:G3" location="'2018'!G20:J20" display="'2018'!G20:J20" xr:uid="{00000000-0004-0000-0200-000005000000}"/>
    <hyperlink ref="B22" location="Trimestre!C25:F26" display="HIPOTECA" xr:uid="{00000000-0004-0000-0200-000006000000}"/>
    <hyperlink ref="B22:G23" location="'2018'!G21:J21" display="'2018'!G21:J21" xr:uid="{00000000-0004-0000-0200-000007000000}"/>
    <hyperlink ref="B42" location="Trimestre!C25:F26" display="HIPOTECA" xr:uid="{00000000-0004-0000-0200-000008000000}"/>
    <hyperlink ref="B42:G43" location="'2018'!G22:J22" display="'2018'!G22:J22" xr:uid="{00000000-0004-0000-0200-000009000000}"/>
    <hyperlink ref="B62" location="Trimestre!C25:F26" display="HIPOTECA" xr:uid="{00000000-0004-0000-0200-00000A000000}"/>
    <hyperlink ref="B62:G63" location="'2018'!G23:J23" display="'2018'!G23:J23" xr:uid="{00000000-0004-0000-0200-00000B000000}"/>
    <hyperlink ref="B82" location="Trimestre!C25:F26" display="HIPOTECA" xr:uid="{00000000-0004-0000-0200-00000C000000}"/>
    <hyperlink ref="B82:G83" location="'2018'!G24:J24" display="'2018'!G24:J24" xr:uid="{00000000-0004-0000-0200-00000D000000}"/>
    <hyperlink ref="B102" location="Trimestre!C25:F26" display="HIPOTECA" xr:uid="{00000000-0004-0000-0200-00000E000000}"/>
    <hyperlink ref="B102:G103" location="'2018'!G25:J25" display="'2018'!G25:J25" xr:uid="{00000000-0004-0000-0200-00000F000000}"/>
    <hyperlink ref="B122" location="Trimestre!C25:F26" display="HIPOTECA" xr:uid="{00000000-0004-0000-0200-000010000000}"/>
    <hyperlink ref="B122:G123" location="'2018'!G26:J26" display="'2018'!G26:J26" xr:uid="{00000000-0004-0000-0200-000011000000}"/>
    <hyperlink ref="B142" location="Trimestre!C25:F26" display="HIPOTECA" xr:uid="{00000000-0004-0000-0200-000012000000}"/>
    <hyperlink ref="B142:G143" location="'2018'!G27:J27" display="'2018'!G27:J27" xr:uid="{00000000-0004-0000-0200-000013000000}"/>
    <hyperlink ref="B162" location="Trimestre!C25:F26" display="HIPOTECA" xr:uid="{00000000-0004-0000-0200-000014000000}"/>
    <hyperlink ref="B162:G163" location="'2018'!G28:J28" display="'2018'!G28:J28" xr:uid="{00000000-0004-0000-0200-000015000000}"/>
    <hyperlink ref="B182" location="Trimestre!C25:F26" display="HIPOTECA" xr:uid="{00000000-0004-0000-0200-000016000000}"/>
    <hyperlink ref="B182:G183" location="'2018'!G29:J29" display="'2018'!G29:J29" xr:uid="{00000000-0004-0000-0200-000017000000}"/>
    <hyperlink ref="B202" location="Trimestre!C25:F26" display="HIPOTECA" xr:uid="{00000000-0004-0000-0200-000018000000}"/>
    <hyperlink ref="B202:G203" location="'2018'!G30:J30" display="'2018'!G30:J30" xr:uid="{00000000-0004-0000-0200-000019000000}"/>
    <hyperlink ref="B222" location="Trimestre!C25:F26" display="HIPOTECA" xr:uid="{00000000-0004-0000-0200-00001A000000}"/>
    <hyperlink ref="B222:G223" location="'2018'!G31:J31" display="'2018'!G31:J31" xr:uid="{00000000-0004-0000-0200-00001B000000}"/>
    <hyperlink ref="B242" location="Trimestre!C25:F26" display="HIPOTECA" xr:uid="{00000000-0004-0000-0200-00001C000000}"/>
    <hyperlink ref="B242:G243" location="'2018'!G32:J32" display="'2018'!G32:J32" xr:uid="{00000000-0004-0000-0200-00001D000000}"/>
    <hyperlink ref="B262" location="Trimestre!C25:F26" display="HIPOTECA" xr:uid="{00000000-0004-0000-0200-00001E000000}"/>
    <hyperlink ref="B262:G263" location="'2018'!G33:J33" display="'2018'!G33:J33" xr:uid="{00000000-0004-0000-0200-00001F000000}"/>
    <hyperlink ref="B282" location="Trimestre!C25:F26" display="HIPOTECA" xr:uid="{00000000-0004-0000-0200-000020000000}"/>
    <hyperlink ref="B282:G283" location="'2018'!G34:J34" display="'2018'!G34:J34" xr:uid="{00000000-0004-0000-0200-000021000000}"/>
    <hyperlink ref="B302" location="Trimestre!C25:F26" display="HIPOTECA" xr:uid="{00000000-0004-0000-0200-000022000000}"/>
    <hyperlink ref="B302:G303" location="'2018'!G35:J35" display="'2018'!G35:J35" xr:uid="{00000000-0004-0000-0200-000023000000}"/>
    <hyperlink ref="B322" location="Trimestre!C25:F26" display="HIPOTECA" xr:uid="{00000000-0004-0000-0200-000024000000}"/>
    <hyperlink ref="B322:G323" location="'2018'!G36:J36" display="'2018'!G36:J36" xr:uid="{00000000-0004-0000-0200-000025000000}"/>
    <hyperlink ref="B342" location="Trimestre!C25:F26" display="HIPOTECA" xr:uid="{00000000-0004-0000-0200-000026000000}"/>
    <hyperlink ref="B342:G343" location="'2018'!G37:J37" display="'2018'!G37:J37" xr:uid="{00000000-0004-0000-0200-000027000000}"/>
    <hyperlink ref="B362" location="Trimestre!C25:F26" display="HIPOTECA" xr:uid="{00000000-0004-0000-0200-000028000000}"/>
    <hyperlink ref="B362:G363" location="'2018'!G38:J38" display="'2018'!G38:J38" xr:uid="{00000000-0004-0000-0200-000029000000}"/>
    <hyperlink ref="B382" location="Trimestre!C25:F26" display="HIPOTECA" xr:uid="{00000000-0004-0000-0200-00002A000000}"/>
    <hyperlink ref="B382:G383" location="'2018'!G39:J39" display="'2018'!G39:J39" xr:uid="{00000000-0004-0000-0200-00002B000000}"/>
    <hyperlink ref="B402" location="Trimestre!C25:F26" display="HIPOTECA" xr:uid="{00000000-0004-0000-0200-00002C000000}"/>
    <hyperlink ref="B402:G403" location="'2018'!G40:J40" display="'2018'!G40:J40" xr:uid="{00000000-0004-0000-0200-00002D000000}"/>
    <hyperlink ref="B422" location="Trimestre!C25:F26" display="HIPOTECA" xr:uid="{00000000-0004-0000-0200-00002E000000}"/>
    <hyperlink ref="B422:G423" location="'2018'!G41:J41" display="'2018'!G41:J41" xr:uid="{00000000-0004-0000-0200-00002F000000}"/>
    <hyperlink ref="B442" location="Trimestre!C25:F26" display="HIPOTECA" xr:uid="{00000000-0004-0000-0200-000030000000}"/>
    <hyperlink ref="B442:G443" location="'2018'!G42:J42" display="'2018'!G42:J42" xr:uid="{00000000-0004-0000-0200-000031000000}"/>
    <hyperlink ref="B462" location="Trimestre!C25:F26" display="HIPOTECA" xr:uid="{00000000-0004-0000-0200-000032000000}"/>
    <hyperlink ref="B462:G463" location="'2018'!G43:J43" display="'2018'!G43:J43" xr:uid="{00000000-0004-0000-0200-000033000000}"/>
    <hyperlink ref="B482" location="Trimestre!C25:F26" display="HIPOTECA" xr:uid="{00000000-0004-0000-0200-000034000000}"/>
    <hyperlink ref="B482:G483" location="'2018'!G44:J44" display="'2018'!G44:J44" xr:uid="{00000000-0004-0000-0200-000035000000}"/>
    <hyperlink ref="B502" location="Trimestre!C25:F26" display="HIPOTECA" xr:uid="{00000000-0004-0000-0200-000036000000}"/>
    <hyperlink ref="B502:G503" location="'2018'!G45:J45" display="'2018'!G45:J45" xr:uid="{00000000-0004-0000-0200-000037000000}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520"/>
  <sheetViews>
    <sheetView workbookViewId="0">
      <selection activeCell="G16" sqref="G16"/>
    </sheetView>
  </sheetViews>
  <sheetFormatPr defaultColWidth="11.42578125" defaultRowHeight="15"/>
  <cols>
    <col min="1" max="1" width="11.42578125" style="137"/>
    <col min="2" max="2" width="10" style="137" customWidth="1"/>
    <col min="3" max="3" width="33.28515625" style="137" customWidth="1"/>
    <col min="4" max="6" width="10" style="137" customWidth="1"/>
    <col min="7" max="7" width="33.28515625" style="137" customWidth="1"/>
    <col min="8" max="9" width="11.42578125" style="137"/>
    <col min="10" max="10" width="31.28515625" style="137" customWidth="1"/>
    <col min="11" max="16384" width="11.42578125" style="137"/>
  </cols>
  <sheetData>
    <row r="1" spans="1:22" ht="16.5" thickBot="1">
      <c r="A1" s="1"/>
      <c r="B1" s="1"/>
      <c r="C1" s="1"/>
      <c r="D1" s="1"/>
      <c r="E1" s="1"/>
      <c r="F1" s="1"/>
      <c r="G1" s="1"/>
      <c r="H1" s="30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89" t="str">
        <f>'2018'!A20</f>
        <v>Cártama Gastos</v>
      </c>
      <c r="C2" s="290"/>
      <c r="D2" s="290"/>
      <c r="E2" s="290"/>
      <c r="F2" s="290"/>
      <c r="G2" s="291"/>
      <c r="H2" s="1"/>
      <c r="I2" s="302" t="s">
        <v>4</v>
      </c>
      <c r="J2" s="290"/>
      <c r="K2" s="290"/>
      <c r="L2" s="291"/>
      <c r="M2" s="1"/>
      <c r="N2" s="1"/>
      <c r="R2" s="3"/>
    </row>
    <row r="3" spans="1:22" ht="16.5" thickBot="1">
      <c r="A3" s="1"/>
      <c r="B3" s="292"/>
      <c r="C3" s="293"/>
      <c r="D3" s="293"/>
      <c r="E3" s="293"/>
      <c r="F3" s="293"/>
      <c r="G3" s="294"/>
      <c r="H3" s="1"/>
      <c r="I3" s="292"/>
      <c r="J3" s="293"/>
      <c r="K3" s="293"/>
      <c r="L3" s="294"/>
      <c r="M3" s="1"/>
      <c r="N3" s="1"/>
      <c r="R3" s="3"/>
    </row>
    <row r="4" spans="1:22" ht="15.75">
      <c r="A4" s="1"/>
      <c r="B4" s="297" t="s">
        <v>10</v>
      </c>
      <c r="C4" s="296"/>
      <c r="D4" s="295" t="s">
        <v>11</v>
      </c>
      <c r="E4" s="295"/>
      <c r="F4" s="295"/>
      <c r="G4" s="296"/>
      <c r="H4" s="1"/>
      <c r="I4" s="31" t="s">
        <v>70</v>
      </c>
      <c r="J4" s="32" t="s">
        <v>71</v>
      </c>
      <c r="K4" s="303" t="s">
        <v>72</v>
      </c>
      <c r="L4" s="304"/>
      <c r="M4" s="1"/>
      <c r="N4" s="1"/>
      <c r="R4" s="3"/>
    </row>
    <row r="5" spans="1:22" ht="15.75">
      <c r="A5" s="1" t="s">
        <v>608</v>
      </c>
      <c r="B5" s="52" t="s">
        <v>32</v>
      </c>
      <c r="C5" s="60" t="s">
        <v>33</v>
      </c>
      <c r="D5" s="52" t="s">
        <v>68</v>
      </c>
      <c r="E5" s="53" t="s">
        <v>69</v>
      </c>
      <c r="F5" s="53" t="s">
        <v>32</v>
      </c>
      <c r="G5" s="60" t="s">
        <v>33</v>
      </c>
      <c r="H5" s="1"/>
      <c r="I5" s="61" t="s">
        <v>73</v>
      </c>
      <c r="J5" s="3" t="s">
        <v>74</v>
      </c>
      <c r="K5" s="305">
        <v>1852.76</v>
      </c>
      <c r="L5" s="306"/>
      <c r="M5" s="82"/>
      <c r="N5" s="1"/>
      <c r="R5" s="3"/>
    </row>
    <row r="6" spans="1:22" ht="15.75">
      <c r="A6" s="163">
        <f>'02'!A6+B6-E6</f>
        <v>1.8600000000000136</v>
      </c>
      <c r="B6" s="54">
        <v>401</v>
      </c>
      <c r="C6" s="36" t="s">
        <v>34</v>
      </c>
      <c r="D6" s="57"/>
      <c r="E6" s="58">
        <v>400.38</v>
      </c>
      <c r="F6" s="58"/>
      <c r="G6" s="33" t="s">
        <v>35</v>
      </c>
      <c r="H6" s="1"/>
      <c r="I6" s="62" t="s">
        <v>73</v>
      </c>
      <c r="J6" s="35" t="s">
        <v>75</v>
      </c>
      <c r="K6" s="298">
        <v>335.99</v>
      </c>
      <c r="L6" s="299"/>
      <c r="M6" s="1" t="s">
        <v>266</v>
      </c>
      <c r="N6" s="1"/>
      <c r="R6" s="3"/>
    </row>
    <row r="7" spans="1:22" ht="15.75">
      <c r="A7" s="163">
        <f>'02'!A7+B7-E7</f>
        <v>-491.84000000000003</v>
      </c>
      <c r="B7" s="55">
        <v>56</v>
      </c>
      <c r="C7" s="33" t="s">
        <v>100</v>
      </c>
      <c r="D7" s="57"/>
      <c r="E7" s="58">
        <f>310.53+141.02+247.94</f>
        <v>699.49</v>
      </c>
      <c r="F7" s="58"/>
      <c r="G7" s="33" t="s">
        <v>106</v>
      </c>
      <c r="H7" s="82">
        <f>B7*12</f>
        <v>672</v>
      </c>
      <c r="I7" s="62" t="s">
        <v>76</v>
      </c>
      <c r="J7" s="35" t="s">
        <v>77</v>
      </c>
      <c r="K7" s="298">
        <v>7882.01</v>
      </c>
      <c r="L7" s="299"/>
      <c r="M7" s="1"/>
      <c r="N7" s="1"/>
      <c r="R7" s="3"/>
    </row>
    <row r="8" spans="1:22" ht="15.75">
      <c r="A8" s="163">
        <f>'02'!A8+B8-E8</f>
        <v>-119.41</v>
      </c>
      <c r="B8" s="55">
        <v>0</v>
      </c>
      <c r="C8" s="33" t="s">
        <v>38</v>
      </c>
      <c r="D8" s="57"/>
      <c r="F8" s="58"/>
      <c r="G8" s="33" t="s">
        <v>38</v>
      </c>
      <c r="H8" s="1"/>
      <c r="I8" s="62" t="s">
        <v>76</v>
      </c>
      <c r="J8" s="35" t="s">
        <v>78</v>
      </c>
      <c r="K8" s="298">
        <v>3390.56</v>
      </c>
      <c r="L8" s="299"/>
      <c r="M8" s="1"/>
      <c r="N8" s="1"/>
      <c r="R8" s="3"/>
    </row>
    <row r="9" spans="1:22" ht="15.75">
      <c r="A9" s="163">
        <f>'02'!A9+B9-E9</f>
        <v>0</v>
      </c>
      <c r="B9" s="55">
        <v>20.100000000000001</v>
      </c>
      <c r="C9" s="33" t="s">
        <v>40</v>
      </c>
      <c r="D9" s="57"/>
      <c r="E9" s="58">
        <v>20.100000000000001</v>
      </c>
      <c r="F9" s="58"/>
      <c r="G9" s="33" t="s">
        <v>40</v>
      </c>
      <c r="H9" s="1"/>
      <c r="I9" s="62" t="s">
        <v>76</v>
      </c>
      <c r="J9" s="35" t="s">
        <v>267</v>
      </c>
      <c r="K9" s="298">
        <v>621.13</v>
      </c>
      <c r="L9" s="299"/>
      <c r="M9" s="1"/>
      <c r="N9" s="1"/>
      <c r="R9" s="3"/>
    </row>
    <row r="10" spans="1:22" ht="15.75">
      <c r="A10" s="163">
        <f>'02'!A10+B10-E10</f>
        <v>3</v>
      </c>
      <c r="B10" s="55">
        <v>12</v>
      </c>
      <c r="C10" s="33" t="s">
        <v>39</v>
      </c>
      <c r="D10" s="57"/>
      <c r="E10" s="58">
        <v>12</v>
      </c>
      <c r="F10" s="58"/>
      <c r="G10" s="33" t="s">
        <v>39</v>
      </c>
      <c r="H10" s="1"/>
      <c r="I10" s="62" t="s">
        <v>76</v>
      </c>
      <c r="J10" s="35" t="s">
        <v>115</v>
      </c>
      <c r="K10" s="298">
        <v>1800.04</v>
      </c>
      <c r="L10" s="299"/>
      <c r="M10" s="1" t="s">
        <v>265</v>
      </c>
      <c r="N10" s="1"/>
      <c r="R10" s="3"/>
    </row>
    <row r="11" spans="1:22" ht="15.75">
      <c r="A11" s="163">
        <f>'02'!A11+B11-E11</f>
        <v>2.2800000000000047</v>
      </c>
      <c r="B11" s="55">
        <v>31</v>
      </c>
      <c r="C11" s="33" t="s">
        <v>37</v>
      </c>
      <c r="D11" s="57"/>
      <c r="E11" s="58">
        <v>30.24</v>
      </c>
      <c r="F11" s="58"/>
      <c r="G11" s="33" t="s">
        <v>37</v>
      </c>
      <c r="H11" s="1"/>
      <c r="I11" s="62" t="s">
        <v>93</v>
      </c>
      <c r="J11" s="35" t="s">
        <v>94</v>
      </c>
      <c r="K11" s="298">
        <f>30+40+170</f>
        <v>240</v>
      </c>
      <c r="L11" s="299"/>
      <c r="M11" s="1"/>
      <c r="N11" s="1"/>
      <c r="R11" s="3"/>
    </row>
    <row r="12" spans="1:22" ht="15.75">
      <c r="A12" s="163">
        <f>'02'!A12+B12-E12</f>
        <v>309.14</v>
      </c>
      <c r="B12" s="55">
        <v>120</v>
      </c>
      <c r="C12" s="33" t="s">
        <v>195</v>
      </c>
      <c r="D12" s="57"/>
      <c r="E12" s="58">
        <v>43.62</v>
      </c>
      <c r="F12" s="58"/>
      <c r="G12" s="33" t="s">
        <v>224</v>
      </c>
      <c r="H12" s="1"/>
      <c r="I12" s="62" t="s">
        <v>303</v>
      </c>
      <c r="J12" s="35" t="s">
        <v>304</v>
      </c>
      <c r="K12" s="298">
        <v>5092.08</v>
      </c>
      <c r="L12" s="299"/>
      <c r="M12" s="140" t="s">
        <v>307</v>
      </c>
      <c r="N12" s="1"/>
      <c r="R12" s="3"/>
    </row>
    <row r="13" spans="1:22" ht="15.75">
      <c r="A13" s="163">
        <f>'02'!A13+B13-E13</f>
        <v>100.02</v>
      </c>
      <c r="B13" s="55">
        <v>55</v>
      </c>
      <c r="C13" s="33" t="s">
        <v>196</v>
      </c>
      <c r="D13" s="57"/>
      <c r="E13" s="58">
        <v>14.98</v>
      </c>
      <c r="F13" s="58"/>
      <c r="G13" s="33" t="s">
        <v>315</v>
      </c>
      <c r="H13" s="1"/>
      <c r="I13" s="62"/>
      <c r="J13" s="35"/>
      <c r="K13" s="298"/>
      <c r="L13" s="299"/>
      <c r="M13" s="1"/>
      <c r="N13" s="1"/>
      <c r="R13" s="3"/>
    </row>
    <row r="14" spans="1:22" ht="15.75">
      <c r="A14" s="163">
        <f>'02'!A14+B14-E14</f>
        <v>75</v>
      </c>
      <c r="B14" s="55">
        <v>25</v>
      </c>
      <c r="C14" s="33" t="s">
        <v>206</v>
      </c>
      <c r="D14" s="57"/>
      <c r="E14" s="58"/>
      <c r="F14" s="58"/>
      <c r="G14" s="33"/>
      <c r="H14" s="1"/>
      <c r="I14" s="62"/>
      <c r="J14" s="35"/>
      <c r="K14" s="298"/>
      <c r="L14" s="299"/>
      <c r="M14" s="1"/>
      <c r="N14" s="1"/>
      <c r="R14" s="3"/>
    </row>
    <row r="15" spans="1:22" ht="15.75">
      <c r="A15" s="163">
        <f>'02'!A15+B15-E15</f>
        <v>0</v>
      </c>
      <c r="B15" s="55"/>
      <c r="C15" s="33"/>
      <c r="D15" s="57"/>
      <c r="E15" s="58"/>
      <c r="F15" s="58"/>
      <c r="G15" s="33"/>
      <c r="H15" s="1"/>
      <c r="I15" s="62"/>
      <c r="J15" s="35"/>
      <c r="K15" s="298"/>
      <c r="L15" s="299"/>
      <c r="M15" s="1"/>
      <c r="N15" s="1"/>
      <c r="R15" s="3"/>
    </row>
    <row r="16" spans="1:22" ht="15.75">
      <c r="A16" s="163">
        <f>'02'!A16+B16-E16</f>
        <v>0</v>
      </c>
      <c r="B16" s="55"/>
      <c r="C16" s="33"/>
      <c r="D16" s="57"/>
      <c r="E16" s="58"/>
      <c r="F16" s="58"/>
      <c r="G16" s="33"/>
      <c r="H16" s="1"/>
      <c r="I16" s="62"/>
      <c r="J16" s="35"/>
      <c r="K16" s="298"/>
      <c r="L16" s="299"/>
      <c r="M16" s="1"/>
      <c r="N16" s="1"/>
      <c r="R16" s="3"/>
    </row>
    <row r="17" spans="1:18" ht="15.75">
      <c r="A17" s="1"/>
      <c r="B17" s="55"/>
      <c r="C17" s="33"/>
      <c r="D17" s="57"/>
      <c r="E17" s="58"/>
      <c r="F17" s="58"/>
      <c r="G17" s="33"/>
      <c r="H17" s="1"/>
      <c r="I17" s="62"/>
      <c r="J17" s="35"/>
      <c r="K17" s="298"/>
      <c r="L17" s="299"/>
      <c r="M17" s="1"/>
      <c r="N17" s="1"/>
      <c r="R17" s="3"/>
    </row>
    <row r="18" spans="1:18" ht="16.5" thickBot="1">
      <c r="A18" s="1"/>
      <c r="B18" s="55"/>
      <c r="C18" s="33"/>
      <c r="D18" s="57"/>
      <c r="E18" s="58"/>
      <c r="F18" s="58"/>
      <c r="G18" s="33"/>
      <c r="H18" s="1"/>
      <c r="I18" s="63"/>
      <c r="J18" s="37"/>
      <c r="K18" s="300"/>
      <c r="L18" s="301"/>
      <c r="M18" s="1"/>
      <c r="N18" s="1"/>
      <c r="R18" s="3"/>
    </row>
    <row r="19" spans="1:18" ht="16.5" thickBot="1">
      <c r="A19" s="1"/>
      <c r="B19" s="56"/>
      <c r="C19" s="34"/>
      <c r="D19" s="56"/>
      <c r="E19" s="59"/>
      <c r="F19" s="59"/>
      <c r="G19" s="34"/>
      <c r="H19" s="1"/>
      <c r="I19" s="63" t="s">
        <v>83</v>
      </c>
      <c r="J19" s="37"/>
      <c r="K19" s="300">
        <f>SUM(K5:K18)</f>
        <v>21214.57</v>
      </c>
      <c r="L19" s="301"/>
      <c r="M19" s="1"/>
      <c r="N19" s="1"/>
      <c r="R19" s="3"/>
    </row>
    <row r="20" spans="1:18" ht="16.5" thickBot="1">
      <c r="A20" s="163">
        <f>SUM(A6:A15)</f>
        <v>-119.95000000000005</v>
      </c>
      <c r="B20" s="56">
        <f>SUM(B6:B19)</f>
        <v>720.1</v>
      </c>
      <c r="C20" s="34" t="s">
        <v>66</v>
      </c>
      <c r="D20" s="56">
        <f>SUM(D6:D19)</f>
        <v>0</v>
      </c>
      <c r="E20" s="56">
        <f>SUM(E6:E19)</f>
        <v>1220.8099999999997</v>
      </c>
      <c r="F20" s="56">
        <f>SUM(F6:F19)</f>
        <v>0</v>
      </c>
      <c r="G20" s="34" t="s">
        <v>66</v>
      </c>
      <c r="H20" s="1"/>
      <c r="I20" s="137" t="s">
        <v>116</v>
      </c>
      <c r="L20" s="140">
        <f>K19-K10-K12</f>
        <v>14322.449999999999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89" t="str">
        <f>'2018'!A21</f>
        <v>Waterloo</v>
      </c>
      <c r="C22" s="290"/>
      <c r="D22" s="290"/>
      <c r="E22" s="290"/>
      <c r="F22" s="290"/>
      <c r="G22" s="291"/>
      <c r="H22" s="1"/>
      <c r="I22" s="302" t="s">
        <v>6</v>
      </c>
      <c r="J22" s="290"/>
      <c r="K22" s="290"/>
      <c r="L22" s="291"/>
      <c r="M22" s="1"/>
      <c r="R22" s="3"/>
    </row>
    <row r="23" spans="1:18" ht="16.149999999999999" customHeight="1" thickBot="1">
      <c r="A23" s="1"/>
      <c r="B23" s="292"/>
      <c r="C23" s="293"/>
      <c r="D23" s="293"/>
      <c r="E23" s="293"/>
      <c r="F23" s="293"/>
      <c r="G23" s="294"/>
      <c r="H23" s="1"/>
      <c r="I23" s="292"/>
      <c r="J23" s="293"/>
      <c r="K23" s="293"/>
      <c r="L23" s="294"/>
      <c r="M23" s="1"/>
      <c r="R23" s="3"/>
    </row>
    <row r="24" spans="1:18" ht="15.75">
      <c r="A24" s="1"/>
      <c r="B24" s="297" t="s">
        <v>10</v>
      </c>
      <c r="C24" s="296"/>
      <c r="D24" s="295" t="s">
        <v>11</v>
      </c>
      <c r="E24" s="295"/>
      <c r="F24" s="295"/>
      <c r="G24" s="296"/>
      <c r="H24" s="1"/>
      <c r="I24" s="88" t="s">
        <v>33</v>
      </c>
      <c r="J24" s="32" t="s">
        <v>133</v>
      </c>
      <c r="K24" s="303" t="s">
        <v>134</v>
      </c>
      <c r="L24" s="304"/>
      <c r="M24" s="1"/>
      <c r="R24" s="3"/>
    </row>
    <row r="25" spans="1:18" ht="15.75">
      <c r="A25" s="1"/>
      <c r="B25" s="52" t="s">
        <v>32</v>
      </c>
      <c r="C25" s="60" t="s">
        <v>33</v>
      </c>
      <c r="D25" s="52" t="s">
        <v>68</v>
      </c>
      <c r="E25" s="53" t="s">
        <v>69</v>
      </c>
      <c r="F25" s="53" t="s">
        <v>32</v>
      </c>
      <c r="G25" s="60" t="s">
        <v>33</v>
      </c>
      <c r="H25" s="1"/>
      <c r="I25" s="151">
        <v>2</v>
      </c>
      <c r="J25" s="35" t="s">
        <v>276</v>
      </c>
      <c r="K25" s="305">
        <v>259.36</v>
      </c>
      <c r="L25" s="306"/>
      <c r="M25" s="1"/>
      <c r="R25" s="3"/>
    </row>
    <row r="26" spans="1:18" ht="15.75">
      <c r="A26" s="1"/>
      <c r="B26" s="54">
        <v>900</v>
      </c>
      <c r="C26" s="66" t="s">
        <v>42</v>
      </c>
      <c r="D26" s="57">
        <v>900</v>
      </c>
      <c r="E26" s="58"/>
      <c r="F26" s="58"/>
      <c r="G26" s="33" t="s">
        <v>42</v>
      </c>
      <c r="H26" s="1"/>
      <c r="I26" s="151">
        <v>2</v>
      </c>
      <c r="J26" s="35" t="s">
        <v>324</v>
      </c>
      <c r="K26" s="298">
        <v>176.46</v>
      </c>
      <c r="L26" s="299"/>
      <c r="M26" s="1"/>
      <c r="R26" s="3"/>
    </row>
    <row r="27" spans="1:18" ht="15.75">
      <c r="A27" s="1"/>
      <c r="B27" s="55">
        <v>200</v>
      </c>
      <c r="C27" s="66" t="s">
        <v>44</v>
      </c>
      <c r="D27" s="57"/>
      <c r="E27" s="58"/>
      <c r="F27" s="58"/>
      <c r="G27" s="33" t="s">
        <v>44</v>
      </c>
      <c r="H27" s="1"/>
      <c r="I27" s="151"/>
      <c r="J27" s="35"/>
      <c r="K27" s="298"/>
      <c r="L27" s="299"/>
      <c r="M27" s="1"/>
      <c r="R27" s="3"/>
    </row>
    <row r="28" spans="1:18" ht="15.75">
      <c r="A28" s="1"/>
      <c r="B28" s="55">
        <v>40</v>
      </c>
      <c r="C28" s="66" t="s">
        <v>45</v>
      </c>
      <c r="D28" s="57"/>
      <c r="E28" s="58"/>
      <c r="F28" s="58"/>
      <c r="G28" s="33" t="s">
        <v>45</v>
      </c>
      <c r="H28" s="1"/>
      <c r="I28" s="151"/>
      <c r="J28" s="35"/>
      <c r="K28" s="298"/>
      <c r="L28" s="299"/>
      <c r="M28" s="1"/>
      <c r="R28" s="3"/>
    </row>
    <row r="29" spans="1:18" ht="15.75">
      <c r="A29" s="1"/>
      <c r="B29" s="55">
        <v>18</v>
      </c>
      <c r="C29" s="66" t="s">
        <v>41</v>
      </c>
      <c r="D29" s="57">
        <v>17.46</v>
      </c>
      <c r="E29" s="58"/>
      <c r="F29" s="58"/>
      <c r="G29" s="33" t="s">
        <v>41</v>
      </c>
      <c r="H29" s="1"/>
      <c r="I29" s="151"/>
      <c r="J29" s="35"/>
      <c r="K29" s="298"/>
      <c r="L29" s="299"/>
      <c r="M29" s="1"/>
      <c r="R29" s="3"/>
    </row>
    <row r="30" spans="1:18" ht="15.75">
      <c r="A30" s="1"/>
      <c r="B30" s="55"/>
      <c r="C30" s="66"/>
      <c r="D30" s="57"/>
      <c r="E30" s="58"/>
      <c r="F30" s="58"/>
      <c r="G30" s="33"/>
      <c r="H30" s="1"/>
      <c r="I30" s="151"/>
      <c r="J30" s="35"/>
      <c r="K30" s="298"/>
      <c r="L30" s="299"/>
      <c r="M30" s="1"/>
      <c r="R30" s="3"/>
    </row>
    <row r="31" spans="1:18" ht="15.75">
      <c r="A31" s="1"/>
      <c r="B31" s="55"/>
      <c r="C31" s="33"/>
      <c r="D31" s="57"/>
      <c r="E31" s="58"/>
      <c r="F31" s="58"/>
      <c r="G31" s="33"/>
      <c r="H31" s="1"/>
      <c r="I31" s="151"/>
      <c r="J31" s="35"/>
      <c r="K31" s="298"/>
      <c r="L31" s="299"/>
      <c r="M31" s="1"/>
      <c r="R31" s="3"/>
    </row>
    <row r="32" spans="1:18" ht="15.75">
      <c r="A32" s="1"/>
      <c r="B32" s="55"/>
      <c r="C32" s="33"/>
      <c r="D32" s="57"/>
      <c r="E32" s="58"/>
      <c r="F32" s="58"/>
      <c r="G32" s="33"/>
      <c r="H32" s="1"/>
      <c r="I32" s="151"/>
      <c r="J32" s="35"/>
      <c r="K32" s="298"/>
      <c r="L32" s="299"/>
      <c r="M32" s="1"/>
      <c r="R32" s="3"/>
    </row>
    <row r="33" spans="1:18" ht="15.75">
      <c r="A33" s="1"/>
      <c r="B33" s="55"/>
      <c r="C33" s="33"/>
      <c r="D33" s="57"/>
      <c r="E33" s="58"/>
      <c r="F33" s="58"/>
      <c r="G33" s="33"/>
      <c r="H33" s="1"/>
      <c r="I33" s="151"/>
      <c r="J33" s="35"/>
      <c r="K33" s="298"/>
      <c r="L33" s="299"/>
      <c r="M33" s="1"/>
      <c r="R33" s="3"/>
    </row>
    <row r="34" spans="1:18" ht="15.75">
      <c r="A34" s="1"/>
      <c r="B34" s="55"/>
      <c r="C34" s="33"/>
      <c r="D34" s="57"/>
      <c r="E34" s="58"/>
      <c r="F34" s="58"/>
      <c r="G34" s="33"/>
      <c r="H34" s="1"/>
      <c r="I34" s="151"/>
      <c r="J34" s="35"/>
      <c r="K34" s="298"/>
      <c r="L34" s="299"/>
      <c r="M34" s="1"/>
      <c r="R34" s="3"/>
    </row>
    <row r="35" spans="1:18" ht="15.75">
      <c r="A35" s="1"/>
      <c r="B35" s="55"/>
      <c r="C35" s="33"/>
      <c r="D35" s="57"/>
      <c r="E35" s="58"/>
      <c r="F35" s="58"/>
      <c r="G35" s="33"/>
      <c r="H35" s="1"/>
      <c r="I35" s="151"/>
      <c r="J35" s="35"/>
      <c r="K35" s="298"/>
      <c r="L35" s="299"/>
      <c r="M35" s="1"/>
      <c r="R35" s="3"/>
    </row>
    <row r="36" spans="1:18" ht="15.75">
      <c r="A36" s="1"/>
      <c r="B36" s="55"/>
      <c r="C36" s="33"/>
      <c r="D36" s="57"/>
      <c r="E36" s="58"/>
      <c r="F36" s="58"/>
      <c r="G36" s="33"/>
      <c r="H36" s="1"/>
      <c r="I36" s="151"/>
      <c r="J36" s="35"/>
      <c r="K36" s="298"/>
      <c r="L36" s="299"/>
      <c r="M36" s="1"/>
      <c r="R36" s="3"/>
    </row>
    <row r="37" spans="1:18" ht="15.75">
      <c r="A37" s="1"/>
      <c r="B37" s="55"/>
      <c r="C37" s="33"/>
      <c r="D37" s="57"/>
      <c r="E37" s="58"/>
      <c r="F37" s="58"/>
      <c r="G37" s="33"/>
      <c r="H37" s="1"/>
      <c r="I37" s="151"/>
      <c r="J37" s="35"/>
      <c r="K37" s="298"/>
      <c r="L37" s="299"/>
      <c r="M37" s="1"/>
      <c r="R37" s="3"/>
    </row>
    <row r="38" spans="1:18" ht="16.5" thickBot="1">
      <c r="A38" s="1"/>
      <c r="B38" s="55"/>
      <c r="C38" s="33"/>
      <c r="D38" s="57"/>
      <c r="E38" s="58"/>
      <c r="F38" s="58"/>
      <c r="G38" s="33"/>
      <c r="H38" s="1"/>
      <c r="I38" s="152"/>
      <c r="J38" s="37"/>
      <c r="K38" s="300"/>
      <c r="L38" s="301"/>
      <c r="M38" s="1"/>
      <c r="R38" s="3"/>
    </row>
    <row r="39" spans="1:18" ht="16.5" thickBot="1">
      <c r="A39" s="1"/>
      <c r="B39" s="56"/>
      <c r="C39" s="34"/>
      <c r="D39" s="56"/>
      <c r="E39" s="59"/>
      <c r="F39" s="59"/>
      <c r="G39" s="34"/>
      <c r="H39" s="1"/>
      <c r="M39" s="1"/>
      <c r="R39" s="3"/>
    </row>
    <row r="40" spans="1:18" ht="16.5" thickBot="1">
      <c r="A40" s="1"/>
      <c r="B40" s="56">
        <f>SUM(B26:B39)</f>
        <v>1158</v>
      </c>
      <c r="C40" s="34" t="s">
        <v>66</v>
      </c>
      <c r="D40" s="56">
        <f>SUM(D26:D39)</f>
        <v>917.46</v>
      </c>
      <c r="E40" s="56">
        <f>SUM(E26:E39)</f>
        <v>0</v>
      </c>
      <c r="F40" s="56">
        <f>SUM(F26:F39)</f>
        <v>0</v>
      </c>
      <c r="G40" s="34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89" t="str">
        <f>'2018'!A22</f>
        <v>Comida+Limpieza</v>
      </c>
      <c r="C42" s="290"/>
      <c r="D42" s="290"/>
      <c r="E42" s="290"/>
      <c r="F42" s="290"/>
      <c r="G42" s="291"/>
      <c r="H42" s="1"/>
      <c r="M42" s="1"/>
      <c r="R42" s="3"/>
    </row>
    <row r="43" spans="1:18" ht="16.149999999999999" customHeight="1" thickBot="1">
      <c r="A43" s="1"/>
      <c r="B43" s="292"/>
      <c r="C43" s="293"/>
      <c r="D43" s="293"/>
      <c r="E43" s="293"/>
      <c r="F43" s="293"/>
      <c r="G43" s="294"/>
      <c r="H43" s="1"/>
      <c r="M43" s="1"/>
      <c r="R43" s="3"/>
    </row>
    <row r="44" spans="1:18" ht="15.75">
      <c r="A44" s="1"/>
      <c r="B44" s="297" t="s">
        <v>10</v>
      </c>
      <c r="C44" s="296"/>
      <c r="D44" s="295" t="s">
        <v>11</v>
      </c>
      <c r="E44" s="295"/>
      <c r="F44" s="295"/>
      <c r="G44" s="296"/>
      <c r="H44" s="1"/>
      <c r="M44" s="1"/>
      <c r="R44" s="3"/>
    </row>
    <row r="45" spans="1:18" ht="15.75">
      <c r="A45" s="1"/>
      <c r="B45" s="52" t="s">
        <v>32</v>
      </c>
      <c r="C45" s="60" t="s">
        <v>33</v>
      </c>
      <c r="D45" s="52" t="s">
        <v>68</v>
      </c>
      <c r="E45" s="53" t="s">
        <v>69</v>
      </c>
      <c r="F45" s="53" t="s">
        <v>32</v>
      </c>
      <c r="G45" s="60" t="s">
        <v>33</v>
      </c>
      <c r="H45" s="1"/>
      <c r="M45" s="1"/>
      <c r="R45" s="3"/>
    </row>
    <row r="46" spans="1:18" ht="15.75">
      <c r="A46" s="1"/>
      <c r="B46" s="54">
        <v>370</v>
      </c>
      <c r="C46" s="36"/>
      <c r="D46" s="57">
        <f>166.37-D186+15.91+19.01</f>
        <v>188.29</v>
      </c>
      <c r="E46" s="58"/>
      <c r="F46" s="58"/>
      <c r="G46" s="69" t="s">
        <v>47</v>
      </c>
      <c r="H46" s="1"/>
      <c r="M46" s="1"/>
      <c r="R46" s="3"/>
    </row>
    <row r="47" spans="1:18" ht="15.75">
      <c r="A47" s="1"/>
      <c r="B47" s="55">
        <v>20</v>
      </c>
      <c r="C47" s="33" t="s">
        <v>110</v>
      </c>
      <c r="D47" s="57">
        <f>97.66-D146</f>
        <v>52.93</v>
      </c>
      <c r="E47" s="58"/>
      <c r="F47" s="58"/>
      <c r="G47" s="33" t="s">
        <v>48</v>
      </c>
      <c r="H47" s="1"/>
      <c r="M47" s="1"/>
      <c r="R47" s="3"/>
    </row>
    <row r="48" spans="1:18" ht="15.75">
      <c r="A48" s="1"/>
      <c r="B48" s="55">
        <v>20</v>
      </c>
      <c r="C48" s="33" t="s">
        <v>259</v>
      </c>
      <c r="D48" s="57">
        <f>10.29+13.04+4.68+23.01+61.46</f>
        <v>112.47999999999999</v>
      </c>
      <c r="E48" s="58"/>
      <c r="F48" s="58"/>
      <c r="G48" s="33" t="s">
        <v>84</v>
      </c>
      <c r="H48" s="1"/>
      <c r="M48" s="1"/>
      <c r="R48" s="3"/>
    </row>
    <row r="49" spans="1:18" ht="15.75">
      <c r="A49" s="1"/>
      <c r="B49" s="55">
        <v>61.46</v>
      </c>
      <c r="C49" s="33" t="s">
        <v>18</v>
      </c>
      <c r="D49" s="57"/>
      <c r="E49" s="58"/>
      <c r="F49" s="58"/>
      <c r="G49" s="33" t="s">
        <v>49</v>
      </c>
      <c r="H49" s="1"/>
      <c r="M49" s="1"/>
      <c r="R49" s="3"/>
    </row>
    <row r="50" spans="1:18" ht="15.75">
      <c r="A50" s="1"/>
      <c r="B50" s="55"/>
      <c r="C50" s="33"/>
      <c r="D50" s="57"/>
      <c r="E50" s="58"/>
      <c r="F50" s="58"/>
      <c r="G50" s="33" t="s">
        <v>321</v>
      </c>
      <c r="H50" s="1"/>
      <c r="M50" s="1"/>
      <c r="R50" s="3"/>
    </row>
    <row r="51" spans="1:18" ht="15.75">
      <c r="A51" s="1"/>
      <c r="B51" s="55"/>
      <c r="C51" s="33"/>
      <c r="D51" s="57"/>
      <c r="E51" s="58"/>
      <c r="F51" s="58"/>
      <c r="G51" s="33" t="s">
        <v>86</v>
      </c>
      <c r="H51" s="1"/>
      <c r="M51" s="1"/>
      <c r="R51" s="3"/>
    </row>
    <row r="52" spans="1:18" ht="15.75">
      <c r="A52" s="1"/>
      <c r="B52" s="55"/>
      <c r="C52" s="33"/>
      <c r="D52" s="57"/>
      <c r="E52" s="58"/>
      <c r="F52" s="58"/>
      <c r="G52" s="33" t="s">
        <v>98</v>
      </c>
      <c r="H52" s="1"/>
      <c r="M52" s="1"/>
      <c r="R52" s="3"/>
    </row>
    <row r="53" spans="1:18" ht="15.75">
      <c r="A53" s="1"/>
      <c r="B53" s="55"/>
      <c r="C53" s="33"/>
      <c r="D53" s="57">
        <f>83.18-D250</f>
        <v>70</v>
      </c>
      <c r="E53" s="58"/>
      <c r="F53" s="58"/>
      <c r="G53" s="33" t="s">
        <v>111</v>
      </c>
      <c r="H53" s="1"/>
      <c r="M53" s="1"/>
      <c r="R53" s="3"/>
    </row>
    <row r="54" spans="1:18" ht="15.75">
      <c r="A54" s="1"/>
      <c r="B54" s="55"/>
      <c r="C54" s="33"/>
      <c r="D54" s="57"/>
      <c r="E54" s="58"/>
      <c r="F54" s="58"/>
      <c r="G54" s="33"/>
      <c r="H54" s="1"/>
      <c r="M54" s="1"/>
      <c r="R54" s="3"/>
    </row>
    <row r="55" spans="1:18" ht="15.75">
      <c r="A55" s="1"/>
      <c r="B55" s="55"/>
      <c r="C55" s="33"/>
      <c r="D55" s="57"/>
      <c r="E55" s="58"/>
      <c r="F55" s="58"/>
      <c r="G55" s="33"/>
      <c r="H55" s="1"/>
      <c r="M55" s="1"/>
      <c r="R55" s="3"/>
    </row>
    <row r="56" spans="1:18" ht="15.75">
      <c r="A56" s="1"/>
      <c r="B56" s="55"/>
      <c r="C56" s="33"/>
      <c r="D56" s="57"/>
      <c r="E56" s="58"/>
      <c r="F56" s="58"/>
      <c r="G56" s="33"/>
      <c r="H56" s="1"/>
      <c r="M56" s="1"/>
      <c r="R56" s="3"/>
    </row>
    <row r="57" spans="1:18" ht="15.75">
      <c r="A57" s="1"/>
      <c r="B57" s="55"/>
      <c r="C57" s="33"/>
      <c r="D57" s="57"/>
      <c r="E57" s="58"/>
      <c r="F57" s="58"/>
      <c r="G57" s="33"/>
      <c r="H57" s="1"/>
      <c r="M57" s="1"/>
      <c r="R57" s="3"/>
    </row>
    <row r="58" spans="1:18" ht="15.75">
      <c r="A58" s="1"/>
      <c r="B58" s="55"/>
      <c r="C58" s="33"/>
      <c r="D58" s="57"/>
      <c r="E58" s="58"/>
      <c r="F58" s="58"/>
      <c r="G58" s="33"/>
      <c r="H58" s="1"/>
      <c r="M58" s="1"/>
      <c r="R58" s="3"/>
    </row>
    <row r="59" spans="1:18" ht="16.5" thickBot="1">
      <c r="A59" s="1"/>
      <c r="B59" s="56"/>
      <c r="C59" s="34"/>
      <c r="D59" s="56"/>
      <c r="E59" s="59"/>
      <c r="F59" s="59"/>
      <c r="G59" s="34"/>
      <c r="H59" s="1"/>
      <c r="M59" s="1"/>
      <c r="R59" s="3"/>
    </row>
    <row r="60" spans="1:18" ht="16.5" thickBot="1">
      <c r="A60" s="1"/>
      <c r="B60" s="56">
        <f>SUM(B46:B59)</f>
        <v>471.46</v>
      </c>
      <c r="C60" s="34" t="s">
        <v>66</v>
      </c>
      <c r="D60" s="56">
        <f>SUM(D46:D59)</f>
        <v>423.7</v>
      </c>
      <c r="E60" s="56">
        <f>SUM(E46:E59)</f>
        <v>0</v>
      </c>
      <c r="F60" s="56">
        <f>SUM(F46:F59)</f>
        <v>0</v>
      </c>
      <c r="G60" s="34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89" t="str">
        <f>'2018'!A23</f>
        <v>Ocio</v>
      </c>
      <c r="C62" s="290"/>
      <c r="D62" s="290"/>
      <c r="E62" s="290"/>
      <c r="F62" s="290"/>
      <c r="G62" s="291"/>
      <c r="H62" s="1"/>
      <c r="M62" s="1"/>
      <c r="R62" s="3"/>
    </row>
    <row r="63" spans="1:18" ht="16.149999999999999" customHeight="1" thickBot="1">
      <c r="A63" s="1"/>
      <c r="B63" s="292"/>
      <c r="C63" s="293"/>
      <c r="D63" s="293"/>
      <c r="E63" s="293"/>
      <c r="F63" s="293"/>
      <c r="G63" s="294"/>
      <c r="H63" s="1"/>
      <c r="M63" s="1"/>
      <c r="R63" s="3"/>
    </row>
    <row r="64" spans="1:18" ht="15.75">
      <c r="A64" s="1"/>
      <c r="B64" s="297" t="s">
        <v>10</v>
      </c>
      <c r="C64" s="296"/>
      <c r="D64" s="295" t="s">
        <v>11</v>
      </c>
      <c r="E64" s="295"/>
      <c r="F64" s="295"/>
      <c r="G64" s="296"/>
      <c r="H64" s="1"/>
      <c r="M64" s="1"/>
      <c r="R64" s="3"/>
    </row>
    <row r="65" spans="1:18" ht="15.75">
      <c r="A65" s="1"/>
      <c r="B65" s="52" t="s">
        <v>32</v>
      </c>
      <c r="C65" s="60" t="s">
        <v>33</v>
      </c>
      <c r="D65" s="52" t="s">
        <v>68</v>
      </c>
      <c r="E65" s="53" t="s">
        <v>69</v>
      </c>
      <c r="F65" s="53" t="s">
        <v>32</v>
      </c>
      <c r="G65" s="60" t="s">
        <v>33</v>
      </c>
      <c r="H65" s="1"/>
      <c r="M65" s="1"/>
      <c r="R65" s="3"/>
    </row>
    <row r="66" spans="1:18" ht="15.75">
      <c r="A66" s="1"/>
      <c r="B66" s="54">
        <v>150</v>
      </c>
      <c r="C66" s="36" t="s">
        <v>36</v>
      </c>
      <c r="D66" s="57">
        <f>31.35+31.35+30.4</f>
        <v>93.1</v>
      </c>
      <c r="E66" s="58"/>
      <c r="F66" s="58"/>
      <c r="G66" s="36" t="s">
        <v>207</v>
      </c>
      <c r="H66" s="1"/>
      <c r="M66" s="1"/>
      <c r="R66" s="3"/>
    </row>
    <row r="67" spans="1:18" ht="15.75">
      <c r="A67" s="1"/>
      <c r="B67" s="55">
        <v>-61.46</v>
      </c>
      <c r="C67" s="33"/>
      <c r="D67" s="57"/>
      <c r="E67" s="58"/>
      <c r="F67" s="58">
        <f>20+7.15</f>
        <v>27.15</v>
      </c>
      <c r="G67" s="70" t="s">
        <v>313</v>
      </c>
      <c r="H67" s="1"/>
      <c r="M67" s="1"/>
      <c r="R67" s="3"/>
    </row>
    <row r="68" spans="1:18" ht="15.75">
      <c r="A68" s="1"/>
      <c r="B68" s="55"/>
      <c r="C68" s="33"/>
      <c r="D68" s="57">
        <v>19.8</v>
      </c>
      <c r="E68" s="58"/>
      <c r="F68" s="58"/>
      <c r="G68" s="33" t="s">
        <v>323</v>
      </c>
      <c r="H68" s="1"/>
      <c r="M68" s="1"/>
      <c r="R68" s="3"/>
    </row>
    <row r="69" spans="1:18" ht="15.75">
      <c r="A69" s="1"/>
      <c r="B69" s="55"/>
      <c r="C69" s="33"/>
      <c r="D69" s="57"/>
      <c r="E69" s="58"/>
      <c r="F69" s="58">
        <f>40</f>
        <v>40</v>
      </c>
      <c r="G69" s="33" t="s">
        <v>326</v>
      </c>
      <c r="H69" s="1"/>
      <c r="M69" s="1"/>
      <c r="R69" s="3"/>
    </row>
    <row r="70" spans="1:18" ht="15.75">
      <c r="A70" s="1"/>
      <c r="B70" s="55"/>
      <c r="C70" s="33"/>
      <c r="D70" s="57"/>
      <c r="E70" s="58"/>
      <c r="F70" s="58"/>
      <c r="G70" s="33"/>
      <c r="H70" s="1"/>
      <c r="M70" s="1"/>
      <c r="R70" s="3"/>
    </row>
    <row r="71" spans="1:18" ht="15.75">
      <c r="A71" s="1"/>
      <c r="B71" s="55"/>
      <c r="C71" s="33"/>
      <c r="D71" s="57"/>
      <c r="E71" s="58"/>
      <c r="F71" s="58"/>
      <c r="G71" s="33"/>
      <c r="H71" s="1"/>
      <c r="M71" s="1"/>
      <c r="R71" s="3"/>
    </row>
    <row r="72" spans="1:18" ht="15.75">
      <c r="A72" s="1"/>
      <c r="B72" s="55"/>
      <c r="C72" s="33"/>
      <c r="D72" s="57"/>
      <c r="E72" s="58"/>
      <c r="F72" s="58"/>
      <c r="G72" s="33"/>
      <c r="H72" s="1"/>
      <c r="M72" s="1"/>
      <c r="R72" s="3"/>
    </row>
    <row r="73" spans="1:18" ht="15.75">
      <c r="A73" s="1"/>
      <c r="B73" s="55"/>
      <c r="C73" s="33"/>
      <c r="D73" s="57"/>
      <c r="E73" s="58"/>
      <c r="F73" s="58"/>
      <c r="G73" s="33"/>
      <c r="H73" s="1"/>
      <c r="M73" s="1"/>
      <c r="R73" s="3"/>
    </row>
    <row r="74" spans="1:18" ht="15.75">
      <c r="A74" s="1"/>
      <c r="B74" s="55"/>
      <c r="C74" s="33"/>
      <c r="D74" s="57"/>
      <c r="E74" s="58"/>
      <c r="F74" s="58"/>
      <c r="G74" s="33"/>
      <c r="H74" s="1"/>
      <c r="M74" s="1"/>
      <c r="R74" s="3"/>
    </row>
    <row r="75" spans="1:18" ht="15.75">
      <c r="A75" s="1"/>
      <c r="B75" s="55"/>
      <c r="C75" s="33"/>
      <c r="D75" s="57"/>
      <c r="E75" s="58"/>
      <c r="F75" s="58"/>
      <c r="G75" s="33"/>
      <c r="H75" s="1"/>
      <c r="M75" s="1"/>
      <c r="R75" s="3"/>
    </row>
    <row r="76" spans="1:18" ht="15.75">
      <c r="A76" s="1"/>
      <c r="B76" s="55"/>
      <c r="C76" s="33"/>
      <c r="D76" s="57"/>
      <c r="E76" s="58"/>
      <c r="F76" s="58"/>
      <c r="G76" s="33"/>
      <c r="H76" s="1"/>
      <c r="M76" s="1"/>
      <c r="R76" s="3"/>
    </row>
    <row r="77" spans="1:18" ht="15.75">
      <c r="A77" s="1"/>
      <c r="B77" s="55"/>
      <c r="C77" s="33"/>
      <c r="D77" s="57"/>
      <c r="E77" s="58"/>
      <c r="F77" s="58"/>
      <c r="G77" s="33"/>
      <c r="H77" s="1"/>
      <c r="M77" s="1"/>
      <c r="R77" s="3"/>
    </row>
    <row r="78" spans="1:18" ht="15.75">
      <c r="A78" s="1"/>
      <c r="B78" s="55"/>
      <c r="C78" s="33"/>
      <c r="D78" s="57"/>
      <c r="E78" s="58"/>
      <c r="F78" s="58"/>
      <c r="G78" s="33"/>
      <c r="H78" s="1"/>
      <c r="M78" s="1"/>
      <c r="R78" s="3"/>
    </row>
    <row r="79" spans="1:18" ht="16.5" thickBot="1">
      <c r="A79" s="1"/>
      <c r="B79" s="56"/>
      <c r="C79" s="34"/>
      <c r="D79" s="56"/>
      <c r="E79" s="59"/>
      <c r="F79" s="59"/>
      <c r="G79" s="34"/>
      <c r="H79" s="1"/>
      <c r="M79" s="1"/>
      <c r="R79" s="3"/>
    </row>
    <row r="80" spans="1:18" ht="16.5" thickBot="1">
      <c r="A80" s="1"/>
      <c r="B80" s="56">
        <f>SUM(B66:B79)</f>
        <v>88.539999999999992</v>
      </c>
      <c r="C80" s="34" t="s">
        <v>66</v>
      </c>
      <c r="D80" s="56">
        <f>SUM(D66:D79)</f>
        <v>112.89999999999999</v>
      </c>
      <c r="E80" s="56">
        <f>SUM(E66:E79)</f>
        <v>0</v>
      </c>
      <c r="F80" s="56">
        <f>SUM(F66:F79)</f>
        <v>67.150000000000006</v>
      </c>
      <c r="G80" s="34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89" t="str">
        <f>'2018'!A24</f>
        <v>Transportes</v>
      </c>
      <c r="C82" s="290"/>
      <c r="D82" s="290"/>
      <c r="E82" s="290"/>
      <c r="F82" s="290"/>
      <c r="G82" s="291"/>
      <c r="H82" s="1"/>
      <c r="M82" s="1"/>
      <c r="R82" s="3"/>
    </row>
    <row r="83" spans="1:18" ht="16.149999999999999" customHeight="1" thickBot="1">
      <c r="A83" s="1"/>
      <c r="B83" s="292"/>
      <c r="C83" s="293"/>
      <c r="D83" s="293"/>
      <c r="E83" s="293"/>
      <c r="F83" s="293"/>
      <c r="G83" s="294"/>
      <c r="H83" s="1"/>
      <c r="M83" s="1"/>
      <c r="R83" s="3"/>
    </row>
    <row r="84" spans="1:18" ht="15.75">
      <c r="A84" s="1"/>
      <c r="B84" s="297" t="s">
        <v>10</v>
      </c>
      <c r="C84" s="296"/>
      <c r="D84" s="295" t="s">
        <v>11</v>
      </c>
      <c r="E84" s="295"/>
      <c r="F84" s="295"/>
      <c r="G84" s="296"/>
      <c r="H84" s="1"/>
      <c r="M84" s="1"/>
      <c r="R84" s="3"/>
    </row>
    <row r="85" spans="1:18" ht="15.75">
      <c r="A85" s="1"/>
      <c r="B85" s="52" t="s">
        <v>32</v>
      </c>
      <c r="C85" s="60" t="s">
        <v>33</v>
      </c>
      <c r="D85" s="52" t="s">
        <v>68</v>
      </c>
      <c r="E85" s="53" t="s">
        <v>69</v>
      </c>
      <c r="F85" s="53" t="s">
        <v>32</v>
      </c>
      <c r="G85" s="60" t="s">
        <v>33</v>
      </c>
      <c r="H85" s="1"/>
      <c r="M85" s="1"/>
      <c r="R85" s="3"/>
    </row>
    <row r="86" spans="1:18" ht="15.75">
      <c r="A86" s="1"/>
      <c r="B86" s="54">
        <v>150</v>
      </c>
      <c r="C86" s="36" t="s">
        <v>51</v>
      </c>
      <c r="D86" s="57">
        <f>37.09+51.1+44.82</f>
        <v>133.01</v>
      </c>
      <c r="E86" s="58"/>
      <c r="F86" s="58"/>
      <c r="G86" s="33" t="s">
        <v>52</v>
      </c>
      <c r="H86" s="1"/>
      <c r="M86" s="1"/>
      <c r="R86" s="3"/>
    </row>
    <row r="87" spans="1:18" ht="15.75">
      <c r="A87" s="1"/>
      <c r="B87" s="55"/>
      <c r="C87" s="33"/>
      <c r="D87" s="57"/>
      <c r="E87" s="58"/>
      <c r="F87" s="58"/>
      <c r="G87" s="33" t="s">
        <v>53</v>
      </c>
      <c r="H87" s="1"/>
      <c r="M87" s="1"/>
      <c r="R87" s="3"/>
    </row>
    <row r="88" spans="1:18" ht="15.75">
      <c r="A88" s="1"/>
      <c r="B88" s="55"/>
      <c r="C88" s="33"/>
      <c r="D88" s="57"/>
      <c r="E88" s="58"/>
      <c r="F88" s="58"/>
      <c r="G88" s="33" t="s">
        <v>54</v>
      </c>
      <c r="H88" s="1"/>
      <c r="M88" s="1"/>
      <c r="R88" s="3"/>
    </row>
    <row r="89" spans="1:18" ht="15.75">
      <c r="A89" s="1"/>
      <c r="B89" s="55"/>
      <c r="C89" s="33"/>
      <c r="D89" s="57"/>
      <c r="E89" s="58"/>
      <c r="F89" s="58"/>
      <c r="G89" s="33" t="s">
        <v>90</v>
      </c>
      <c r="H89" s="1"/>
      <c r="M89" s="1"/>
      <c r="R89" s="3"/>
    </row>
    <row r="90" spans="1:18" ht="15.75">
      <c r="A90" s="1"/>
      <c r="B90" s="55"/>
      <c r="C90" s="33"/>
      <c r="D90" s="57"/>
      <c r="E90" s="58">
        <v>5</v>
      </c>
      <c r="F90" s="58">
        <f>2+2</f>
        <v>4</v>
      </c>
      <c r="G90" s="33" t="s">
        <v>203</v>
      </c>
      <c r="H90" s="1"/>
      <c r="M90" s="1"/>
      <c r="R90" s="3"/>
    </row>
    <row r="91" spans="1:18" ht="15.75">
      <c r="A91" s="1"/>
      <c r="B91" s="55"/>
      <c r="C91" s="33"/>
      <c r="D91" s="57"/>
      <c r="E91" s="58"/>
      <c r="F91" s="58"/>
      <c r="G91" s="33"/>
      <c r="H91" s="1"/>
      <c r="M91" s="1"/>
      <c r="R91" s="3"/>
    </row>
    <row r="92" spans="1:18" ht="15.75">
      <c r="A92" s="1"/>
      <c r="B92" s="55"/>
      <c r="C92" s="33"/>
      <c r="D92" s="57"/>
      <c r="E92" s="58"/>
      <c r="F92" s="58"/>
      <c r="G92" s="33"/>
      <c r="H92" s="1"/>
      <c r="M92" s="1"/>
      <c r="R92" s="3"/>
    </row>
    <row r="93" spans="1:18" ht="15.75">
      <c r="A93" s="1"/>
      <c r="B93" s="55"/>
      <c r="C93" s="33"/>
      <c r="D93" s="57"/>
      <c r="E93" s="58"/>
      <c r="F93" s="58"/>
      <c r="G93" s="33"/>
      <c r="H93" s="1"/>
      <c r="M93" s="1"/>
      <c r="R93" s="3"/>
    </row>
    <row r="94" spans="1:18" ht="15.75">
      <c r="A94" s="1"/>
      <c r="B94" s="55"/>
      <c r="C94" s="33"/>
      <c r="D94" s="57"/>
      <c r="E94" s="58"/>
      <c r="F94" s="58"/>
      <c r="G94" s="33"/>
      <c r="H94" s="1"/>
      <c r="M94" s="1"/>
      <c r="R94" s="3"/>
    </row>
    <row r="95" spans="1:18" ht="15.75">
      <c r="A95" s="1"/>
      <c r="B95" s="55"/>
      <c r="C95" s="33"/>
      <c r="D95" s="57"/>
      <c r="E95" s="58"/>
      <c r="F95" s="58"/>
      <c r="G95" s="33"/>
      <c r="H95" s="1"/>
      <c r="M95" s="1"/>
      <c r="R95" s="3"/>
    </row>
    <row r="96" spans="1:18" ht="15.75">
      <c r="A96" s="1"/>
      <c r="B96" s="55"/>
      <c r="C96" s="33"/>
      <c r="D96" s="57"/>
      <c r="E96" s="58"/>
      <c r="F96" s="58"/>
      <c r="G96" s="33"/>
      <c r="H96" s="1"/>
      <c r="M96" s="1"/>
      <c r="R96" s="3"/>
    </row>
    <row r="97" spans="1:18" ht="15.75">
      <c r="A97" s="1"/>
      <c r="B97" s="55"/>
      <c r="C97" s="33"/>
      <c r="D97" s="57"/>
      <c r="E97" s="58"/>
      <c r="F97" s="58"/>
      <c r="G97" s="33"/>
      <c r="H97" s="1"/>
      <c r="M97" s="1"/>
      <c r="R97" s="3"/>
    </row>
    <row r="98" spans="1:18" ht="15.75">
      <c r="A98" s="1"/>
      <c r="B98" s="55"/>
      <c r="C98" s="33"/>
      <c r="D98" s="57"/>
      <c r="E98" s="58"/>
      <c r="F98" s="58"/>
      <c r="G98" s="33"/>
      <c r="H98" s="1"/>
      <c r="M98" s="1"/>
      <c r="R98" s="3"/>
    </row>
    <row r="99" spans="1:18" ht="16.5" thickBot="1">
      <c r="A99" s="1"/>
      <c r="B99" s="56"/>
      <c r="C99" s="34"/>
      <c r="D99" s="56"/>
      <c r="E99" s="59"/>
      <c r="F99" s="59"/>
      <c r="G99" s="34"/>
      <c r="H99" s="1"/>
      <c r="M99" s="1"/>
      <c r="R99" s="3"/>
    </row>
    <row r="100" spans="1:18" ht="16.5" thickBot="1">
      <c r="A100" s="1"/>
      <c r="B100" s="56">
        <f>SUM(B86:B99)</f>
        <v>150</v>
      </c>
      <c r="C100" s="34" t="s">
        <v>66</v>
      </c>
      <c r="D100" s="56">
        <f>SUM(D86:D99)</f>
        <v>133.01</v>
      </c>
      <c r="E100" s="56">
        <f>SUM(E86:E99)</f>
        <v>5</v>
      </c>
      <c r="F100" s="56">
        <f>SUM(F86:F99)</f>
        <v>4</v>
      </c>
      <c r="G100" s="34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89" t="str">
        <f>'2018'!A25</f>
        <v>Coche</v>
      </c>
      <c r="C102" s="290"/>
      <c r="D102" s="290"/>
      <c r="E102" s="290"/>
      <c r="F102" s="290"/>
      <c r="G102" s="291"/>
      <c r="H102" s="1"/>
      <c r="M102" s="1"/>
      <c r="R102" s="3"/>
    </row>
    <row r="103" spans="1:18" ht="16.149999999999999" customHeight="1" thickBot="1">
      <c r="A103" s="1"/>
      <c r="B103" s="292"/>
      <c r="C103" s="293"/>
      <c r="D103" s="293"/>
      <c r="E103" s="293"/>
      <c r="F103" s="293"/>
      <c r="G103" s="294"/>
      <c r="H103" s="1"/>
      <c r="M103" s="1"/>
      <c r="R103" s="3"/>
    </row>
    <row r="104" spans="1:18" ht="15.75">
      <c r="A104" s="1"/>
      <c r="B104" s="297" t="s">
        <v>10</v>
      </c>
      <c r="C104" s="296"/>
      <c r="D104" s="295" t="s">
        <v>11</v>
      </c>
      <c r="E104" s="295"/>
      <c r="F104" s="295"/>
      <c r="G104" s="296"/>
      <c r="H104" s="1"/>
      <c r="M104" s="1"/>
      <c r="R104" s="3"/>
    </row>
    <row r="105" spans="1:18" ht="15.75">
      <c r="A105" s="1"/>
      <c r="B105" s="52" t="s">
        <v>32</v>
      </c>
      <c r="C105" s="60" t="s">
        <v>33</v>
      </c>
      <c r="D105" s="52" t="s">
        <v>68</v>
      </c>
      <c r="E105" s="53" t="s">
        <v>69</v>
      </c>
      <c r="F105" s="53" t="s">
        <v>32</v>
      </c>
      <c r="G105" s="60" t="s">
        <v>33</v>
      </c>
      <c r="H105" s="1"/>
      <c r="M105" s="1"/>
      <c r="R105" s="3"/>
    </row>
    <row r="106" spans="1:18" ht="15.75">
      <c r="A106" s="1"/>
      <c r="B106" s="54">
        <v>260</v>
      </c>
      <c r="C106" s="35" t="s">
        <v>55</v>
      </c>
      <c r="D106" s="57">
        <v>258.47000000000003</v>
      </c>
      <c r="E106" s="58"/>
      <c r="F106" s="58"/>
      <c r="G106" s="70" t="s">
        <v>55</v>
      </c>
      <c r="H106" s="1"/>
      <c r="M106" s="1"/>
      <c r="R106" s="3"/>
    </row>
    <row r="107" spans="1:18" ht="15.75">
      <c r="A107" s="1"/>
      <c r="B107" s="55">
        <v>71</v>
      </c>
      <c r="C107" s="35" t="s">
        <v>56</v>
      </c>
      <c r="D107" s="57">
        <v>70.349999999999994</v>
      </c>
      <c r="E107" s="58"/>
      <c r="F107" s="58"/>
      <c r="G107" s="70" t="s">
        <v>56</v>
      </c>
      <c r="H107" s="1"/>
      <c r="M107" s="1"/>
      <c r="R107" s="3"/>
    </row>
    <row r="108" spans="1:18" ht="15.75">
      <c r="A108" s="1"/>
      <c r="B108" s="55">
        <v>69</v>
      </c>
      <c r="C108" s="35" t="s">
        <v>46</v>
      </c>
      <c r="D108" s="57"/>
      <c r="E108" s="58"/>
      <c r="F108" s="58"/>
      <c r="G108" s="73" t="s">
        <v>88</v>
      </c>
      <c r="H108" s="1"/>
      <c r="M108" s="1"/>
      <c r="R108" s="3"/>
    </row>
    <row r="109" spans="1:18" ht="15.75">
      <c r="A109" s="1"/>
      <c r="B109" s="55"/>
      <c r="C109" s="35"/>
      <c r="D109" s="57"/>
      <c r="E109" s="58"/>
      <c r="F109" s="58"/>
      <c r="G109" s="70"/>
      <c r="H109" s="1"/>
      <c r="M109" s="1"/>
      <c r="R109" s="3"/>
    </row>
    <row r="110" spans="1:18" ht="15.75">
      <c r="A110" s="1"/>
      <c r="B110" s="55"/>
      <c r="C110" s="35"/>
      <c r="D110" s="57"/>
      <c r="E110" s="58"/>
      <c r="F110" s="58"/>
      <c r="G110" s="70"/>
      <c r="H110" s="1"/>
      <c r="M110" s="1"/>
      <c r="R110" s="3"/>
    </row>
    <row r="111" spans="1:18" ht="15.75">
      <c r="A111" s="1"/>
      <c r="B111" s="55"/>
      <c r="C111" s="66"/>
      <c r="D111" s="57"/>
      <c r="E111" s="58"/>
      <c r="F111" s="58"/>
      <c r="G111" s="73"/>
      <c r="H111" s="1"/>
      <c r="M111" s="1"/>
      <c r="R111" s="3"/>
    </row>
    <row r="112" spans="1:18" ht="15.75">
      <c r="A112" s="1"/>
      <c r="B112" s="55"/>
      <c r="C112" s="71"/>
      <c r="D112" s="57"/>
      <c r="E112" s="58"/>
      <c r="F112" s="58"/>
      <c r="G112" s="70"/>
      <c r="H112" s="1"/>
      <c r="M112" s="1"/>
      <c r="R112" s="3"/>
    </row>
    <row r="113" spans="1:18" ht="15.75">
      <c r="A113" s="1"/>
      <c r="B113" s="55"/>
      <c r="C113" s="72"/>
      <c r="D113" s="57"/>
      <c r="E113" s="58"/>
      <c r="F113" s="58"/>
      <c r="G113" s="70"/>
      <c r="H113" s="1"/>
      <c r="M113" s="1"/>
      <c r="R113" s="3"/>
    </row>
    <row r="114" spans="1:18" ht="15.75">
      <c r="A114" s="1"/>
      <c r="B114" s="55"/>
      <c r="C114" s="71"/>
      <c r="D114" s="57"/>
      <c r="E114" s="58"/>
      <c r="F114" s="58"/>
      <c r="G114" s="70"/>
      <c r="H114" s="1"/>
      <c r="M114" s="1"/>
      <c r="R114" s="3"/>
    </row>
    <row r="115" spans="1:18" ht="15.75">
      <c r="A115" s="1"/>
      <c r="B115" s="55"/>
      <c r="C115" s="66"/>
      <c r="D115" s="57"/>
      <c r="E115" s="58"/>
      <c r="F115" s="58"/>
      <c r="G115" s="33"/>
      <c r="H115" s="1"/>
      <c r="M115" s="1"/>
      <c r="R115" s="3"/>
    </row>
    <row r="116" spans="1:18" ht="15.75">
      <c r="A116" s="1"/>
      <c r="B116" s="55"/>
      <c r="C116" s="35"/>
      <c r="D116" s="57"/>
      <c r="E116" s="58"/>
      <c r="F116" s="58"/>
      <c r="G116" s="33"/>
      <c r="H116" s="1"/>
      <c r="M116" s="1"/>
      <c r="R116" s="3"/>
    </row>
    <row r="117" spans="1:18" ht="15.75">
      <c r="A117" s="1"/>
      <c r="B117" s="55"/>
      <c r="C117" s="35"/>
      <c r="D117" s="57"/>
      <c r="E117" s="58"/>
      <c r="F117" s="58"/>
      <c r="G117" s="33"/>
      <c r="H117" s="1"/>
      <c r="M117" s="1"/>
      <c r="R117" s="3"/>
    </row>
    <row r="118" spans="1:18" ht="15.75">
      <c r="A118" s="1"/>
      <c r="B118" s="55"/>
      <c r="C118" s="35"/>
      <c r="D118" s="57"/>
      <c r="E118" s="58"/>
      <c r="F118" s="58"/>
      <c r="G118" s="33"/>
      <c r="H118" s="1"/>
      <c r="M118" s="1"/>
      <c r="R118" s="3"/>
    </row>
    <row r="119" spans="1:18" ht="16.5" thickBot="1">
      <c r="A119" s="1"/>
      <c r="B119" s="56"/>
      <c r="C119" s="37"/>
      <c r="D119" s="56"/>
      <c r="E119" s="59"/>
      <c r="F119" s="59"/>
      <c r="G119" s="34"/>
      <c r="H119" s="1"/>
      <c r="M119" s="1"/>
      <c r="R119" s="3"/>
    </row>
    <row r="120" spans="1:18" ht="16.5" thickBot="1">
      <c r="A120" s="1"/>
      <c r="B120" s="56">
        <f>SUM(B106:B119)</f>
        <v>400</v>
      </c>
      <c r="C120" s="34" t="s">
        <v>66</v>
      </c>
      <c r="D120" s="56">
        <f>SUM(D106:D119)</f>
        <v>328.82000000000005</v>
      </c>
      <c r="E120" s="56">
        <f>SUM(E106:E119)</f>
        <v>0</v>
      </c>
      <c r="F120" s="56">
        <f>SUM(F106:F119)</f>
        <v>0</v>
      </c>
      <c r="G120" s="34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89" t="str">
        <f>'2018'!A26</f>
        <v>Teléfono</v>
      </c>
      <c r="C122" s="290"/>
      <c r="D122" s="290"/>
      <c r="E122" s="290"/>
      <c r="F122" s="290"/>
      <c r="G122" s="291"/>
      <c r="H122" s="1"/>
      <c r="M122" s="1"/>
      <c r="R122" s="3"/>
    </row>
    <row r="123" spans="1:18" ht="16.149999999999999" customHeight="1" thickBot="1">
      <c r="A123" s="1"/>
      <c r="B123" s="292"/>
      <c r="C123" s="293"/>
      <c r="D123" s="293"/>
      <c r="E123" s="293"/>
      <c r="F123" s="293"/>
      <c r="G123" s="294"/>
      <c r="H123" s="1"/>
      <c r="M123" s="1"/>
      <c r="R123" s="3"/>
    </row>
    <row r="124" spans="1:18" ht="15.75">
      <c r="A124" s="1"/>
      <c r="B124" s="297" t="s">
        <v>10</v>
      </c>
      <c r="C124" s="296"/>
      <c r="D124" s="295" t="s">
        <v>11</v>
      </c>
      <c r="E124" s="295"/>
      <c r="F124" s="295"/>
      <c r="G124" s="296"/>
      <c r="H124" s="1"/>
      <c r="M124" s="1"/>
      <c r="R124" s="3"/>
    </row>
    <row r="125" spans="1:18" ht="15.75">
      <c r="A125" s="1"/>
      <c r="B125" s="52" t="s">
        <v>32</v>
      </c>
      <c r="C125" s="60" t="s">
        <v>33</v>
      </c>
      <c r="D125" s="52" t="s">
        <v>68</v>
      </c>
      <c r="E125" s="53" t="s">
        <v>69</v>
      </c>
      <c r="F125" s="53" t="s">
        <v>32</v>
      </c>
      <c r="G125" s="60" t="s">
        <v>33</v>
      </c>
      <c r="H125" s="1"/>
      <c r="M125" s="1"/>
      <c r="R125" s="3"/>
    </row>
    <row r="126" spans="1:18" ht="15.75">
      <c r="A126" s="1"/>
      <c r="B126" s="54">
        <v>27.5</v>
      </c>
      <c r="C126" s="36" t="s">
        <v>57</v>
      </c>
      <c r="D126" s="57">
        <v>27.5</v>
      </c>
      <c r="E126" s="58"/>
      <c r="F126" s="58"/>
      <c r="G126" s="33" t="s">
        <v>57</v>
      </c>
      <c r="H126" s="1"/>
      <c r="M126" s="1"/>
      <c r="R126" s="3"/>
    </row>
    <row r="127" spans="1:18" ht="15.75">
      <c r="A127" s="1"/>
      <c r="B127" s="55">
        <v>10</v>
      </c>
      <c r="C127" s="33" t="s">
        <v>58</v>
      </c>
      <c r="D127" s="57">
        <f>15</f>
        <v>15</v>
      </c>
      <c r="E127" s="58"/>
      <c r="F127" s="58"/>
      <c r="G127" s="33" t="s">
        <v>58</v>
      </c>
      <c r="H127" s="1"/>
      <c r="M127" s="1"/>
      <c r="R127" s="3"/>
    </row>
    <row r="128" spans="1:18" ht="15.75">
      <c r="A128" s="1"/>
      <c r="B128" s="55"/>
      <c r="C128" s="33"/>
      <c r="D128" s="57"/>
      <c r="E128" s="58"/>
      <c r="F128" s="58"/>
      <c r="G128" s="33"/>
      <c r="H128" s="1"/>
      <c r="M128" s="1"/>
      <c r="R128" s="3"/>
    </row>
    <row r="129" spans="1:18" ht="15.75">
      <c r="A129" s="1"/>
      <c r="B129" s="55"/>
      <c r="C129" s="33"/>
      <c r="D129" s="57"/>
      <c r="E129" s="58"/>
      <c r="F129" s="58"/>
      <c r="G129" s="33"/>
      <c r="H129" s="1"/>
      <c r="M129" s="1"/>
      <c r="R129" s="3"/>
    </row>
    <row r="130" spans="1:18" ht="15.75">
      <c r="A130" s="1"/>
      <c r="B130" s="55"/>
      <c r="C130" s="33"/>
      <c r="D130" s="57"/>
      <c r="E130" s="58"/>
      <c r="F130" s="58"/>
      <c r="G130" s="33"/>
      <c r="H130" s="1"/>
      <c r="M130" s="1"/>
      <c r="R130" s="3"/>
    </row>
    <row r="131" spans="1:18" ht="15.75">
      <c r="A131" s="1"/>
      <c r="B131" s="55"/>
      <c r="C131" s="33"/>
      <c r="D131" s="57"/>
      <c r="E131" s="58"/>
      <c r="F131" s="58"/>
      <c r="G131" s="33"/>
      <c r="H131" s="1"/>
      <c r="M131" s="1"/>
      <c r="R131" s="3"/>
    </row>
    <row r="132" spans="1:18" ht="15.75">
      <c r="A132" s="1"/>
      <c r="B132" s="55"/>
      <c r="C132" s="33"/>
      <c r="D132" s="57"/>
      <c r="E132" s="58"/>
      <c r="F132" s="58"/>
      <c r="G132" s="33"/>
      <c r="H132" s="1"/>
      <c r="M132" s="1"/>
      <c r="R132" s="3"/>
    </row>
    <row r="133" spans="1:18" ht="15.75">
      <c r="A133" s="1"/>
      <c r="B133" s="55"/>
      <c r="C133" s="33"/>
      <c r="D133" s="57"/>
      <c r="E133" s="58"/>
      <c r="F133" s="58"/>
      <c r="G133" s="33"/>
      <c r="H133" s="1"/>
      <c r="M133" s="1"/>
      <c r="R133" s="3"/>
    </row>
    <row r="134" spans="1:18" ht="15.75">
      <c r="A134" s="1"/>
      <c r="B134" s="55"/>
      <c r="C134" s="33"/>
      <c r="D134" s="57"/>
      <c r="E134" s="58"/>
      <c r="F134" s="58"/>
      <c r="G134" s="33"/>
      <c r="H134" s="1"/>
      <c r="M134" s="1"/>
      <c r="R134" s="3"/>
    </row>
    <row r="135" spans="1:18" ht="15.75">
      <c r="A135" s="1"/>
      <c r="B135" s="55"/>
      <c r="C135" s="33"/>
      <c r="D135" s="57"/>
      <c r="E135" s="58"/>
      <c r="F135" s="58"/>
      <c r="G135" s="33"/>
      <c r="H135" s="1"/>
      <c r="M135" s="1"/>
      <c r="R135" s="3"/>
    </row>
    <row r="136" spans="1:18" ht="15.75">
      <c r="A136" s="1"/>
      <c r="B136" s="55"/>
      <c r="C136" s="33"/>
      <c r="D136" s="57"/>
      <c r="E136" s="58"/>
      <c r="F136" s="58"/>
      <c r="G136" s="33"/>
      <c r="H136" s="1"/>
      <c r="M136" s="1"/>
      <c r="R136" s="3"/>
    </row>
    <row r="137" spans="1:18" ht="15.75">
      <c r="A137" s="1"/>
      <c r="B137" s="55"/>
      <c r="C137" s="33"/>
      <c r="D137" s="57"/>
      <c r="E137" s="58"/>
      <c r="F137" s="58"/>
      <c r="G137" s="33"/>
      <c r="H137" s="1"/>
      <c r="M137" s="1"/>
      <c r="R137" s="3"/>
    </row>
    <row r="138" spans="1:18" ht="15.75">
      <c r="A138" s="1"/>
      <c r="B138" s="55"/>
      <c r="C138" s="33"/>
      <c r="D138" s="57"/>
      <c r="E138" s="58"/>
      <c r="F138" s="58"/>
      <c r="G138" s="33"/>
      <c r="H138" s="1"/>
      <c r="M138" s="1"/>
      <c r="R138" s="3"/>
    </row>
    <row r="139" spans="1:18" ht="16.5" thickBot="1">
      <c r="A139" s="1"/>
      <c r="B139" s="56"/>
      <c r="C139" s="34"/>
      <c r="D139" s="56"/>
      <c r="E139" s="59"/>
      <c r="F139" s="59"/>
      <c r="G139" s="34"/>
      <c r="H139" s="1"/>
      <c r="M139" s="1"/>
      <c r="R139" s="3"/>
    </row>
    <row r="140" spans="1:18" ht="16.5" thickBot="1">
      <c r="A140" s="1"/>
      <c r="B140" s="56">
        <f>SUM(B126:B139)</f>
        <v>37.5</v>
      </c>
      <c r="C140" s="34" t="s">
        <v>66</v>
      </c>
      <c r="D140" s="56">
        <f>SUM(D126:D139)</f>
        <v>42.5</v>
      </c>
      <c r="E140" s="56">
        <f>SUM(E126:E139)</f>
        <v>0</v>
      </c>
      <c r="F140" s="56">
        <f>SUM(F126:F139)</f>
        <v>0</v>
      </c>
      <c r="G140" s="34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89" t="str">
        <f>'2018'!A27</f>
        <v>Gatos</v>
      </c>
      <c r="C142" s="290"/>
      <c r="D142" s="290"/>
      <c r="E142" s="290"/>
      <c r="F142" s="290"/>
      <c r="G142" s="291"/>
      <c r="H142" s="1"/>
      <c r="M142" s="1"/>
      <c r="R142" s="3"/>
    </row>
    <row r="143" spans="1:18" ht="16.149999999999999" customHeight="1" thickBot="1">
      <c r="A143" s="1"/>
      <c r="B143" s="292"/>
      <c r="C143" s="293"/>
      <c r="D143" s="293"/>
      <c r="E143" s="293"/>
      <c r="F143" s="293"/>
      <c r="G143" s="294"/>
      <c r="H143" s="1"/>
      <c r="M143" s="1"/>
      <c r="R143" s="3"/>
    </row>
    <row r="144" spans="1:18" ht="15.75">
      <c r="A144" s="1"/>
      <c r="B144" s="297" t="s">
        <v>10</v>
      </c>
      <c r="C144" s="296"/>
      <c r="D144" s="295" t="s">
        <v>11</v>
      </c>
      <c r="E144" s="295"/>
      <c r="F144" s="295"/>
      <c r="G144" s="296"/>
      <c r="H144" s="1"/>
      <c r="M144" s="1"/>
      <c r="R144" s="3"/>
    </row>
    <row r="145" spans="1:22" ht="15.75">
      <c r="A145" s="1"/>
      <c r="B145" s="52" t="s">
        <v>32</v>
      </c>
      <c r="C145" s="60" t="s">
        <v>33</v>
      </c>
      <c r="D145" s="52" t="s">
        <v>68</v>
      </c>
      <c r="E145" s="53" t="s">
        <v>69</v>
      </c>
      <c r="F145" s="53" t="s">
        <v>32</v>
      </c>
      <c r="G145" s="60" t="s">
        <v>33</v>
      </c>
      <c r="H145" s="1"/>
      <c r="M145" s="1"/>
      <c r="R145" s="3"/>
    </row>
    <row r="146" spans="1:22" ht="15.75">
      <c r="A146" s="1"/>
      <c r="B146" s="54">
        <v>60</v>
      </c>
      <c r="C146" s="36" t="s">
        <v>43</v>
      </c>
      <c r="D146" s="57">
        <v>44.73</v>
      </c>
      <c r="E146" s="58"/>
      <c r="F146" s="58"/>
      <c r="G146" s="33" t="s">
        <v>48</v>
      </c>
      <c r="H146" s="1"/>
      <c r="M146" s="1"/>
      <c r="R146" s="3"/>
    </row>
    <row r="147" spans="1:22" ht="15.75">
      <c r="A147" s="1"/>
      <c r="B147" s="55"/>
      <c r="C147" s="33"/>
      <c r="D147" s="57"/>
      <c r="E147" s="58"/>
      <c r="F147" s="58"/>
      <c r="G147" s="33" t="s">
        <v>61</v>
      </c>
      <c r="H147" s="1"/>
      <c r="M147" s="1"/>
      <c r="R147" s="3"/>
    </row>
    <row r="148" spans="1:22" ht="15.75">
      <c r="A148" s="1"/>
      <c r="B148" s="55"/>
      <c r="C148" s="33"/>
      <c r="D148" s="57"/>
      <c r="E148" s="58"/>
      <c r="F148" s="58"/>
      <c r="G148" s="33" t="s">
        <v>47</v>
      </c>
      <c r="H148" s="1"/>
      <c r="M148" s="1"/>
      <c r="R148" s="3"/>
    </row>
    <row r="149" spans="1:22" ht="15.75">
      <c r="A149" s="1"/>
      <c r="B149" s="55"/>
      <c r="C149" s="33"/>
      <c r="D149" s="57"/>
      <c r="E149" s="58"/>
      <c r="F149" s="58"/>
      <c r="G149" s="33"/>
      <c r="H149" s="1"/>
      <c r="M149" s="1"/>
      <c r="R149" s="3"/>
    </row>
    <row r="150" spans="1:22" ht="15.75">
      <c r="A150" s="1"/>
      <c r="B150" s="55"/>
      <c r="C150" s="33"/>
      <c r="D150" s="57"/>
      <c r="E150" s="58"/>
      <c r="F150" s="58"/>
      <c r="G150" s="33"/>
      <c r="H150" s="1"/>
      <c r="M150" s="1"/>
      <c r="R150" s="3"/>
    </row>
    <row r="151" spans="1:22" ht="15.75">
      <c r="A151" s="1"/>
      <c r="B151" s="55"/>
      <c r="C151" s="33"/>
      <c r="D151" s="57"/>
      <c r="E151" s="58"/>
      <c r="F151" s="58"/>
      <c r="G151" s="33"/>
      <c r="H151" s="1"/>
      <c r="M151" s="1"/>
      <c r="R151" s="3"/>
    </row>
    <row r="152" spans="1:22" ht="15.75">
      <c r="A152" s="1"/>
      <c r="B152" s="55"/>
      <c r="C152" s="33"/>
      <c r="D152" s="57"/>
      <c r="E152" s="58"/>
      <c r="F152" s="58"/>
      <c r="G152" s="33"/>
      <c r="H152" s="1"/>
      <c r="M152" s="1"/>
      <c r="R152" s="3"/>
    </row>
    <row r="153" spans="1:22" ht="15.75">
      <c r="A153" s="1"/>
      <c r="B153" s="55"/>
      <c r="C153" s="33"/>
      <c r="D153" s="57"/>
      <c r="E153" s="58"/>
      <c r="F153" s="58"/>
      <c r="G153" s="33"/>
      <c r="H153" s="1"/>
      <c r="M153" s="1"/>
      <c r="R153" s="3"/>
    </row>
    <row r="154" spans="1:22" ht="15.75">
      <c r="A154" s="1"/>
      <c r="B154" s="55"/>
      <c r="C154" s="33"/>
      <c r="D154" s="57"/>
      <c r="E154" s="58"/>
      <c r="F154" s="58"/>
      <c r="G154" s="33"/>
      <c r="H154" s="1"/>
      <c r="M154" s="1"/>
      <c r="R154" s="3"/>
    </row>
    <row r="155" spans="1:22" ht="15.75">
      <c r="A155" s="1"/>
      <c r="B155" s="55"/>
      <c r="C155" s="33"/>
      <c r="D155" s="57"/>
      <c r="E155" s="58"/>
      <c r="F155" s="58"/>
      <c r="G155" s="33"/>
      <c r="H155" s="1"/>
      <c r="M155" s="1"/>
      <c r="R155" s="3"/>
    </row>
    <row r="156" spans="1:22" ht="15.75">
      <c r="A156" s="1"/>
      <c r="B156" s="55"/>
      <c r="C156" s="33"/>
      <c r="D156" s="57"/>
      <c r="E156" s="58"/>
      <c r="F156" s="58"/>
      <c r="G156" s="33"/>
      <c r="H156" s="1"/>
      <c r="M156" s="1"/>
      <c r="R156" s="3"/>
    </row>
    <row r="157" spans="1:22" ht="15.75">
      <c r="A157" s="1"/>
      <c r="B157" s="55"/>
      <c r="C157" s="33"/>
      <c r="D157" s="57"/>
      <c r="E157" s="58"/>
      <c r="F157" s="58"/>
      <c r="G157" s="33"/>
      <c r="H157" s="1"/>
      <c r="M157" s="1"/>
      <c r="R157" s="3"/>
    </row>
    <row r="158" spans="1:22" ht="15.75">
      <c r="A158" s="1"/>
      <c r="B158" s="55"/>
      <c r="C158" s="33"/>
      <c r="D158" s="57"/>
      <c r="E158" s="58"/>
      <c r="F158" s="58"/>
      <c r="G158" s="33"/>
      <c r="H158" s="1"/>
      <c r="M158" s="1"/>
      <c r="R158" s="3"/>
    </row>
    <row r="159" spans="1:22" ht="16.5" thickBot="1">
      <c r="A159" s="1"/>
      <c r="B159" s="56"/>
      <c r="C159" s="34"/>
      <c r="D159" s="56"/>
      <c r="E159" s="59"/>
      <c r="F159" s="59"/>
      <c r="G159" s="34"/>
      <c r="H159" s="1"/>
      <c r="M159" s="1"/>
      <c r="R159" s="3"/>
    </row>
    <row r="160" spans="1:22" ht="16.5" thickBot="1">
      <c r="A160" s="1"/>
      <c r="B160" s="56">
        <f>SUM(B146:B159)</f>
        <v>60</v>
      </c>
      <c r="C160" s="34" t="s">
        <v>66</v>
      </c>
      <c r="D160" s="56">
        <f>SUM(D146:D159)</f>
        <v>44.73</v>
      </c>
      <c r="E160" s="56">
        <f>SUM(E146:E159)</f>
        <v>0</v>
      </c>
      <c r="F160" s="56">
        <f>SUM(F146:F159)</f>
        <v>0</v>
      </c>
      <c r="G160" s="34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89" t="str">
        <f>'2018'!A28</f>
        <v>Vacaciones</v>
      </c>
      <c r="C162" s="290"/>
      <c r="D162" s="290"/>
      <c r="E162" s="290"/>
      <c r="F162" s="290"/>
      <c r="G162" s="29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92"/>
      <c r="C163" s="293"/>
      <c r="D163" s="293"/>
      <c r="E163" s="293"/>
      <c r="F163" s="293"/>
      <c r="G163" s="294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97" t="s">
        <v>10</v>
      </c>
      <c r="C164" s="296"/>
      <c r="D164" s="295" t="s">
        <v>11</v>
      </c>
      <c r="E164" s="295"/>
      <c r="F164" s="295"/>
      <c r="G164" s="29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52" t="s">
        <v>32</v>
      </c>
      <c r="C165" s="60" t="s">
        <v>33</v>
      </c>
      <c r="D165" s="52" t="s">
        <v>68</v>
      </c>
      <c r="E165" s="53" t="s">
        <v>69</v>
      </c>
      <c r="F165" s="53" t="s">
        <v>32</v>
      </c>
      <c r="G165" s="60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54">
        <v>200</v>
      </c>
      <c r="C166" s="36" t="s">
        <v>36</v>
      </c>
      <c r="D166" s="57"/>
      <c r="E166" s="58">
        <f>25</f>
        <v>25</v>
      </c>
      <c r="F166" s="58"/>
      <c r="G166" s="33" t="s">
        <v>317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55"/>
      <c r="C167" s="33"/>
      <c r="D167" s="57">
        <f>25</f>
        <v>25</v>
      </c>
      <c r="E167" s="58"/>
      <c r="F167" s="58"/>
      <c r="G167" s="33" t="s">
        <v>327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55"/>
      <c r="C168" s="33"/>
      <c r="D168" s="57"/>
      <c r="E168" s="58"/>
      <c r="F168" s="58">
        <v>90</v>
      </c>
      <c r="G168" s="33" t="s">
        <v>332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55"/>
      <c r="C169" s="33"/>
      <c r="D169" s="57"/>
      <c r="E169" s="58"/>
      <c r="F169" s="58"/>
      <c r="G169" s="33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55"/>
      <c r="C170" s="33"/>
      <c r="D170" s="57"/>
      <c r="E170" s="58"/>
      <c r="F170" s="58"/>
      <c r="G170" s="33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55"/>
      <c r="C171" s="33"/>
      <c r="D171" s="57"/>
      <c r="E171" s="58"/>
      <c r="F171" s="58"/>
      <c r="G171" s="33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55"/>
      <c r="C172" s="33"/>
      <c r="D172" s="57"/>
      <c r="E172" s="58"/>
      <c r="F172" s="58"/>
      <c r="G172" s="33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55"/>
      <c r="C173" s="33"/>
      <c r="D173" s="57"/>
      <c r="E173" s="58"/>
      <c r="F173" s="58"/>
      <c r="G173" s="33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55"/>
      <c r="C174" s="33"/>
      <c r="D174" s="57"/>
      <c r="E174" s="58"/>
      <c r="F174" s="58"/>
      <c r="G174" s="33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55"/>
      <c r="C175" s="33"/>
      <c r="D175" s="57"/>
      <c r="E175" s="58"/>
      <c r="F175" s="58"/>
      <c r="G175" s="33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55"/>
      <c r="C176" s="33"/>
      <c r="D176" s="57"/>
      <c r="E176" s="58"/>
      <c r="F176" s="58"/>
      <c r="G176" s="33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55"/>
      <c r="C177" s="33"/>
      <c r="D177" s="57"/>
      <c r="E177" s="58"/>
      <c r="F177" s="58"/>
      <c r="G177" s="33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55"/>
      <c r="C178" s="33"/>
      <c r="D178" s="57"/>
      <c r="E178" s="58"/>
      <c r="F178" s="58"/>
      <c r="G178" s="33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56"/>
      <c r="C179" s="34"/>
      <c r="D179" s="56"/>
      <c r="E179" s="59"/>
      <c r="F179" s="59"/>
      <c r="G179" s="34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56">
        <f>SUM(B166:B179)</f>
        <v>200</v>
      </c>
      <c r="C180" s="34" t="s">
        <v>66</v>
      </c>
      <c r="D180" s="56">
        <f>SUM(D166:D179)</f>
        <v>25</v>
      </c>
      <c r="E180" s="56">
        <f>SUM(E166:E179)</f>
        <v>25</v>
      </c>
      <c r="F180" s="56">
        <f>SUM(F166:F179)</f>
        <v>90</v>
      </c>
      <c r="G180" s="34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89" t="str">
        <f>'2018'!A29</f>
        <v>Ropa</v>
      </c>
      <c r="C182" s="290"/>
      <c r="D182" s="290"/>
      <c r="E182" s="290"/>
      <c r="F182" s="290"/>
      <c r="G182" s="29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92"/>
      <c r="C183" s="293"/>
      <c r="D183" s="293"/>
      <c r="E183" s="293"/>
      <c r="F183" s="293"/>
      <c r="G183" s="294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97" t="s">
        <v>10</v>
      </c>
      <c r="C184" s="296"/>
      <c r="D184" s="295" t="s">
        <v>11</v>
      </c>
      <c r="E184" s="295"/>
      <c r="F184" s="295"/>
      <c r="G184" s="29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52" t="s">
        <v>32</v>
      </c>
      <c r="C185" s="60" t="s">
        <v>33</v>
      </c>
      <c r="D185" s="52" t="s">
        <v>68</v>
      </c>
      <c r="E185" s="53" t="s">
        <v>69</v>
      </c>
      <c r="F185" s="53" t="s">
        <v>32</v>
      </c>
      <c r="G185" s="60" t="s">
        <v>33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54">
        <v>50</v>
      </c>
      <c r="C186" s="36" t="s">
        <v>43</v>
      </c>
      <c r="D186" s="57">
        <f>5+7+1</f>
        <v>13</v>
      </c>
      <c r="E186" s="58"/>
      <c r="F186" s="58"/>
      <c r="G186" s="33" t="s">
        <v>47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55"/>
      <c r="C187" s="33"/>
      <c r="D187" s="57">
        <f>29.95+41.8</f>
        <v>71.75</v>
      </c>
      <c r="E187" s="58"/>
      <c r="F187" s="58"/>
      <c r="G187" s="33" t="s">
        <v>235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55"/>
      <c r="C188" s="33"/>
      <c r="D188" s="57">
        <f>69.42-D288</f>
        <v>39.42</v>
      </c>
      <c r="E188" s="58"/>
      <c r="F188" s="58"/>
      <c r="G188" s="33" t="s">
        <v>288</v>
      </c>
    </row>
    <row r="189" spans="1:22">
      <c r="B189" s="55"/>
      <c r="C189" s="33"/>
      <c r="D189" s="57"/>
      <c r="E189" s="58"/>
      <c r="F189" s="58">
        <v>20</v>
      </c>
      <c r="G189" s="33" t="s">
        <v>331</v>
      </c>
    </row>
    <row r="190" spans="1:22">
      <c r="B190" s="55"/>
      <c r="C190" s="33"/>
      <c r="D190" s="57"/>
      <c r="E190" s="58"/>
      <c r="F190" s="58"/>
      <c r="G190" s="33"/>
    </row>
    <row r="191" spans="1:22">
      <c r="B191" s="55"/>
      <c r="C191" s="33"/>
      <c r="D191" s="57"/>
      <c r="E191" s="58"/>
      <c r="F191" s="58"/>
      <c r="G191" s="33"/>
    </row>
    <row r="192" spans="1:22">
      <c r="B192" s="55"/>
      <c r="C192" s="33"/>
      <c r="D192" s="57"/>
      <c r="E192" s="58"/>
      <c r="F192" s="58"/>
      <c r="G192" s="33"/>
    </row>
    <row r="193" spans="2:7">
      <c r="B193" s="55"/>
      <c r="C193" s="33"/>
      <c r="D193" s="57"/>
      <c r="E193" s="58"/>
      <c r="F193" s="58"/>
      <c r="G193" s="33"/>
    </row>
    <row r="194" spans="2:7">
      <c r="B194" s="55"/>
      <c r="C194" s="33"/>
      <c r="D194" s="57"/>
      <c r="E194" s="58"/>
      <c r="F194" s="58"/>
      <c r="G194" s="33"/>
    </row>
    <row r="195" spans="2:7">
      <c r="B195" s="55"/>
      <c r="C195" s="33"/>
      <c r="D195" s="57"/>
      <c r="E195" s="58"/>
      <c r="F195" s="58"/>
      <c r="G195" s="33"/>
    </row>
    <row r="196" spans="2:7">
      <c r="B196" s="55"/>
      <c r="C196" s="33"/>
      <c r="D196" s="57"/>
      <c r="E196" s="58"/>
      <c r="F196" s="58"/>
      <c r="G196" s="33"/>
    </row>
    <row r="197" spans="2:7">
      <c r="B197" s="55"/>
      <c r="C197" s="33"/>
      <c r="D197" s="57"/>
      <c r="E197" s="58"/>
      <c r="F197" s="58"/>
      <c r="G197" s="33"/>
    </row>
    <row r="198" spans="2:7">
      <c r="B198" s="55"/>
      <c r="C198" s="33"/>
      <c r="D198" s="57"/>
      <c r="E198" s="58"/>
      <c r="F198" s="58"/>
      <c r="G198" s="33"/>
    </row>
    <row r="199" spans="2:7" ht="15.75" thickBot="1">
      <c r="B199" s="56"/>
      <c r="C199" s="34"/>
      <c r="D199" s="56"/>
      <c r="E199" s="59"/>
      <c r="F199" s="59"/>
      <c r="G199" s="34"/>
    </row>
    <row r="200" spans="2:7" ht="15.75" thickBot="1">
      <c r="B200" s="56">
        <f>SUM(B186:B199)</f>
        <v>50</v>
      </c>
      <c r="C200" s="34" t="s">
        <v>66</v>
      </c>
      <c r="D200" s="56">
        <f>SUM(D186:D199)</f>
        <v>124.17</v>
      </c>
      <c r="E200" s="56">
        <f>SUM(E186:E199)</f>
        <v>0</v>
      </c>
      <c r="F200" s="56">
        <f>SUM(F186:F199)</f>
        <v>20</v>
      </c>
      <c r="G200" s="34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89" t="str">
        <f>'2018'!A30</f>
        <v>Belleza</v>
      </c>
      <c r="C202" s="290"/>
      <c r="D202" s="290"/>
      <c r="E202" s="290"/>
      <c r="F202" s="290"/>
      <c r="G202" s="291"/>
    </row>
    <row r="203" spans="2:7" ht="15" customHeight="1" thickBot="1">
      <c r="B203" s="292"/>
      <c r="C203" s="293"/>
      <c r="D203" s="293"/>
      <c r="E203" s="293"/>
      <c r="F203" s="293"/>
      <c r="G203" s="294"/>
    </row>
    <row r="204" spans="2:7">
      <c r="B204" s="297" t="s">
        <v>10</v>
      </c>
      <c r="C204" s="296"/>
      <c r="D204" s="295" t="s">
        <v>11</v>
      </c>
      <c r="E204" s="295"/>
      <c r="F204" s="295"/>
      <c r="G204" s="296"/>
    </row>
    <row r="205" spans="2:7">
      <c r="B205" s="52" t="s">
        <v>32</v>
      </c>
      <c r="C205" s="60" t="s">
        <v>33</v>
      </c>
      <c r="D205" s="52" t="s">
        <v>68</v>
      </c>
      <c r="E205" s="53" t="s">
        <v>69</v>
      </c>
      <c r="F205" s="53" t="s">
        <v>32</v>
      </c>
      <c r="G205" s="60" t="s">
        <v>33</v>
      </c>
    </row>
    <row r="206" spans="2:7">
      <c r="B206" s="54">
        <v>35</v>
      </c>
      <c r="C206" s="36"/>
      <c r="D206" s="57"/>
      <c r="E206" s="58"/>
      <c r="F206" s="58"/>
      <c r="G206" s="33"/>
    </row>
    <row r="207" spans="2:7">
      <c r="B207" s="55"/>
      <c r="C207" s="33"/>
      <c r="D207" s="57"/>
      <c r="E207" s="58"/>
      <c r="F207" s="58">
        <v>40</v>
      </c>
      <c r="G207" s="33" t="s">
        <v>332</v>
      </c>
    </row>
    <row r="208" spans="2:7">
      <c r="B208" s="55"/>
      <c r="C208" s="33"/>
      <c r="D208" s="57"/>
      <c r="E208" s="58"/>
      <c r="F208" s="58"/>
      <c r="G208" s="33"/>
    </row>
    <row r="209" spans="2:7">
      <c r="B209" s="55"/>
      <c r="C209" s="33"/>
      <c r="D209" s="57"/>
      <c r="E209" s="58"/>
      <c r="F209" s="58"/>
      <c r="G209" s="33"/>
    </row>
    <row r="210" spans="2:7">
      <c r="B210" s="55"/>
      <c r="C210" s="33"/>
      <c r="D210" s="57"/>
      <c r="E210" s="58"/>
      <c r="F210" s="58"/>
      <c r="G210" s="33"/>
    </row>
    <row r="211" spans="2:7">
      <c r="B211" s="55"/>
      <c r="C211" s="33"/>
      <c r="D211" s="57"/>
      <c r="E211" s="58"/>
      <c r="F211" s="58"/>
      <c r="G211" s="33"/>
    </row>
    <row r="212" spans="2:7">
      <c r="B212" s="55"/>
      <c r="C212" s="33"/>
      <c r="D212" s="57"/>
      <c r="E212" s="58"/>
      <c r="F212" s="58"/>
      <c r="G212" s="33"/>
    </row>
    <row r="213" spans="2:7">
      <c r="B213" s="55"/>
      <c r="C213" s="33"/>
      <c r="D213" s="57"/>
      <c r="E213" s="58"/>
      <c r="F213" s="58"/>
      <c r="G213" s="33"/>
    </row>
    <row r="214" spans="2:7">
      <c r="B214" s="55"/>
      <c r="C214" s="33"/>
      <c r="D214" s="57"/>
      <c r="E214" s="58"/>
      <c r="F214" s="58"/>
      <c r="G214" s="33"/>
    </row>
    <row r="215" spans="2:7">
      <c r="B215" s="55"/>
      <c r="C215" s="33"/>
      <c r="D215" s="57"/>
      <c r="E215" s="58"/>
      <c r="F215" s="58"/>
      <c r="G215" s="33"/>
    </row>
    <row r="216" spans="2:7">
      <c r="B216" s="55"/>
      <c r="C216" s="33"/>
      <c r="D216" s="57"/>
      <c r="E216" s="58"/>
      <c r="F216" s="58"/>
      <c r="G216" s="33"/>
    </row>
    <row r="217" spans="2:7">
      <c r="B217" s="55"/>
      <c r="C217" s="33"/>
      <c r="D217" s="57"/>
      <c r="E217" s="58"/>
      <c r="F217" s="58"/>
      <c r="G217" s="33"/>
    </row>
    <row r="218" spans="2:7">
      <c r="B218" s="55"/>
      <c r="C218" s="33"/>
      <c r="D218" s="57"/>
      <c r="E218" s="58"/>
      <c r="F218" s="58"/>
      <c r="G218" s="33"/>
    </row>
    <row r="219" spans="2:7" ht="15.75" thickBot="1">
      <c r="B219" s="56"/>
      <c r="C219" s="34"/>
      <c r="D219" s="56"/>
      <c r="E219" s="59"/>
      <c r="F219" s="59"/>
      <c r="G219" s="34"/>
    </row>
    <row r="220" spans="2:7" ht="15.75" thickBot="1">
      <c r="B220" s="56">
        <f>SUM(B206:B219)</f>
        <v>35</v>
      </c>
      <c r="C220" s="34" t="s">
        <v>66</v>
      </c>
      <c r="D220" s="56">
        <f>SUM(D206:D219)</f>
        <v>0</v>
      </c>
      <c r="E220" s="56">
        <f>SUM(E206:E219)</f>
        <v>0</v>
      </c>
      <c r="F220" s="56">
        <f>SUM(F206:F219)</f>
        <v>40</v>
      </c>
      <c r="G220" s="34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89" t="str">
        <f>'2018'!A31</f>
        <v>Deportes</v>
      </c>
      <c r="C222" s="290"/>
      <c r="D222" s="290"/>
      <c r="E222" s="290"/>
      <c r="F222" s="290"/>
      <c r="G222" s="291"/>
    </row>
    <row r="223" spans="2:7" ht="15" customHeight="1" thickBot="1">
      <c r="B223" s="292"/>
      <c r="C223" s="293"/>
      <c r="D223" s="293"/>
      <c r="E223" s="293"/>
      <c r="F223" s="293"/>
      <c r="G223" s="294"/>
    </row>
    <row r="224" spans="2:7">
      <c r="B224" s="297" t="s">
        <v>10</v>
      </c>
      <c r="C224" s="296"/>
      <c r="D224" s="295" t="s">
        <v>11</v>
      </c>
      <c r="E224" s="295"/>
      <c r="F224" s="295"/>
      <c r="G224" s="296"/>
    </row>
    <row r="225" spans="2:7">
      <c r="B225" s="52" t="s">
        <v>32</v>
      </c>
      <c r="C225" s="60" t="s">
        <v>33</v>
      </c>
      <c r="D225" s="52" t="s">
        <v>68</v>
      </c>
      <c r="E225" s="53" t="s">
        <v>69</v>
      </c>
      <c r="F225" s="53" t="s">
        <v>32</v>
      </c>
      <c r="G225" s="60" t="s">
        <v>33</v>
      </c>
    </row>
    <row r="226" spans="2:7">
      <c r="B226" s="54">
        <v>20</v>
      </c>
      <c r="C226" s="36" t="s">
        <v>50</v>
      </c>
      <c r="D226" s="57">
        <v>20</v>
      </c>
      <c r="E226" s="58"/>
      <c r="F226" s="58"/>
      <c r="G226" s="58" t="s">
        <v>50</v>
      </c>
    </row>
    <row r="227" spans="2:7">
      <c r="B227" s="55">
        <v>60</v>
      </c>
      <c r="C227" s="33" t="s">
        <v>102</v>
      </c>
      <c r="D227" s="57"/>
      <c r="E227" s="58"/>
      <c r="F227" s="58">
        <v>180</v>
      </c>
      <c r="G227" s="33" t="s">
        <v>319</v>
      </c>
    </row>
    <row r="228" spans="2:7">
      <c r="B228" s="55">
        <v>5</v>
      </c>
      <c r="C228" s="33" t="s">
        <v>46</v>
      </c>
      <c r="D228" s="57"/>
      <c r="E228" s="58"/>
      <c r="F228" s="58"/>
      <c r="G228" s="33"/>
    </row>
    <row r="229" spans="2:7">
      <c r="B229" s="55"/>
      <c r="C229" s="33"/>
      <c r="D229" s="57"/>
      <c r="E229" s="58"/>
      <c r="F229" s="58"/>
      <c r="G229" s="33"/>
    </row>
    <row r="230" spans="2:7">
      <c r="B230" s="55"/>
      <c r="C230" s="33"/>
      <c r="D230" s="57"/>
      <c r="E230" s="58"/>
      <c r="F230" s="58"/>
      <c r="G230" s="33"/>
    </row>
    <row r="231" spans="2:7">
      <c r="B231" s="55"/>
      <c r="C231" s="33"/>
      <c r="D231" s="57"/>
      <c r="E231" s="58"/>
      <c r="F231" s="58"/>
      <c r="G231" s="33"/>
    </row>
    <row r="232" spans="2:7">
      <c r="B232" s="55"/>
      <c r="C232" s="33"/>
      <c r="D232" s="57"/>
      <c r="E232" s="58"/>
      <c r="F232" s="58"/>
      <c r="G232" s="33"/>
    </row>
    <row r="233" spans="2:7">
      <c r="B233" s="55"/>
      <c r="C233" s="33"/>
      <c r="D233" s="57"/>
      <c r="E233" s="58"/>
      <c r="F233" s="58"/>
      <c r="G233" s="33"/>
    </row>
    <row r="234" spans="2:7">
      <c r="B234" s="55"/>
      <c r="C234" s="33"/>
      <c r="D234" s="57"/>
      <c r="E234" s="58"/>
      <c r="F234" s="58"/>
      <c r="G234" s="33"/>
    </row>
    <row r="235" spans="2:7">
      <c r="B235" s="55"/>
      <c r="C235" s="33"/>
      <c r="D235" s="57"/>
      <c r="E235" s="58"/>
      <c r="F235" s="58"/>
      <c r="G235" s="33"/>
    </row>
    <row r="236" spans="2:7">
      <c r="B236" s="55"/>
      <c r="C236" s="33"/>
      <c r="D236" s="57"/>
      <c r="E236" s="58"/>
      <c r="F236" s="58"/>
      <c r="G236" s="33"/>
    </row>
    <row r="237" spans="2:7">
      <c r="B237" s="55"/>
      <c r="C237" s="33"/>
      <c r="D237" s="57"/>
      <c r="E237" s="58"/>
      <c r="F237" s="58"/>
      <c r="G237" s="33"/>
    </row>
    <row r="238" spans="2:7">
      <c r="B238" s="55"/>
      <c r="C238" s="33"/>
      <c r="D238" s="57"/>
      <c r="E238" s="58"/>
      <c r="F238" s="58"/>
      <c r="G238" s="33"/>
    </row>
    <row r="239" spans="2:7" ht="15.75" thickBot="1">
      <c r="B239" s="56"/>
      <c r="C239" s="34"/>
      <c r="D239" s="56"/>
      <c r="E239" s="59"/>
      <c r="F239" s="59"/>
      <c r="G239" s="34"/>
    </row>
    <row r="240" spans="2:7" ht="15.75" thickBot="1">
      <c r="B240" s="56">
        <f>SUM(B226:B239)</f>
        <v>85</v>
      </c>
      <c r="C240" s="34" t="s">
        <v>66</v>
      </c>
      <c r="D240" s="56">
        <f>SUM(D226:D239)</f>
        <v>20</v>
      </c>
      <c r="E240" s="56">
        <f>SUM(E226:E239)</f>
        <v>0</v>
      </c>
      <c r="F240" s="56">
        <f>SUM(F226:F239)</f>
        <v>180</v>
      </c>
      <c r="G240" s="34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89" t="str">
        <f>'2018'!A32</f>
        <v>Hogar</v>
      </c>
      <c r="C242" s="290"/>
      <c r="D242" s="290"/>
      <c r="E242" s="290"/>
      <c r="F242" s="290"/>
      <c r="G242" s="291"/>
    </row>
    <row r="243" spans="2:7" ht="15" customHeight="1" thickBot="1">
      <c r="B243" s="292"/>
      <c r="C243" s="293"/>
      <c r="D243" s="293"/>
      <c r="E243" s="293"/>
      <c r="F243" s="293"/>
      <c r="G243" s="294"/>
    </row>
    <row r="244" spans="2:7" ht="15" customHeight="1">
      <c r="B244" s="297" t="s">
        <v>10</v>
      </c>
      <c r="C244" s="296"/>
      <c r="D244" s="295" t="s">
        <v>11</v>
      </c>
      <c r="E244" s="295"/>
      <c r="F244" s="295"/>
      <c r="G244" s="296"/>
    </row>
    <row r="245" spans="2:7" ht="15" customHeight="1">
      <c r="B245" s="52" t="s">
        <v>32</v>
      </c>
      <c r="C245" s="60" t="s">
        <v>33</v>
      </c>
      <c r="D245" s="52" t="s">
        <v>68</v>
      </c>
      <c r="E245" s="53" t="s">
        <v>69</v>
      </c>
      <c r="F245" s="53" t="s">
        <v>32</v>
      </c>
      <c r="G245" s="60" t="s">
        <v>33</v>
      </c>
    </row>
    <row r="246" spans="2:7" ht="15" customHeight="1">
      <c r="B246" s="55">
        <v>70</v>
      </c>
      <c r="C246" s="66"/>
      <c r="D246" s="57"/>
      <c r="E246" s="58"/>
      <c r="F246" s="58"/>
      <c r="G246" s="33" t="s">
        <v>47</v>
      </c>
    </row>
    <row r="247" spans="2:7" ht="15" customHeight="1">
      <c r="B247" s="55"/>
      <c r="C247" s="33"/>
      <c r="D247" s="57">
        <f>48.34-D287-D167</f>
        <v>13.340000000000003</v>
      </c>
      <c r="E247" s="58"/>
      <c r="F247" s="58"/>
      <c r="G247" s="33" t="s">
        <v>98</v>
      </c>
    </row>
    <row r="248" spans="2:7">
      <c r="B248" s="55"/>
      <c r="C248" s="33"/>
      <c r="D248" s="57"/>
      <c r="E248" s="58"/>
      <c r="F248" s="58"/>
      <c r="G248" s="33" t="s">
        <v>120</v>
      </c>
    </row>
    <row r="249" spans="2:7">
      <c r="B249" s="55"/>
      <c r="C249" s="33"/>
      <c r="D249" s="57"/>
      <c r="E249" s="58"/>
      <c r="F249" s="58"/>
      <c r="G249" s="33" t="s">
        <v>205</v>
      </c>
    </row>
    <row r="250" spans="2:7">
      <c r="B250" s="55"/>
      <c r="C250" s="33"/>
      <c r="D250" s="57">
        <f>13.18</f>
        <v>13.18</v>
      </c>
      <c r="E250" s="58"/>
      <c r="F250" s="58"/>
      <c r="G250" s="33" t="s">
        <v>111</v>
      </c>
    </row>
    <row r="251" spans="2:7">
      <c r="B251" s="55"/>
      <c r="C251" s="33"/>
      <c r="D251" s="57"/>
      <c r="E251" s="58"/>
      <c r="F251" s="58"/>
      <c r="G251" s="33"/>
    </row>
    <row r="252" spans="2:7">
      <c r="B252" s="55"/>
      <c r="C252" s="33"/>
      <c r="D252" s="57"/>
      <c r="E252" s="58"/>
      <c r="F252" s="58"/>
      <c r="G252" s="33"/>
    </row>
    <row r="253" spans="2:7">
      <c r="B253" s="55"/>
      <c r="C253" s="33"/>
      <c r="D253" s="57"/>
      <c r="E253" s="58"/>
      <c r="F253" s="58"/>
      <c r="G253" s="33"/>
    </row>
    <row r="254" spans="2:7">
      <c r="B254" s="55"/>
      <c r="C254" s="33"/>
      <c r="D254" s="57"/>
      <c r="E254" s="58"/>
      <c r="F254" s="58"/>
      <c r="G254" s="33"/>
    </row>
    <row r="255" spans="2:7">
      <c r="B255" s="55"/>
      <c r="C255" s="33"/>
      <c r="D255" s="57"/>
      <c r="E255" s="58"/>
      <c r="F255" s="58"/>
      <c r="G255" s="33"/>
    </row>
    <row r="256" spans="2:7">
      <c r="B256" s="55"/>
      <c r="C256" s="33"/>
      <c r="D256" s="57"/>
      <c r="E256" s="58"/>
      <c r="F256" s="58"/>
      <c r="G256" s="33"/>
    </row>
    <row r="257" spans="2:7">
      <c r="B257" s="55"/>
      <c r="C257" s="33"/>
      <c r="D257" s="57"/>
      <c r="E257" s="58"/>
      <c r="F257" s="58"/>
      <c r="G257" s="33"/>
    </row>
    <row r="258" spans="2:7">
      <c r="B258" s="55"/>
      <c r="C258" s="33"/>
      <c r="D258" s="57"/>
      <c r="E258" s="58"/>
      <c r="F258" s="58"/>
      <c r="G258" s="33"/>
    </row>
    <row r="259" spans="2:7" ht="15.75" thickBot="1">
      <c r="B259" s="56"/>
      <c r="C259" s="34"/>
      <c r="D259" s="56"/>
      <c r="E259" s="59"/>
      <c r="F259" s="59"/>
      <c r="G259" s="34"/>
    </row>
    <row r="260" spans="2:7" ht="15.75" thickBot="1">
      <c r="B260" s="56">
        <f>SUM(B246:B259)</f>
        <v>70</v>
      </c>
      <c r="C260" s="34" t="s">
        <v>66</v>
      </c>
      <c r="D260" s="56">
        <f>SUM(D246:D259)</f>
        <v>26.520000000000003</v>
      </c>
      <c r="E260" s="56">
        <f>SUM(E246:E259)</f>
        <v>0</v>
      </c>
      <c r="F260" s="56">
        <f>SUM(F246:F259)</f>
        <v>0</v>
      </c>
      <c r="G260" s="34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89" t="str">
        <f>'2018'!A33</f>
        <v>Formación</v>
      </c>
      <c r="C262" s="290"/>
      <c r="D262" s="290"/>
      <c r="E262" s="290"/>
      <c r="F262" s="290"/>
      <c r="G262" s="291"/>
    </row>
    <row r="263" spans="2:7" ht="15" customHeight="1" thickBot="1">
      <c r="B263" s="292"/>
      <c r="C263" s="293"/>
      <c r="D263" s="293"/>
      <c r="E263" s="293"/>
      <c r="F263" s="293"/>
      <c r="G263" s="294"/>
    </row>
    <row r="264" spans="2:7">
      <c r="B264" s="297" t="s">
        <v>10</v>
      </c>
      <c r="C264" s="296"/>
      <c r="D264" s="295" t="s">
        <v>11</v>
      </c>
      <c r="E264" s="295"/>
      <c r="F264" s="295"/>
      <c r="G264" s="296"/>
    </row>
    <row r="265" spans="2:7">
      <c r="B265" s="52" t="s">
        <v>32</v>
      </c>
      <c r="C265" s="60" t="s">
        <v>33</v>
      </c>
      <c r="D265" s="52" t="s">
        <v>68</v>
      </c>
      <c r="E265" s="53" t="s">
        <v>69</v>
      </c>
      <c r="F265" s="53" t="s">
        <v>32</v>
      </c>
      <c r="G265" s="60" t="s">
        <v>33</v>
      </c>
    </row>
    <row r="266" spans="2:7">
      <c r="B266" s="54">
        <v>20</v>
      </c>
      <c r="C266" s="36"/>
      <c r="D266" s="57"/>
      <c r="E266" s="58">
        <v>19.04</v>
      </c>
      <c r="F266" s="58"/>
      <c r="G266" s="33" t="s">
        <v>320</v>
      </c>
    </row>
    <row r="267" spans="2:7">
      <c r="B267" s="55"/>
      <c r="C267" s="33"/>
      <c r="D267" s="57">
        <f>12.5</f>
        <v>12.5</v>
      </c>
      <c r="E267" s="58"/>
      <c r="F267" s="58"/>
      <c r="G267" s="33" t="s">
        <v>322</v>
      </c>
    </row>
    <row r="268" spans="2:7">
      <c r="B268" s="55"/>
      <c r="C268" s="33"/>
      <c r="D268" s="57"/>
      <c r="E268" s="58"/>
      <c r="F268" s="58"/>
      <c r="G268" s="33"/>
    </row>
    <row r="269" spans="2:7">
      <c r="B269" s="55"/>
      <c r="C269" s="33"/>
      <c r="D269" s="57"/>
      <c r="E269" s="58"/>
      <c r="F269" s="58"/>
      <c r="G269" s="33"/>
    </row>
    <row r="270" spans="2:7">
      <c r="B270" s="55"/>
      <c r="C270" s="33"/>
      <c r="D270" s="57"/>
      <c r="E270" s="58"/>
      <c r="F270" s="58"/>
      <c r="G270" s="33"/>
    </row>
    <row r="271" spans="2:7">
      <c r="B271" s="55"/>
      <c r="C271" s="33"/>
      <c r="D271" s="57"/>
      <c r="E271" s="58"/>
      <c r="F271" s="58"/>
      <c r="G271" s="33"/>
    </row>
    <row r="272" spans="2:7">
      <c r="B272" s="55"/>
      <c r="C272" s="33"/>
      <c r="D272" s="57"/>
      <c r="E272" s="58"/>
      <c r="F272" s="58"/>
      <c r="G272" s="33"/>
    </row>
    <row r="273" spans="2:7">
      <c r="B273" s="55"/>
      <c r="C273" s="33"/>
      <c r="D273" s="57"/>
      <c r="E273" s="58"/>
      <c r="F273" s="58"/>
      <c r="G273" s="33"/>
    </row>
    <row r="274" spans="2:7">
      <c r="B274" s="55"/>
      <c r="C274" s="33"/>
      <c r="D274" s="57"/>
      <c r="E274" s="58"/>
      <c r="F274" s="58"/>
      <c r="G274" s="33"/>
    </row>
    <row r="275" spans="2:7">
      <c r="B275" s="55"/>
      <c r="C275" s="33"/>
      <c r="D275" s="57"/>
      <c r="E275" s="58"/>
      <c r="F275" s="58"/>
      <c r="G275" s="33"/>
    </row>
    <row r="276" spans="2:7">
      <c r="B276" s="55"/>
      <c r="C276" s="33"/>
      <c r="D276" s="57"/>
      <c r="E276" s="58"/>
      <c r="F276" s="58"/>
      <c r="G276" s="33"/>
    </row>
    <row r="277" spans="2:7">
      <c r="B277" s="55"/>
      <c r="C277" s="33"/>
      <c r="D277" s="57"/>
      <c r="E277" s="58"/>
      <c r="F277" s="58"/>
      <c r="G277" s="33"/>
    </row>
    <row r="278" spans="2:7">
      <c r="B278" s="55"/>
      <c r="C278" s="33"/>
      <c r="D278" s="57"/>
      <c r="E278" s="58"/>
      <c r="F278" s="58"/>
      <c r="G278" s="33"/>
    </row>
    <row r="279" spans="2:7" ht="15.75" thickBot="1">
      <c r="B279" s="56"/>
      <c r="C279" s="34"/>
      <c r="D279" s="56"/>
      <c r="E279" s="59"/>
      <c r="F279" s="59"/>
      <c r="G279" s="34"/>
    </row>
    <row r="280" spans="2:7" ht="15.75" thickBot="1">
      <c r="B280" s="56">
        <f>SUM(B266:B279)</f>
        <v>20</v>
      </c>
      <c r="C280" s="34" t="s">
        <v>66</v>
      </c>
      <c r="D280" s="56">
        <f>SUM(D266:D279)</f>
        <v>12.5</v>
      </c>
      <c r="E280" s="56">
        <f>SUM(E266:E279)</f>
        <v>19.04</v>
      </c>
      <c r="F280" s="56">
        <f>SUM(F266:F279)</f>
        <v>0</v>
      </c>
      <c r="G280" s="34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289" t="str">
        <f>'2018'!A34</f>
        <v>Regalos</v>
      </c>
      <c r="C282" s="290"/>
      <c r="D282" s="290"/>
      <c r="E282" s="290"/>
      <c r="F282" s="290"/>
      <c r="G282" s="291"/>
    </row>
    <row r="283" spans="2:7" ht="15" customHeight="1" thickBot="1">
      <c r="B283" s="292"/>
      <c r="C283" s="293"/>
      <c r="D283" s="293"/>
      <c r="E283" s="293"/>
      <c r="F283" s="293"/>
      <c r="G283" s="294"/>
    </row>
    <row r="284" spans="2:7">
      <c r="B284" s="297" t="s">
        <v>10</v>
      </c>
      <c r="C284" s="296"/>
      <c r="D284" s="295" t="s">
        <v>11</v>
      </c>
      <c r="E284" s="295"/>
      <c r="F284" s="295"/>
      <c r="G284" s="296"/>
    </row>
    <row r="285" spans="2:7">
      <c r="B285" s="52" t="s">
        <v>32</v>
      </c>
      <c r="C285" s="60" t="s">
        <v>33</v>
      </c>
      <c r="D285" s="52" t="s">
        <v>68</v>
      </c>
      <c r="E285" s="53" t="s">
        <v>69</v>
      </c>
      <c r="F285" s="53" t="s">
        <v>32</v>
      </c>
      <c r="G285" s="60" t="s">
        <v>33</v>
      </c>
    </row>
    <row r="286" spans="2:7">
      <c r="B286" s="54">
        <v>120</v>
      </c>
      <c r="C286" s="36" t="s">
        <v>36</v>
      </c>
      <c r="D286" s="57"/>
      <c r="E286" s="58">
        <v>35.090000000000003</v>
      </c>
      <c r="F286" s="58"/>
      <c r="G286" s="33" t="s">
        <v>316</v>
      </c>
    </row>
    <row r="287" spans="2:7">
      <c r="B287" s="55"/>
      <c r="C287" s="33"/>
      <c r="D287" s="57">
        <v>10</v>
      </c>
      <c r="E287" s="58"/>
      <c r="F287" s="58"/>
      <c r="G287" s="33" t="s">
        <v>98</v>
      </c>
    </row>
    <row r="288" spans="2:7">
      <c r="B288" s="55"/>
      <c r="C288" s="33"/>
      <c r="D288" s="57">
        <v>30</v>
      </c>
      <c r="E288" s="58"/>
      <c r="F288" s="58"/>
      <c r="G288" s="33" t="s">
        <v>288</v>
      </c>
    </row>
    <row r="289" spans="2:7">
      <c r="B289" s="55"/>
      <c r="C289" s="33"/>
      <c r="D289" s="57"/>
      <c r="E289" s="58"/>
      <c r="F289" s="58"/>
      <c r="G289" s="33"/>
    </row>
    <row r="290" spans="2:7">
      <c r="B290" s="55"/>
      <c r="C290" s="33"/>
      <c r="D290" s="57"/>
      <c r="E290" s="58"/>
      <c r="F290" s="58"/>
      <c r="G290" s="33"/>
    </row>
    <row r="291" spans="2:7">
      <c r="B291" s="55"/>
      <c r="C291" s="33"/>
      <c r="D291" s="57"/>
      <c r="E291" s="58"/>
      <c r="F291" s="58"/>
      <c r="G291" s="33"/>
    </row>
    <row r="292" spans="2:7">
      <c r="B292" s="55"/>
      <c r="C292" s="33"/>
      <c r="D292" s="57"/>
      <c r="E292" s="58"/>
      <c r="F292" s="58"/>
      <c r="G292" s="33"/>
    </row>
    <row r="293" spans="2:7">
      <c r="B293" s="55"/>
      <c r="C293" s="33"/>
      <c r="D293" s="57"/>
      <c r="E293" s="58"/>
      <c r="F293" s="58"/>
      <c r="G293" s="33"/>
    </row>
    <row r="294" spans="2:7">
      <c r="B294" s="55"/>
      <c r="C294" s="33"/>
      <c r="D294" s="57"/>
      <c r="E294" s="58"/>
      <c r="F294" s="58"/>
      <c r="G294" s="33"/>
    </row>
    <row r="295" spans="2:7">
      <c r="B295" s="55"/>
      <c r="C295" s="33"/>
      <c r="D295" s="57"/>
      <c r="E295" s="58"/>
      <c r="F295" s="58"/>
      <c r="G295" s="33"/>
    </row>
    <row r="296" spans="2:7">
      <c r="B296" s="55"/>
      <c r="C296" s="33"/>
      <c r="D296" s="57"/>
      <c r="E296" s="58"/>
      <c r="F296" s="58"/>
      <c r="G296" s="33"/>
    </row>
    <row r="297" spans="2:7">
      <c r="B297" s="55"/>
      <c r="C297" s="33"/>
      <c r="D297" s="57"/>
      <c r="E297" s="58"/>
      <c r="F297" s="58"/>
      <c r="G297" s="33"/>
    </row>
    <row r="298" spans="2:7">
      <c r="B298" s="55"/>
      <c r="C298" s="33"/>
      <c r="D298" s="57"/>
      <c r="E298" s="58"/>
      <c r="F298" s="58"/>
      <c r="G298" s="33"/>
    </row>
    <row r="299" spans="2:7" ht="15.75" thickBot="1">
      <c r="B299" s="56"/>
      <c r="C299" s="34"/>
      <c r="D299" s="56"/>
      <c r="E299" s="59"/>
      <c r="F299" s="59"/>
      <c r="G299" s="34"/>
    </row>
    <row r="300" spans="2:7" ht="15.75" thickBot="1">
      <c r="B300" s="56">
        <f>SUM(B286:B299)</f>
        <v>120</v>
      </c>
      <c r="C300" s="34" t="s">
        <v>66</v>
      </c>
      <c r="D300" s="56">
        <f>SUM(D286:D299)</f>
        <v>40</v>
      </c>
      <c r="E300" s="56">
        <f>SUM(E286:E299)</f>
        <v>35.090000000000003</v>
      </c>
      <c r="F300" s="56">
        <f>SUM(F286:F299)</f>
        <v>0</v>
      </c>
      <c r="G300" s="34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89" t="str">
        <f>'2018'!A35</f>
        <v>Salud</v>
      </c>
      <c r="C302" s="290"/>
      <c r="D302" s="290"/>
      <c r="E302" s="290"/>
      <c r="F302" s="290"/>
      <c r="G302" s="291"/>
    </row>
    <row r="303" spans="2:7" ht="15" customHeight="1" thickBot="1">
      <c r="B303" s="292"/>
      <c r="C303" s="293"/>
      <c r="D303" s="293"/>
      <c r="E303" s="293"/>
      <c r="F303" s="293"/>
      <c r="G303" s="294"/>
    </row>
    <row r="304" spans="2:7">
      <c r="B304" s="297" t="s">
        <v>10</v>
      </c>
      <c r="C304" s="296"/>
      <c r="D304" s="295" t="s">
        <v>11</v>
      </c>
      <c r="E304" s="295"/>
      <c r="F304" s="295"/>
      <c r="G304" s="296"/>
    </row>
    <row r="305" spans="2:7">
      <c r="B305" s="52" t="s">
        <v>32</v>
      </c>
      <c r="C305" s="60" t="s">
        <v>33</v>
      </c>
      <c r="D305" s="52" t="s">
        <v>68</v>
      </c>
      <c r="E305" s="53" t="s">
        <v>69</v>
      </c>
      <c r="F305" s="53" t="s">
        <v>32</v>
      </c>
      <c r="G305" s="60" t="s">
        <v>33</v>
      </c>
    </row>
    <row r="306" spans="2:7">
      <c r="B306" s="54">
        <v>100</v>
      </c>
      <c r="C306" s="36" t="s">
        <v>60</v>
      </c>
      <c r="D306" s="57"/>
      <c r="E306" s="58"/>
      <c r="F306" s="58"/>
      <c r="G306" s="33" t="s">
        <v>101</v>
      </c>
    </row>
    <row r="307" spans="2:7">
      <c r="B307" s="84"/>
      <c r="C307" s="66"/>
      <c r="D307" s="57">
        <f>161.13</f>
        <v>161.13</v>
      </c>
      <c r="E307" s="58"/>
      <c r="F307" s="58"/>
      <c r="G307" s="33" t="s">
        <v>97</v>
      </c>
    </row>
    <row r="308" spans="2:7">
      <c r="B308" s="84"/>
      <c r="C308" s="66"/>
      <c r="D308" s="57">
        <f>68.66+13.86</f>
        <v>82.52</v>
      </c>
      <c r="E308" s="58"/>
      <c r="F308" s="58"/>
      <c r="G308" s="33" t="s">
        <v>216</v>
      </c>
    </row>
    <row r="309" spans="2:7">
      <c r="B309" s="55"/>
      <c r="C309" s="33"/>
      <c r="D309" s="57"/>
      <c r="E309" s="58"/>
      <c r="F309" s="58"/>
      <c r="G309" s="33"/>
    </row>
    <row r="310" spans="2:7">
      <c r="B310" s="55"/>
      <c r="C310" s="33"/>
      <c r="D310" s="57"/>
      <c r="E310" s="58"/>
      <c r="F310" s="58"/>
      <c r="G310" s="33"/>
    </row>
    <row r="311" spans="2:7">
      <c r="B311" s="55"/>
      <c r="C311" s="33"/>
      <c r="D311" s="57"/>
      <c r="E311" s="58"/>
      <c r="F311" s="58"/>
      <c r="G311" s="33"/>
    </row>
    <row r="312" spans="2:7">
      <c r="B312" s="55"/>
      <c r="C312" s="33"/>
      <c r="D312" s="57"/>
      <c r="E312" s="58"/>
      <c r="F312" s="58"/>
      <c r="G312" s="33"/>
    </row>
    <row r="313" spans="2:7">
      <c r="B313" s="55"/>
      <c r="C313" s="33"/>
      <c r="D313" s="57"/>
      <c r="E313" s="58"/>
      <c r="F313" s="58"/>
      <c r="G313" s="33"/>
    </row>
    <row r="314" spans="2:7">
      <c r="B314" s="55"/>
      <c r="C314" s="33"/>
      <c r="D314" s="57"/>
      <c r="E314" s="58"/>
      <c r="F314" s="58"/>
      <c r="G314" s="33"/>
    </row>
    <row r="315" spans="2:7">
      <c r="B315" s="55"/>
      <c r="C315" s="33"/>
      <c r="D315" s="57"/>
      <c r="E315" s="58"/>
      <c r="F315" s="58"/>
      <c r="G315" s="33"/>
    </row>
    <row r="316" spans="2:7">
      <c r="B316" s="55"/>
      <c r="C316" s="33"/>
      <c r="D316" s="57"/>
      <c r="E316" s="58"/>
      <c r="F316" s="58"/>
      <c r="G316" s="33"/>
    </row>
    <row r="317" spans="2:7">
      <c r="B317" s="55"/>
      <c r="C317" s="33"/>
      <c r="D317" s="57"/>
      <c r="E317" s="58"/>
      <c r="F317" s="58"/>
      <c r="G317" s="33"/>
    </row>
    <row r="318" spans="2:7">
      <c r="B318" s="55"/>
      <c r="C318" s="33"/>
      <c r="D318" s="57"/>
      <c r="E318" s="58"/>
      <c r="F318" s="58"/>
      <c r="G318" s="33"/>
    </row>
    <row r="319" spans="2:7" ht="15.75" thickBot="1">
      <c r="B319" s="56"/>
      <c r="C319" s="34"/>
      <c r="D319" s="56"/>
      <c r="E319" s="59"/>
      <c r="F319" s="59"/>
      <c r="G319" s="34"/>
    </row>
    <row r="320" spans="2:7" ht="15.75" thickBot="1">
      <c r="B320" s="56">
        <f>SUM(B306:B319)</f>
        <v>100</v>
      </c>
      <c r="C320" s="34" t="s">
        <v>66</v>
      </c>
      <c r="D320" s="56">
        <f>SUM(D306:D319)</f>
        <v>243.64999999999998</v>
      </c>
      <c r="E320" s="56">
        <f>SUM(E306:E319)</f>
        <v>0</v>
      </c>
      <c r="F320" s="56">
        <f>SUM(F306:F319)</f>
        <v>0</v>
      </c>
      <c r="G320" s="34" t="s">
        <v>66</v>
      </c>
    </row>
    <row r="321" spans="2:7" ht="15.75" thickBot="1"/>
    <row r="322" spans="2:7" ht="14.45" customHeight="1">
      <c r="B322" s="289" t="str">
        <f>'2018'!A36</f>
        <v>Martina</v>
      </c>
      <c r="C322" s="290"/>
      <c r="D322" s="290"/>
      <c r="E322" s="290"/>
      <c r="F322" s="290"/>
      <c r="G322" s="291"/>
    </row>
    <row r="323" spans="2:7" ht="15" customHeight="1" thickBot="1">
      <c r="B323" s="292"/>
      <c r="C323" s="293"/>
      <c r="D323" s="293"/>
      <c r="E323" s="293"/>
      <c r="F323" s="293"/>
      <c r="G323" s="294"/>
    </row>
    <row r="324" spans="2:7">
      <c r="B324" s="297" t="s">
        <v>10</v>
      </c>
      <c r="C324" s="296"/>
      <c r="D324" s="295" t="s">
        <v>11</v>
      </c>
      <c r="E324" s="295"/>
      <c r="F324" s="295"/>
      <c r="G324" s="296"/>
    </row>
    <row r="325" spans="2:7">
      <c r="B325" s="52" t="s">
        <v>32</v>
      </c>
      <c r="C325" s="60" t="s">
        <v>33</v>
      </c>
      <c r="D325" s="52" t="s">
        <v>68</v>
      </c>
      <c r="E325" s="53" t="s">
        <v>69</v>
      </c>
      <c r="F325" s="53" t="s">
        <v>32</v>
      </c>
      <c r="G325" s="60" t="s">
        <v>33</v>
      </c>
    </row>
    <row r="326" spans="2:7">
      <c r="B326" s="54">
        <v>30</v>
      </c>
      <c r="C326" s="36"/>
      <c r="D326" s="57"/>
      <c r="E326" s="58">
        <f>88.25</f>
        <v>88.25</v>
      </c>
      <c r="F326" s="58"/>
      <c r="G326" s="33" t="s">
        <v>318</v>
      </c>
    </row>
    <row r="327" spans="2:7">
      <c r="B327" s="55"/>
      <c r="C327" s="33"/>
      <c r="D327" s="57"/>
      <c r="E327" s="58"/>
      <c r="F327" s="58"/>
      <c r="G327" s="33"/>
    </row>
    <row r="328" spans="2:7">
      <c r="B328" s="55"/>
      <c r="C328" s="33"/>
      <c r="D328" s="57"/>
      <c r="E328" s="58"/>
      <c r="F328" s="58"/>
      <c r="G328" s="33"/>
    </row>
    <row r="329" spans="2:7">
      <c r="B329" s="55"/>
      <c r="C329" s="33"/>
      <c r="D329" s="57"/>
      <c r="E329" s="58"/>
      <c r="F329" s="58"/>
      <c r="G329" s="33"/>
    </row>
    <row r="330" spans="2:7">
      <c r="B330" s="55"/>
      <c r="C330" s="33"/>
      <c r="D330" s="57"/>
      <c r="E330" s="58"/>
      <c r="F330" s="58"/>
      <c r="G330" s="33"/>
    </row>
    <row r="331" spans="2:7">
      <c r="B331" s="55"/>
      <c r="C331" s="33"/>
      <c r="D331" s="57"/>
      <c r="E331" s="58"/>
      <c r="F331" s="58"/>
      <c r="G331" s="33"/>
    </row>
    <row r="332" spans="2:7">
      <c r="B332" s="55"/>
      <c r="C332" s="33"/>
      <c r="D332" s="57"/>
      <c r="E332" s="58"/>
      <c r="F332" s="58"/>
      <c r="G332" s="33"/>
    </row>
    <row r="333" spans="2:7">
      <c r="B333" s="55"/>
      <c r="C333" s="33"/>
      <c r="D333" s="57"/>
      <c r="E333" s="58"/>
      <c r="F333" s="58"/>
      <c r="G333" s="33"/>
    </row>
    <row r="334" spans="2:7">
      <c r="B334" s="55"/>
      <c r="C334" s="33"/>
      <c r="D334" s="57"/>
      <c r="E334" s="58"/>
      <c r="F334" s="58"/>
      <c r="G334" s="33"/>
    </row>
    <row r="335" spans="2:7">
      <c r="B335" s="55"/>
      <c r="C335" s="33"/>
      <c r="D335" s="57"/>
      <c r="E335" s="58"/>
      <c r="F335" s="58"/>
      <c r="G335" s="33"/>
    </row>
    <row r="336" spans="2:7">
      <c r="B336" s="55"/>
      <c r="C336" s="33"/>
      <c r="D336" s="57"/>
      <c r="E336" s="58"/>
      <c r="F336" s="58"/>
      <c r="G336" s="33"/>
    </row>
    <row r="337" spans="2:7">
      <c r="B337" s="55"/>
      <c r="C337" s="33"/>
      <c r="D337" s="57"/>
      <c r="E337" s="58"/>
      <c r="F337" s="58"/>
      <c r="G337" s="33"/>
    </row>
    <row r="338" spans="2:7">
      <c r="B338" s="55"/>
      <c r="C338" s="33"/>
      <c r="D338" s="57"/>
      <c r="E338" s="58"/>
      <c r="F338" s="58"/>
      <c r="G338" s="33"/>
    </row>
    <row r="339" spans="2:7" ht="15.75" thickBot="1">
      <c r="B339" s="56"/>
      <c r="C339" s="34"/>
      <c r="D339" s="56"/>
      <c r="E339" s="59"/>
      <c r="F339" s="59"/>
      <c r="G339" s="34"/>
    </row>
    <row r="340" spans="2:7" ht="15.75" thickBot="1">
      <c r="B340" s="56">
        <f>SUM(B326:B339)</f>
        <v>30</v>
      </c>
      <c r="C340" s="34" t="s">
        <v>66</v>
      </c>
      <c r="D340" s="56">
        <f>SUM(D326:D339)</f>
        <v>0</v>
      </c>
      <c r="E340" s="56">
        <f>SUM(E326:E339)</f>
        <v>88.25</v>
      </c>
      <c r="F340" s="56">
        <f>SUM(F326:F339)</f>
        <v>0</v>
      </c>
      <c r="G340" s="34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89" t="str">
        <f>'2018'!A37</f>
        <v>Impuestos</v>
      </c>
      <c r="C342" s="290"/>
      <c r="D342" s="290"/>
      <c r="E342" s="290"/>
      <c r="F342" s="290"/>
      <c r="G342" s="291"/>
    </row>
    <row r="343" spans="2:7" ht="15" customHeight="1" thickBot="1">
      <c r="B343" s="292"/>
      <c r="C343" s="293"/>
      <c r="D343" s="293"/>
      <c r="E343" s="293"/>
      <c r="F343" s="293"/>
      <c r="G343" s="294"/>
    </row>
    <row r="344" spans="2:7">
      <c r="B344" s="297" t="s">
        <v>10</v>
      </c>
      <c r="C344" s="296"/>
      <c r="D344" s="295" t="s">
        <v>11</v>
      </c>
      <c r="E344" s="295"/>
      <c r="F344" s="295"/>
      <c r="G344" s="296"/>
    </row>
    <row r="345" spans="2:7">
      <c r="B345" s="52" t="s">
        <v>32</v>
      </c>
      <c r="C345" s="60" t="s">
        <v>33</v>
      </c>
      <c r="D345" s="52" t="s">
        <v>68</v>
      </c>
      <c r="E345" s="53" t="s">
        <v>69</v>
      </c>
      <c r="F345" s="53" t="s">
        <v>32</v>
      </c>
      <c r="G345" s="60" t="s">
        <v>33</v>
      </c>
    </row>
    <row r="346" spans="2:7">
      <c r="B346" s="54">
        <v>30</v>
      </c>
      <c r="C346" s="36" t="s">
        <v>119</v>
      </c>
      <c r="D346" s="57"/>
      <c r="E346" s="58"/>
      <c r="F346" s="58"/>
      <c r="G346" s="33"/>
    </row>
    <row r="347" spans="2:7">
      <c r="B347" s="55"/>
      <c r="C347" s="33"/>
      <c r="D347" s="57"/>
      <c r="E347" s="58"/>
      <c r="F347" s="58"/>
      <c r="G347" s="33"/>
    </row>
    <row r="348" spans="2:7">
      <c r="B348" s="55"/>
      <c r="C348" s="33"/>
      <c r="D348" s="57"/>
      <c r="E348" s="58"/>
      <c r="F348" s="58"/>
      <c r="G348" s="33"/>
    </row>
    <row r="349" spans="2:7">
      <c r="B349" s="55"/>
      <c r="C349" s="33"/>
      <c r="D349" s="57"/>
      <c r="E349" s="58"/>
      <c r="F349" s="58"/>
      <c r="G349" s="33"/>
    </row>
    <row r="350" spans="2:7">
      <c r="B350" s="55"/>
      <c r="C350" s="33"/>
      <c r="D350" s="57"/>
      <c r="E350" s="58"/>
      <c r="F350" s="58"/>
      <c r="G350" s="33"/>
    </row>
    <row r="351" spans="2:7">
      <c r="B351" s="55"/>
      <c r="C351" s="33"/>
      <c r="D351" s="57"/>
      <c r="E351" s="58"/>
      <c r="F351" s="58"/>
      <c r="G351" s="33"/>
    </row>
    <row r="352" spans="2:7">
      <c r="B352" s="55"/>
      <c r="C352" s="33"/>
      <c r="D352" s="57"/>
      <c r="E352" s="58"/>
      <c r="F352" s="58"/>
      <c r="G352" s="33"/>
    </row>
    <row r="353" spans="2:7">
      <c r="B353" s="55"/>
      <c r="C353" s="33"/>
      <c r="D353" s="57"/>
      <c r="E353" s="58"/>
      <c r="F353" s="58"/>
      <c r="G353" s="33"/>
    </row>
    <row r="354" spans="2:7">
      <c r="B354" s="55"/>
      <c r="C354" s="33"/>
      <c r="D354" s="57"/>
      <c r="E354" s="58"/>
      <c r="F354" s="58"/>
      <c r="G354" s="33"/>
    </row>
    <row r="355" spans="2:7">
      <c r="B355" s="55"/>
      <c r="C355" s="33"/>
      <c r="D355" s="57"/>
      <c r="E355" s="58"/>
      <c r="F355" s="58"/>
      <c r="G355" s="33"/>
    </row>
    <row r="356" spans="2:7">
      <c r="B356" s="55"/>
      <c r="C356" s="33"/>
      <c r="D356" s="57"/>
      <c r="E356" s="58"/>
      <c r="F356" s="58"/>
      <c r="G356" s="33"/>
    </row>
    <row r="357" spans="2:7">
      <c r="B357" s="55"/>
      <c r="C357" s="33"/>
      <c r="D357" s="57"/>
      <c r="E357" s="58"/>
      <c r="F357" s="58"/>
      <c r="G357" s="33"/>
    </row>
    <row r="358" spans="2:7">
      <c r="B358" s="55"/>
      <c r="C358" s="33"/>
      <c r="D358" s="57"/>
      <c r="E358" s="58"/>
      <c r="F358" s="58"/>
      <c r="G358" s="33"/>
    </row>
    <row r="359" spans="2:7" ht="15.75" thickBot="1">
      <c r="B359" s="56"/>
      <c r="C359" s="34"/>
      <c r="D359" s="56"/>
      <c r="E359" s="59"/>
      <c r="F359" s="59"/>
      <c r="G359" s="34"/>
    </row>
    <row r="360" spans="2:7" ht="15.75" thickBot="1">
      <c r="B360" s="56">
        <f>SUM(B346:B359)</f>
        <v>30</v>
      </c>
      <c r="C360" s="34" t="s">
        <v>66</v>
      </c>
      <c r="D360" s="56">
        <f>SUM(D346:D359)</f>
        <v>0</v>
      </c>
      <c r="E360" s="56">
        <f>SUM(E346:E359)</f>
        <v>0</v>
      </c>
      <c r="F360" s="56">
        <f>SUM(F346:F359)</f>
        <v>0</v>
      </c>
      <c r="G360" s="34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89" t="str">
        <f>'2018'!A38</f>
        <v>Gastos Curros</v>
      </c>
      <c r="C362" s="290"/>
      <c r="D362" s="290"/>
      <c r="E362" s="290"/>
      <c r="F362" s="290"/>
      <c r="G362" s="291"/>
    </row>
    <row r="363" spans="2:7" ht="15" customHeight="1" thickBot="1">
      <c r="B363" s="292"/>
      <c r="C363" s="293"/>
      <c r="D363" s="293"/>
      <c r="E363" s="293"/>
      <c r="F363" s="293"/>
      <c r="G363" s="294"/>
    </row>
    <row r="364" spans="2:7">
      <c r="B364" s="297" t="s">
        <v>10</v>
      </c>
      <c r="C364" s="296"/>
      <c r="D364" s="295" t="s">
        <v>11</v>
      </c>
      <c r="E364" s="295"/>
      <c r="F364" s="295"/>
      <c r="G364" s="296"/>
    </row>
    <row r="365" spans="2:7">
      <c r="B365" s="52" t="s">
        <v>32</v>
      </c>
      <c r="C365" s="60" t="s">
        <v>33</v>
      </c>
      <c r="D365" s="52" t="s">
        <v>68</v>
      </c>
      <c r="E365" s="53" t="s">
        <v>69</v>
      </c>
      <c r="F365" s="53" t="s">
        <v>32</v>
      </c>
      <c r="G365" s="60" t="s">
        <v>33</v>
      </c>
    </row>
    <row r="366" spans="2:7">
      <c r="B366" s="54">
        <v>40</v>
      </c>
      <c r="C366" s="36" t="s">
        <v>36</v>
      </c>
      <c r="D366" s="57"/>
      <c r="E366" s="58"/>
      <c r="F366" s="58">
        <f>4+4.45+4+3.4+4.5+3.5+4.45</f>
        <v>28.3</v>
      </c>
      <c r="G366" s="70" t="s">
        <v>91</v>
      </c>
    </row>
    <row r="367" spans="2:7">
      <c r="B367" s="55"/>
      <c r="C367" s="33"/>
      <c r="D367" s="57"/>
      <c r="E367" s="58"/>
      <c r="F367" s="58"/>
      <c r="G367" s="70" t="s">
        <v>92</v>
      </c>
    </row>
    <row r="368" spans="2:7">
      <c r="B368" s="55"/>
      <c r="C368" s="33"/>
      <c r="D368" s="57"/>
      <c r="E368" s="58"/>
      <c r="F368" s="58"/>
      <c r="G368" s="33"/>
    </row>
    <row r="369" spans="2:7">
      <c r="B369" s="55"/>
      <c r="C369" s="33"/>
      <c r="D369" s="57"/>
      <c r="E369" s="58"/>
      <c r="F369" s="58"/>
      <c r="G369" s="33"/>
    </row>
    <row r="370" spans="2:7">
      <c r="B370" s="55"/>
      <c r="C370" s="33"/>
      <c r="D370" s="57"/>
      <c r="E370" s="58"/>
      <c r="F370" s="58"/>
      <c r="G370" s="33"/>
    </row>
    <row r="371" spans="2:7">
      <c r="B371" s="55"/>
      <c r="C371" s="33"/>
      <c r="D371" s="57"/>
      <c r="E371" s="58"/>
      <c r="F371" s="58"/>
      <c r="G371" s="33"/>
    </row>
    <row r="372" spans="2:7">
      <c r="B372" s="55"/>
      <c r="C372" s="33"/>
      <c r="D372" s="57"/>
      <c r="E372" s="58"/>
      <c r="F372" s="58"/>
      <c r="G372" s="33"/>
    </row>
    <row r="373" spans="2:7">
      <c r="B373" s="55"/>
      <c r="C373" s="33"/>
      <c r="D373" s="57"/>
      <c r="E373" s="58"/>
      <c r="F373" s="58"/>
      <c r="G373" s="33"/>
    </row>
    <row r="374" spans="2:7">
      <c r="B374" s="55"/>
      <c r="C374" s="33"/>
      <c r="D374" s="57"/>
      <c r="E374" s="58"/>
      <c r="F374" s="58"/>
      <c r="G374" s="33"/>
    </row>
    <row r="375" spans="2:7">
      <c r="B375" s="55"/>
      <c r="C375" s="33"/>
      <c r="D375" s="57"/>
      <c r="E375" s="58"/>
      <c r="F375" s="58"/>
      <c r="G375" s="33"/>
    </row>
    <row r="376" spans="2:7">
      <c r="B376" s="55"/>
      <c r="C376" s="33"/>
      <c r="D376" s="57"/>
      <c r="E376" s="58"/>
      <c r="F376" s="58"/>
      <c r="G376" s="33"/>
    </row>
    <row r="377" spans="2:7">
      <c r="B377" s="55"/>
      <c r="C377" s="33"/>
      <c r="D377" s="57"/>
      <c r="E377" s="58"/>
      <c r="F377" s="58"/>
      <c r="G377" s="33"/>
    </row>
    <row r="378" spans="2:7">
      <c r="B378" s="55"/>
      <c r="C378" s="33"/>
      <c r="D378" s="57"/>
      <c r="E378" s="58"/>
      <c r="F378" s="58"/>
      <c r="G378" s="33"/>
    </row>
    <row r="379" spans="2:7" ht="15.75" thickBot="1">
      <c r="B379" s="56"/>
      <c r="C379" s="34"/>
      <c r="D379" s="56"/>
      <c r="E379" s="59"/>
      <c r="F379" s="59"/>
      <c r="G379" s="34"/>
    </row>
    <row r="380" spans="2:7" ht="15.75" thickBot="1">
      <c r="B380" s="56">
        <f>SUM(B366:B379)</f>
        <v>40</v>
      </c>
      <c r="C380" s="34" t="s">
        <v>66</v>
      </c>
      <c r="D380" s="56">
        <f>SUM(D366:D379)</f>
        <v>0</v>
      </c>
      <c r="E380" s="56">
        <f>SUM(E366:E379)</f>
        <v>0</v>
      </c>
      <c r="F380" s="56">
        <f>SUM(F366:F379)</f>
        <v>28.3</v>
      </c>
      <c r="G380" s="34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89" t="str">
        <f>'2018'!A39</f>
        <v>Dreamed Holidays</v>
      </c>
      <c r="C382" s="290"/>
      <c r="D382" s="290"/>
      <c r="E382" s="290"/>
      <c r="F382" s="290"/>
      <c r="G382" s="291"/>
    </row>
    <row r="383" spans="2:7" ht="15" customHeight="1" thickBot="1">
      <c r="B383" s="292"/>
      <c r="C383" s="293"/>
      <c r="D383" s="293"/>
      <c r="E383" s="293"/>
      <c r="F383" s="293"/>
      <c r="G383" s="294"/>
    </row>
    <row r="384" spans="2:7">
      <c r="B384" s="297" t="s">
        <v>10</v>
      </c>
      <c r="C384" s="296"/>
      <c r="D384" s="295" t="s">
        <v>11</v>
      </c>
      <c r="E384" s="295"/>
      <c r="F384" s="295"/>
      <c r="G384" s="296"/>
    </row>
    <row r="385" spans="2:7">
      <c r="B385" s="52" t="s">
        <v>32</v>
      </c>
      <c r="C385" s="60" t="s">
        <v>33</v>
      </c>
      <c r="D385" s="52" t="s">
        <v>68</v>
      </c>
      <c r="E385" s="53" t="s">
        <v>69</v>
      </c>
      <c r="F385" s="53" t="s">
        <v>32</v>
      </c>
      <c r="G385" s="60" t="s">
        <v>33</v>
      </c>
    </row>
    <row r="386" spans="2:7">
      <c r="B386" s="54">
        <v>10</v>
      </c>
      <c r="C386" s="36"/>
      <c r="D386" s="57"/>
      <c r="E386" s="58"/>
      <c r="F386" s="58"/>
      <c r="G386" s="33"/>
    </row>
    <row r="387" spans="2:7">
      <c r="B387" s="55"/>
      <c r="C387" s="33"/>
      <c r="D387" s="57"/>
      <c r="E387" s="58"/>
      <c r="F387" s="58"/>
      <c r="G387" s="33"/>
    </row>
    <row r="388" spans="2:7">
      <c r="B388" s="55"/>
      <c r="C388" s="33"/>
      <c r="D388" s="57"/>
      <c r="E388" s="58"/>
      <c r="F388" s="58"/>
      <c r="G388" s="33"/>
    </row>
    <row r="389" spans="2:7">
      <c r="B389" s="55"/>
      <c r="C389" s="33"/>
      <c r="D389" s="57"/>
      <c r="E389" s="58"/>
      <c r="F389" s="58"/>
      <c r="G389" s="33"/>
    </row>
    <row r="390" spans="2:7">
      <c r="B390" s="55"/>
      <c r="C390" s="33"/>
      <c r="D390" s="57"/>
      <c r="E390" s="58"/>
      <c r="F390" s="58"/>
      <c r="G390" s="33"/>
    </row>
    <row r="391" spans="2:7">
      <c r="B391" s="55"/>
      <c r="C391" s="33"/>
      <c r="D391" s="57"/>
      <c r="E391" s="58"/>
      <c r="F391" s="58"/>
      <c r="G391" s="33"/>
    </row>
    <row r="392" spans="2:7">
      <c r="B392" s="55"/>
      <c r="C392" s="33"/>
      <c r="D392" s="57"/>
      <c r="E392" s="58"/>
      <c r="F392" s="58"/>
      <c r="G392" s="33"/>
    </row>
    <row r="393" spans="2:7">
      <c r="B393" s="55"/>
      <c r="C393" s="33"/>
      <c r="D393" s="57"/>
      <c r="E393" s="58"/>
      <c r="F393" s="58"/>
      <c r="G393" s="33"/>
    </row>
    <row r="394" spans="2:7">
      <c r="B394" s="55"/>
      <c r="C394" s="33"/>
      <c r="D394" s="57"/>
      <c r="E394" s="58"/>
      <c r="F394" s="58"/>
      <c r="G394" s="33"/>
    </row>
    <row r="395" spans="2:7">
      <c r="B395" s="55"/>
      <c r="C395" s="33"/>
      <c r="D395" s="57"/>
      <c r="E395" s="58"/>
      <c r="F395" s="58"/>
      <c r="G395" s="33"/>
    </row>
    <row r="396" spans="2:7">
      <c r="B396" s="55"/>
      <c r="C396" s="33"/>
      <c r="D396" s="57"/>
      <c r="E396" s="58"/>
      <c r="F396" s="58"/>
      <c r="G396" s="33"/>
    </row>
    <row r="397" spans="2:7">
      <c r="B397" s="55"/>
      <c r="C397" s="33"/>
      <c r="D397" s="57"/>
      <c r="E397" s="58"/>
      <c r="F397" s="58"/>
      <c r="G397" s="33"/>
    </row>
    <row r="398" spans="2:7">
      <c r="B398" s="55"/>
      <c r="C398" s="33"/>
      <c r="D398" s="57"/>
      <c r="E398" s="58"/>
      <c r="F398" s="58"/>
      <c r="G398" s="33"/>
    </row>
    <row r="399" spans="2:7" ht="15.75" thickBot="1">
      <c r="B399" s="56"/>
      <c r="C399" s="34"/>
      <c r="D399" s="56"/>
      <c r="E399" s="59"/>
      <c r="F399" s="59"/>
      <c r="G399" s="34"/>
    </row>
    <row r="400" spans="2:7" ht="15.75" thickBot="1">
      <c r="B400" s="56">
        <f>SUM(B386:B399)</f>
        <v>10</v>
      </c>
      <c r="C400" s="34" t="s">
        <v>66</v>
      </c>
      <c r="D400" s="56">
        <f>SUM(D386:D399)</f>
        <v>0</v>
      </c>
      <c r="E400" s="56">
        <f>SUM(E386:E399)</f>
        <v>0</v>
      </c>
      <c r="F400" s="56">
        <f>SUM(F386:F399)</f>
        <v>0</v>
      </c>
      <c r="G400" s="34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89" t="str">
        <f>'2018'!A40</f>
        <v>Financieros</v>
      </c>
      <c r="C402" s="290"/>
      <c r="D402" s="290"/>
      <c r="E402" s="290"/>
      <c r="F402" s="290"/>
      <c r="G402" s="291"/>
    </row>
    <row r="403" spans="2:7" ht="15" customHeight="1" thickBot="1">
      <c r="B403" s="292"/>
      <c r="C403" s="293"/>
      <c r="D403" s="293"/>
      <c r="E403" s="293"/>
      <c r="F403" s="293"/>
      <c r="G403" s="294"/>
    </row>
    <row r="404" spans="2:7">
      <c r="B404" s="297" t="s">
        <v>10</v>
      </c>
      <c r="C404" s="296"/>
      <c r="D404" s="295" t="s">
        <v>11</v>
      </c>
      <c r="E404" s="295"/>
      <c r="F404" s="295"/>
      <c r="G404" s="296"/>
    </row>
    <row r="405" spans="2:7">
      <c r="B405" s="52" t="s">
        <v>32</v>
      </c>
      <c r="C405" s="60" t="s">
        <v>33</v>
      </c>
      <c r="D405" s="52" t="s">
        <v>68</v>
      </c>
      <c r="E405" s="53" t="s">
        <v>69</v>
      </c>
      <c r="F405" s="53" t="s">
        <v>32</v>
      </c>
      <c r="G405" s="60" t="s">
        <v>33</v>
      </c>
    </row>
    <row r="406" spans="2:7">
      <c r="B406" s="54"/>
      <c r="C406" s="36"/>
      <c r="D406" s="57"/>
      <c r="E406" s="58"/>
      <c r="F406" s="58"/>
      <c r="G406" s="33"/>
    </row>
    <row r="407" spans="2:7">
      <c r="B407" s="55"/>
      <c r="C407" s="33"/>
      <c r="D407" s="57"/>
      <c r="E407" s="58"/>
      <c r="F407" s="58"/>
      <c r="G407" s="33"/>
    </row>
    <row r="408" spans="2:7">
      <c r="B408" s="55"/>
      <c r="C408" s="33"/>
      <c r="D408" s="57"/>
      <c r="E408" s="58"/>
      <c r="F408" s="58"/>
      <c r="G408" s="33"/>
    </row>
    <row r="409" spans="2:7">
      <c r="B409" s="55"/>
      <c r="C409" s="33"/>
      <c r="D409" s="57"/>
      <c r="E409" s="58"/>
      <c r="F409" s="58"/>
      <c r="G409" s="33"/>
    </row>
    <row r="410" spans="2:7">
      <c r="B410" s="55"/>
      <c r="C410" s="33"/>
      <c r="D410" s="57"/>
      <c r="E410" s="58"/>
      <c r="F410" s="58"/>
      <c r="G410" s="33"/>
    </row>
    <row r="411" spans="2:7">
      <c r="B411" s="55"/>
      <c r="C411" s="33"/>
      <c r="D411" s="57"/>
      <c r="E411" s="58"/>
      <c r="F411" s="58"/>
      <c r="G411" s="33"/>
    </row>
    <row r="412" spans="2:7">
      <c r="B412" s="55"/>
      <c r="C412" s="33"/>
      <c r="D412" s="57"/>
      <c r="E412" s="58"/>
      <c r="F412" s="58"/>
      <c r="G412" s="33"/>
    </row>
    <row r="413" spans="2:7">
      <c r="B413" s="55"/>
      <c r="C413" s="33"/>
      <c r="D413" s="57"/>
      <c r="E413" s="58"/>
      <c r="F413" s="58"/>
      <c r="G413" s="33"/>
    </row>
    <row r="414" spans="2:7">
      <c r="B414" s="55"/>
      <c r="C414" s="33"/>
      <c r="D414" s="57"/>
      <c r="E414" s="58"/>
      <c r="F414" s="58"/>
      <c r="G414" s="33"/>
    </row>
    <row r="415" spans="2:7">
      <c r="B415" s="55"/>
      <c r="C415" s="33"/>
      <c r="D415" s="57"/>
      <c r="E415" s="58"/>
      <c r="F415" s="58"/>
      <c r="G415" s="33"/>
    </row>
    <row r="416" spans="2:7">
      <c r="B416" s="55"/>
      <c r="C416" s="33"/>
      <c r="D416" s="57"/>
      <c r="E416" s="58"/>
      <c r="F416" s="58"/>
      <c r="G416" s="33"/>
    </row>
    <row r="417" spans="2:7">
      <c r="B417" s="55"/>
      <c r="C417" s="33"/>
      <c r="D417" s="57"/>
      <c r="E417" s="58"/>
      <c r="F417" s="58"/>
      <c r="G417" s="33"/>
    </row>
    <row r="418" spans="2:7">
      <c r="B418" s="55"/>
      <c r="C418" s="33"/>
      <c r="D418" s="57"/>
      <c r="E418" s="58"/>
      <c r="F418" s="58"/>
      <c r="G418" s="33"/>
    </row>
    <row r="419" spans="2:7" ht="15.75" thickBot="1">
      <c r="B419" s="56"/>
      <c r="C419" s="34"/>
      <c r="D419" s="56"/>
      <c r="E419" s="59"/>
      <c r="F419" s="59"/>
      <c r="G419" s="34"/>
    </row>
    <row r="420" spans="2:7" ht="15.75" thickBot="1">
      <c r="B420" s="56">
        <f>SUM(B406:B419)</f>
        <v>0</v>
      </c>
      <c r="C420" s="34" t="s">
        <v>66</v>
      </c>
      <c r="D420" s="56">
        <f>SUM(D406:D419)</f>
        <v>0</v>
      </c>
      <c r="E420" s="56">
        <f>SUM(E406:E419)</f>
        <v>0</v>
      </c>
      <c r="F420" s="56">
        <f>SUM(F406:F419)</f>
        <v>0</v>
      </c>
      <c r="G420" s="34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89" t="str">
        <f>'2018'!A41</f>
        <v>Ahorros Colchón</v>
      </c>
      <c r="C422" s="307"/>
      <c r="D422" s="307"/>
      <c r="E422" s="307"/>
      <c r="F422" s="307"/>
      <c r="G422" s="308"/>
    </row>
    <row r="423" spans="2:7" ht="15" customHeight="1" thickBot="1">
      <c r="B423" s="309"/>
      <c r="C423" s="310"/>
      <c r="D423" s="310"/>
      <c r="E423" s="310"/>
      <c r="F423" s="310"/>
      <c r="G423" s="311"/>
    </row>
    <row r="424" spans="2:7">
      <c r="B424" s="297" t="s">
        <v>10</v>
      </c>
      <c r="C424" s="296"/>
      <c r="D424" s="295" t="s">
        <v>11</v>
      </c>
      <c r="E424" s="295"/>
      <c r="F424" s="295"/>
      <c r="G424" s="296"/>
    </row>
    <row r="425" spans="2:7">
      <c r="B425" s="52" t="s">
        <v>32</v>
      </c>
      <c r="C425" s="60" t="s">
        <v>33</v>
      </c>
      <c r="D425" s="52" t="s">
        <v>68</v>
      </c>
      <c r="E425" s="53" t="s">
        <v>69</v>
      </c>
      <c r="F425" s="53" t="s">
        <v>32</v>
      </c>
      <c r="G425" s="60" t="s">
        <v>33</v>
      </c>
    </row>
    <row r="426" spans="2:7">
      <c r="B426" s="54">
        <v>-59.16</v>
      </c>
      <c r="C426" s="36" t="s">
        <v>334</v>
      </c>
      <c r="D426" s="57"/>
      <c r="E426" s="58"/>
      <c r="F426" s="58"/>
      <c r="G426" s="33"/>
    </row>
    <row r="427" spans="2:7">
      <c r="B427" s="55"/>
      <c r="C427" s="33"/>
      <c r="D427" s="57"/>
      <c r="E427" s="58"/>
      <c r="F427" s="58"/>
      <c r="G427" s="33"/>
    </row>
    <row r="428" spans="2:7">
      <c r="B428" s="55"/>
      <c r="C428" s="33"/>
      <c r="D428" s="57"/>
      <c r="E428" s="58"/>
      <c r="F428" s="58"/>
      <c r="G428" s="33"/>
    </row>
    <row r="429" spans="2:7">
      <c r="B429" s="55"/>
      <c r="C429" s="33"/>
      <c r="D429" s="57"/>
      <c r="E429" s="58"/>
      <c r="F429" s="58"/>
      <c r="G429" s="33"/>
    </row>
    <row r="430" spans="2:7">
      <c r="B430" s="55"/>
      <c r="C430" s="33"/>
      <c r="D430" s="57"/>
      <c r="E430" s="58"/>
      <c r="F430" s="58"/>
      <c r="G430" s="33"/>
    </row>
    <row r="431" spans="2:7">
      <c r="B431" s="55"/>
      <c r="C431" s="33"/>
      <c r="D431" s="57"/>
      <c r="E431" s="58"/>
      <c r="F431" s="58"/>
      <c r="G431" s="33"/>
    </row>
    <row r="432" spans="2:7">
      <c r="B432" s="55"/>
      <c r="C432" s="33"/>
      <c r="D432" s="57"/>
      <c r="E432" s="58"/>
      <c r="F432" s="58"/>
      <c r="G432" s="33"/>
    </row>
    <row r="433" spans="2:7">
      <c r="B433" s="55"/>
      <c r="C433" s="33"/>
      <c r="D433" s="57"/>
      <c r="E433" s="58"/>
      <c r="F433" s="58"/>
      <c r="G433" s="33"/>
    </row>
    <row r="434" spans="2:7">
      <c r="B434" s="55"/>
      <c r="C434" s="33"/>
      <c r="D434" s="57"/>
      <c r="E434" s="58"/>
      <c r="F434" s="58"/>
      <c r="G434" s="33"/>
    </row>
    <row r="435" spans="2:7">
      <c r="B435" s="55"/>
      <c r="C435" s="33"/>
      <c r="D435" s="57"/>
      <c r="E435" s="58"/>
      <c r="F435" s="58"/>
      <c r="G435" s="33"/>
    </row>
    <row r="436" spans="2:7">
      <c r="B436" s="55"/>
      <c r="C436" s="33"/>
      <c r="D436" s="57"/>
      <c r="E436" s="58"/>
      <c r="F436" s="58"/>
      <c r="G436" s="33"/>
    </row>
    <row r="437" spans="2:7">
      <c r="B437" s="55"/>
      <c r="C437" s="33"/>
      <c r="D437" s="57"/>
      <c r="E437" s="58"/>
      <c r="F437" s="58"/>
      <c r="G437" s="33"/>
    </row>
    <row r="438" spans="2:7">
      <c r="B438" s="55"/>
      <c r="C438" s="33"/>
      <c r="D438" s="57"/>
      <c r="E438" s="58"/>
      <c r="F438" s="58"/>
      <c r="G438" s="33"/>
    </row>
    <row r="439" spans="2:7" ht="15.75" thickBot="1">
      <c r="B439" s="56"/>
      <c r="C439" s="34"/>
      <c r="D439" s="56"/>
      <c r="E439" s="59"/>
      <c r="F439" s="59"/>
      <c r="G439" s="34"/>
    </row>
    <row r="440" spans="2:7" ht="15.75" thickBot="1">
      <c r="B440" s="56">
        <f>SUM(B426:B439)</f>
        <v>-59.16</v>
      </c>
      <c r="C440" s="34" t="s">
        <v>66</v>
      </c>
      <c r="D440" s="56">
        <f>SUM(D426:D439)</f>
        <v>0</v>
      </c>
      <c r="E440" s="56">
        <f>SUM(E426:E439)</f>
        <v>0</v>
      </c>
      <c r="F440" s="56">
        <f>SUM(F426:F439)</f>
        <v>0</v>
      </c>
      <c r="G440" s="34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89" t="str">
        <f>'2018'!A42</f>
        <v>Dinero Bloqueado</v>
      </c>
      <c r="C442" s="307"/>
      <c r="D442" s="307"/>
      <c r="E442" s="307"/>
      <c r="F442" s="307"/>
      <c r="G442" s="308"/>
    </row>
    <row r="443" spans="2:7" ht="15" customHeight="1" thickBot="1">
      <c r="B443" s="309"/>
      <c r="C443" s="310"/>
      <c r="D443" s="310"/>
      <c r="E443" s="310"/>
      <c r="F443" s="310"/>
      <c r="G443" s="311"/>
    </row>
    <row r="444" spans="2:7">
      <c r="B444" s="297" t="s">
        <v>10</v>
      </c>
      <c r="C444" s="296"/>
      <c r="D444" s="295" t="s">
        <v>11</v>
      </c>
      <c r="E444" s="295"/>
      <c r="F444" s="295"/>
      <c r="G444" s="296"/>
    </row>
    <row r="445" spans="2:7">
      <c r="B445" s="52" t="s">
        <v>32</v>
      </c>
      <c r="C445" s="60" t="s">
        <v>33</v>
      </c>
      <c r="D445" s="52" t="s">
        <v>68</v>
      </c>
      <c r="E445" s="53" t="s">
        <v>69</v>
      </c>
      <c r="F445" s="53" t="s">
        <v>32</v>
      </c>
      <c r="G445" s="60" t="s">
        <v>33</v>
      </c>
    </row>
    <row r="446" spans="2:7">
      <c r="B446" s="54"/>
      <c r="C446" s="36"/>
      <c r="D446" s="57"/>
      <c r="E446" s="58"/>
      <c r="F446" s="58"/>
      <c r="G446" s="33"/>
    </row>
    <row r="447" spans="2:7">
      <c r="B447" s="55"/>
      <c r="C447" s="33"/>
      <c r="D447" s="57"/>
      <c r="E447" s="58"/>
      <c r="F447" s="58"/>
      <c r="G447" s="33"/>
    </row>
    <row r="448" spans="2:7">
      <c r="B448" s="55"/>
      <c r="C448" s="33"/>
      <c r="D448" s="57"/>
      <c r="E448" s="58"/>
      <c r="F448" s="58"/>
      <c r="G448" s="33"/>
    </row>
    <row r="449" spans="2:7">
      <c r="B449" s="55"/>
      <c r="C449" s="33"/>
      <c r="D449" s="57"/>
      <c r="E449" s="58"/>
      <c r="F449" s="58"/>
      <c r="G449" s="33"/>
    </row>
    <row r="450" spans="2:7">
      <c r="B450" s="55"/>
      <c r="C450" s="33"/>
      <c r="D450" s="57"/>
      <c r="E450" s="58"/>
      <c r="F450" s="58"/>
      <c r="G450" s="33"/>
    </row>
    <row r="451" spans="2:7">
      <c r="B451" s="55"/>
      <c r="C451" s="33"/>
      <c r="D451" s="57"/>
      <c r="E451" s="58"/>
      <c r="F451" s="58"/>
      <c r="G451" s="33"/>
    </row>
    <row r="452" spans="2:7">
      <c r="B452" s="55"/>
      <c r="C452" s="33"/>
      <c r="D452" s="57"/>
      <c r="E452" s="58"/>
      <c r="F452" s="58"/>
      <c r="G452" s="33"/>
    </row>
    <row r="453" spans="2:7">
      <c r="B453" s="55"/>
      <c r="C453" s="33"/>
      <c r="D453" s="57"/>
      <c r="E453" s="58"/>
      <c r="F453" s="58"/>
      <c r="G453" s="33"/>
    </row>
    <row r="454" spans="2:7">
      <c r="B454" s="55"/>
      <c r="C454" s="33"/>
      <c r="D454" s="57"/>
      <c r="E454" s="58"/>
      <c r="F454" s="58"/>
      <c r="G454" s="33"/>
    </row>
    <row r="455" spans="2:7">
      <c r="B455" s="55"/>
      <c r="C455" s="33"/>
      <c r="D455" s="57"/>
      <c r="E455" s="58"/>
      <c r="F455" s="58"/>
      <c r="G455" s="33"/>
    </row>
    <row r="456" spans="2:7">
      <c r="B456" s="55"/>
      <c r="C456" s="33"/>
      <c r="D456" s="57"/>
      <c r="E456" s="58"/>
      <c r="F456" s="58"/>
      <c r="G456" s="33"/>
    </row>
    <row r="457" spans="2:7">
      <c r="B457" s="55"/>
      <c r="C457" s="33"/>
      <c r="D457" s="57"/>
      <c r="E457" s="58"/>
      <c r="F457" s="58"/>
      <c r="G457" s="33"/>
    </row>
    <row r="458" spans="2:7">
      <c r="B458" s="55"/>
      <c r="C458" s="33"/>
      <c r="D458" s="57"/>
      <c r="E458" s="58"/>
      <c r="F458" s="58"/>
      <c r="G458" s="33"/>
    </row>
    <row r="459" spans="2:7" ht="15.75" thickBot="1">
      <c r="B459" s="56"/>
      <c r="C459" s="34"/>
      <c r="D459" s="56"/>
      <c r="E459" s="59"/>
      <c r="F459" s="59"/>
      <c r="G459" s="34"/>
    </row>
    <row r="460" spans="2:7" ht="15.75" thickBot="1">
      <c r="B460" s="56">
        <f>SUM(B446:B459)</f>
        <v>0</v>
      </c>
      <c r="C460" s="34" t="s">
        <v>66</v>
      </c>
      <c r="D460" s="56">
        <f>SUM(D446:D459)</f>
        <v>0</v>
      </c>
      <c r="E460" s="56">
        <f>SUM(E446:E459)</f>
        <v>0</v>
      </c>
      <c r="F460" s="56">
        <f>SUM(F446:F459)</f>
        <v>0</v>
      </c>
      <c r="G460" s="34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89" t="str">
        <f>'2018'!A43</f>
        <v>Cartama Finanazas</v>
      </c>
      <c r="C462" s="307"/>
      <c r="D462" s="307"/>
      <c r="E462" s="307"/>
      <c r="F462" s="307"/>
      <c r="G462" s="308"/>
    </row>
    <row r="463" spans="2:7" ht="15" customHeight="1" thickBot="1">
      <c r="B463" s="309"/>
      <c r="C463" s="310"/>
      <c r="D463" s="310"/>
      <c r="E463" s="310"/>
      <c r="F463" s="310"/>
      <c r="G463" s="311"/>
    </row>
    <row r="464" spans="2:7">
      <c r="B464" s="297" t="s">
        <v>10</v>
      </c>
      <c r="C464" s="296"/>
      <c r="D464" s="295" t="s">
        <v>11</v>
      </c>
      <c r="E464" s="295"/>
      <c r="F464" s="295"/>
      <c r="G464" s="296"/>
    </row>
    <row r="465" spans="2:7">
      <c r="B465" s="52" t="s">
        <v>32</v>
      </c>
      <c r="C465" s="60" t="s">
        <v>33</v>
      </c>
      <c r="D465" s="52" t="s">
        <v>68</v>
      </c>
      <c r="E465" s="53" t="s">
        <v>69</v>
      </c>
      <c r="F465" s="53" t="s">
        <v>32</v>
      </c>
      <c r="G465" s="60" t="s">
        <v>33</v>
      </c>
    </row>
    <row r="466" spans="2:7">
      <c r="B466" s="54"/>
      <c r="C466" s="36"/>
      <c r="D466" s="57"/>
      <c r="E466" s="58"/>
      <c r="F466" s="58"/>
      <c r="G466" s="33"/>
    </row>
    <row r="467" spans="2:7">
      <c r="B467" s="55"/>
      <c r="C467" s="33"/>
      <c r="D467" s="57"/>
      <c r="E467" s="58"/>
      <c r="F467" s="58"/>
      <c r="G467" s="33"/>
    </row>
    <row r="468" spans="2:7">
      <c r="B468" s="55"/>
      <c r="C468" s="33"/>
      <c r="D468" s="57"/>
      <c r="E468" s="58"/>
      <c r="F468" s="58"/>
      <c r="G468" s="33"/>
    </row>
    <row r="469" spans="2:7">
      <c r="B469" s="55"/>
      <c r="C469" s="33"/>
      <c r="D469" s="57"/>
      <c r="E469" s="58"/>
      <c r="F469" s="58"/>
      <c r="G469" s="33"/>
    </row>
    <row r="470" spans="2:7">
      <c r="B470" s="55"/>
      <c r="C470" s="33"/>
      <c r="D470" s="57"/>
      <c r="E470" s="58"/>
      <c r="F470" s="58"/>
      <c r="G470" s="33"/>
    </row>
    <row r="471" spans="2:7">
      <c r="B471" s="55"/>
      <c r="C471" s="33"/>
      <c r="D471" s="57"/>
      <c r="E471" s="58"/>
      <c r="F471" s="58"/>
      <c r="G471" s="33"/>
    </row>
    <row r="472" spans="2:7">
      <c r="B472" s="55"/>
      <c r="C472" s="33"/>
      <c r="D472" s="57"/>
      <c r="E472" s="58"/>
      <c r="F472" s="58"/>
      <c r="G472" s="33"/>
    </row>
    <row r="473" spans="2:7">
      <c r="B473" s="55"/>
      <c r="C473" s="33"/>
      <c r="D473" s="57"/>
      <c r="E473" s="58"/>
      <c r="F473" s="58"/>
      <c r="G473" s="33"/>
    </row>
    <row r="474" spans="2:7">
      <c r="B474" s="55"/>
      <c r="C474" s="33"/>
      <c r="D474" s="57"/>
      <c r="E474" s="58"/>
      <c r="F474" s="58"/>
      <c r="G474" s="33"/>
    </row>
    <row r="475" spans="2:7">
      <c r="B475" s="55"/>
      <c r="C475" s="33"/>
      <c r="D475" s="57"/>
      <c r="E475" s="58"/>
      <c r="F475" s="58"/>
      <c r="G475" s="33"/>
    </row>
    <row r="476" spans="2:7">
      <c r="B476" s="55"/>
      <c r="C476" s="33"/>
      <c r="D476" s="57"/>
      <c r="E476" s="58"/>
      <c r="F476" s="58"/>
      <c r="G476" s="33"/>
    </row>
    <row r="477" spans="2:7">
      <c r="B477" s="55"/>
      <c r="C477" s="33"/>
      <c r="D477" s="57"/>
      <c r="E477" s="58"/>
      <c r="F477" s="58"/>
      <c r="G477" s="33"/>
    </row>
    <row r="478" spans="2:7">
      <c r="B478" s="55"/>
      <c r="C478" s="33"/>
      <c r="D478" s="57"/>
      <c r="E478" s="58"/>
      <c r="F478" s="58"/>
      <c r="G478" s="33"/>
    </row>
    <row r="479" spans="2:7" ht="15.75" thickBot="1">
      <c r="B479" s="56"/>
      <c r="C479" s="34"/>
      <c r="D479" s="56"/>
      <c r="E479" s="59"/>
      <c r="F479" s="59"/>
      <c r="G479" s="34"/>
    </row>
    <row r="480" spans="2:7" ht="15.75" thickBot="1">
      <c r="B480" s="56">
        <f>SUM(B466:B479)</f>
        <v>0</v>
      </c>
      <c r="C480" s="34" t="s">
        <v>66</v>
      </c>
      <c r="D480" s="56">
        <f>SUM(D466:D479)</f>
        <v>0</v>
      </c>
      <c r="E480" s="56">
        <f>SUM(E466:E479)</f>
        <v>0</v>
      </c>
      <c r="F480" s="56">
        <f>SUM(F466:F479)</f>
        <v>0</v>
      </c>
      <c r="G480" s="34" t="s">
        <v>66</v>
      </c>
    </row>
    <row r="481" spans="2:7" ht="15.75" thickBot="1"/>
    <row r="482" spans="2:7" ht="14.45" customHeight="1">
      <c r="B482" s="289" t="str">
        <f>'2018'!A44</f>
        <v>NULO</v>
      </c>
      <c r="C482" s="307"/>
      <c r="D482" s="307"/>
      <c r="E482" s="307"/>
      <c r="F482" s="307"/>
      <c r="G482" s="308"/>
    </row>
    <row r="483" spans="2:7" ht="15" customHeight="1" thickBot="1">
      <c r="B483" s="309"/>
      <c r="C483" s="310"/>
      <c r="D483" s="310"/>
      <c r="E483" s="310"/>
      <c r="F483" s="310"/>
      <c r="G483" s="311"/>
    </row>
    <row r="484" spans="2:7">
      <c r="B484" s="297" t="s">
        <v>10</v>
      </c>
      <c r="C484" s="296"/>
      <c r="D484" s="295" t="s">
        <v>11</v>
      </c>
      <c r="E484" s="295"/>
      <c r="F484" s="295"/>
      <c r="G484" s="296"/>
    </row>
    <row r="485" spans="2:7">
      <c r="B485" s="52" t="s">
        <v>32</v>
      </c>
      <c r="C485" s="60" t="s">
        <v>33</v>
      </c>
      <c r="D485" s="52" t="s">
        <v>68</v>
      </c>
      <c r="E485" s="53" t="s">
        <v>69</v>
      </c>
      <c r="F485" s="53" t="s">
        <v>32</v>
      </c>
      <c r="G485" s="60" t="s">
        <v>33</v>
      </c>
    </row>
    <row r="486" spans="2:7">
      <c r="B486" s="54"/>
      <c r="C486" s="36"/>
      <c r="D486" s="57"/>
      <c r="E486" s="58"/>
      <c r="F486" s="58"/>
      <c r="G486" s="33"/>
    </row>
    <row r="487" spans="2:7">
      <c r="B487" s="55"/>
      <c r="C487" s="33"/>
      <c r="D487" s="57"/>
      <c r="E487" s="58"/>
      <c r="F487" s="58"/>
      <c r="G487" s="33"/>
    </row>
    <row r="488" spans="2:7">
      <c r="B488" s="55"/>
      <c r="C488" s="33"/>
      <c r="D488" s="57"/>
      <c r="E488" s="58"/>
      <c r="F488" s="58"/>
      <c r="G488" s="33"/>
    </row>
    <row r="489" spans="2:7">
      <c r="B489" s="55"/>
      <c r="C489" s="33"/>
      <c r="D489" s="57"/>
      <c r="E489" s="58"/>
      <c r="F489" s="58"/>
      <c r="G489" s="33"/>
    </row>
    <row r="490" spans="2:7">
      <c r="B490" s="55"/>
      <c r="C490" s="33"/>
      <c r="D490" s="57"/>
      <c r="E490" s="58"/>
      <c r="F490" s="58"/>
      <c r="G490" s="33"/>
    </row>
    <row r="491" spans="2:7">
      <c r="B491" s="55"/>
      <c r="C491" s="33"/>
      <c r="D491" s="57"/>
      <c r="E491" s="58"/>
      <c r="F491" s="58"/>
      <c r="G491" s="33"/>
    </row>
    <row r="492" spans="2:7">
      <c r="B492" s="55"/>
      <c r="C492" s="33"/>
      <c r="D492" s="57"/>
      <c r="E492" s="58"/>
      <c r="F492" s="58"/>
      <c r="G492" s="33"/>
    </row>
    <row r="493" spans="2:7">
      <c r="B493" s="55"/>
      <c r="C493" s="33"/>
      <c r="D493" s="57"/>
      <c r="E493" s="58"/>
      <c r="F493" s="58"/>
      <c r="G493" s="33"/>
    </row>
    <row r="494" spans="2:7">
      <c r="B494" s="55"/>
      <c r="C494" s="33"/>
      <c r="D494" s="57"/>
      <c r="E494" s="58"/>
      <c r="F494" s="58"/>
      <c r="G494" s="33"/>
    </row>
    <row r="495" spans="2:7">
      <c r="B495" s="55"/>
      <c r="C495" s="33"/>
      <c r="D495" s="57"/>
      <c r="E495" s="58"/>
      <c r="F495" s="58"/>
      <c r="G495" s="33"/>
    </row>
    <row r="496" spans="2:7">
      <c r="B496" s="55"/>
      <c r="C496" s="33"/>
      <c r="D496" s="57"/>
      <c r="E496" s="58"/>
      <c r="F496" s="58"/>
      <c r="G496" s="33"/>
    </row>
    <row r="497" spans="2:7">
      <c r="B497" s="55"/>
      <c r="C497" s="33"/>
      <c r="D497" s="57"/>
      <c r="E497" s="58"/>
      <c r="F497" s="58"/>
      <c r="G497" s="33"/>
    </row>
    <row r="498" spans="2:7">
      <c r="B498" s="55"/>
      <c r="C498" s="33"/>
      <c r="D498" s="57"/>
      <c r="E498" s="58"/>
      <c r="F498" s="58"/>
      <c r="G498" s="33"/>
    </row>
    <row r="499" spans="2:7" ht="15.75" thickBot="1">
      <c r="B499" s="56"/>
      <c r="C499" s="34"/>
      <c r="D499" s="56"/>
      <c r="E499" s="59"/>
      <c r="F499" s="59"/>
      <c r="G499" s="34"/>
    </row>
    <row r="500" spans="2:7" ht="15.75" thickBot="1">
      <c r="B500" s="56">
        <f>SUM(B486:B499)</f>
        <v>0</v>
      </c>
      <c r="C500" s="34" t="s">
        <v>66</v>
      </c>
      <c r="D500" s="56">
        <f>SUM(D486:D499)</f>
        <v>0</v>
      </c>
      <c r="E500" s="56">
        <f>SUM(E486:E499)</f>
        <v>0</v>
      </c>
      <c r="F500" s="56">
        <f>SUM(F486:F499)</f>
        <v>0</v>
      </c>
      <c r="G500" s="34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89" t="str">
        <f>'2018'!A45</f>
        <v>OTROS</v>
      </c>
      <c r="C502" s="307"/>
      <c r="D502" s="307"/>
      <c r="E502" s="307"/>
      <c r="F502" s="307"/>
      <c r="G502" s="308"/>
    </row>
    <row r="503" spans="2:7" ht="15" customHeight="1" thickBot="1">
      <c r="B503" s="309"/>
      <c r="C503" s="310"/>
      <c r="D503" s="310"/>
      <c r="E503" s="310"/>
      <c r="F503" s="310"/>
      <c r="G503" s="311"/>
    </row>
    <row r="504" spans="2:7">
      <c r="B504" s="297" t="s">
        <v>10</v>
      </c>
      <c r="C504" s="296"/>
      <c r="D504" s="295" t="s">
        <v>11</v>
      </c>
      <c r="E504" s="295"/>
      <c r="F504" s="295"/>
      <c r="G504" s="296"/>
    </row>
    <row r="505" spans="2:7">
      <c r="B505" s="52" t="s">
        <v>32</v>
      </c>
      <c r="C505" s="60" t="s">
        <v>33</v>
      </c>
      <c r="D505" s="52" t="s">
        <v>68</v>
      </c>
      <c r="E505" s="53" t="s">
        <v>69</v>
      </c>
      <c r="F505" s="53" t="s">
        <v>32</v>
      </c>
      <c r="G505" s="60" t="s">
        <v>33</v>
      </c>
    </row>
    <row r="506" spans="2:7">
      <c r="B506" s="54">
        <v>10</v>
      </c>
      <c r="C506" s="36"/>
      <c r="D506" s="57"/>
      <c r="E506" s="58"/>
      <c r="F506" s="58">
        <v>3.5</v>
      </c>
      <c r="G506" s="33" t="s">
        <v>330</v>
      </c>
    </row>
    <row r="507" spans="2:7">
      <c r="B507" s="55"/>
      <c r="C507" s="33"/>
      <c r="D507" s="57"/>
      <c r="E507" s="58"/>
      <c r="F507" s="58"/>
      <c r="G507" s="33"/>
    </row>
    <row r="508" spans="2:7">
      <c r="B508" s="55"/>
      <c r="C508" s="33"/>
      <c r="D508" s="57"/>
      <c r="E508" s="58"/>
      <c r="F508" s="58"/>
      <c r="G508" s="33"/>
    </row>
    <row r="509" spans="2:7">
      <c r="B509" s="55"/>
      <c r="C509" s="33"/>
      <c r="D509" s="57"/>
      <c r="E509" s="58"/>
      <c r="F509" s="58"/>
      <c r="G509" s="33"/>
    </row>
    <row r="510" spans="2:7">
      <c r="B510" s="55"/>
      <c r="C510" s="33"/>
      <c r="D510" s="57"/>
      <c r="E510" s="58"/>
      <c r="F510" s="58"/>
      <c r="G510" s="33"/>
    </row>
    <row r="511" spans="2:7">
      <c r="B511" s="55"/>
      <c r="C511" s="33"/>
      <c r="D511" s="57"/>
      <c r="E511" s="58"/>
      <c r="F511" s="58"/>
      <c r="G511" s="33"/>
    </row>
    <row r="512" spans="2:7">
      <c r="B512" s="55"/>
      <c r="C512" s="33"/>
      <c r="D512" s="57"/>
      <c r="E512" s="58"/>
      <c r="F512" s="58"/>
      <c r="G512" s="33"/>
    </row>
    <row r="513" spans="2:7">
      <c r="B513" s="55"/>
      <c r="C513" s="33"/>
      <c r="D513" s="57"/>
      <c r="E513" s="58"/>
      <c r="F513" s="58"/>
      <c r="G513" s="33"/>
    </row>
    <row r="514" spans="2:7">
      <c r="B514" s="55"/>
      <c r="C514" s="33"/>
      <c r="D514" s="57"/>
      <c r="E514" s="58"/>
      <c r="F514" s="58"/>
      <c r="G514" s="33"/>
    </row>
    <row r="515" spans="2:7">
      <c r="B515" s="55"/>
      <c r="C515" s="33"/>
      <c r="D515" s="57"/>
      <c r="E515" s="58"/>
      <c r="F515" s="58"/>
      <c r="G515" s="33"/>
    </row>
    <row r="516" spans="2:7">
      <c r="B516" s="55"/>
      <c r="C516" s="33"/>
      <c r="D516" s="57"/>
      <c r="E516" s="58"/>
      <c r="F516" s="58"/>
      <c r="G516" s="33"/>
    </row>
    <row r="517" spans="2:7">
      <c r="B517" s="55"/>
      <c r="C517" s="33"/>
      <c r="D517" s="57"/>
      <c r="E517" s="58"/>
      <c r="F517" s="58"/>
      <c r="G517" s="33"/>
    </row>
    <row r="518" spans="2:7">
      <c r="B518" s="55"/>
      <c r="C518" s="33"/>
      <c r="D518" s="57"/>
      <c r="E518" s="58"/>
      <c r="F518" s="58"/>
      <c r="G518" s="33"/>
    </row>
    <row r="519" spans="2:7" ht="15.75" thickBot="1">
      <c r="B519" s="56"/>
      <c r="C519" s="34"/>
      <c r="D519" s="56"/>
      <c r="E519" s="59"/>
      <c r="F519" s="59"/>
      <c r="G519" s="34"/>
    </row>
    <row r="520" spans="2:7" ht="15.75" thickBot="1">
      <c r="B520" s="56">
        <f>SUM(B506:B519)</f>
        <v>10</v>
      </c>
      <c r="C520" s="34" t="s">
        <v>66</v>
      </c>
      <c r="D520" s="56">
        <f>SUM(D506:D519)</f>
        <v>0</v>
      </c>
      <c r="E520" s="56">
        <f>SUM(E506:E519)</f>
        <v>0</v>
      </c>
      <c r="F520" s="56">
        <f>SUM(F506:F519)</f>
        <v>3.5</v>
      </c>
      <c r="G520" s="34" t="s">
        <v>66</v>
      </c>
    </row>
  </sheetData>
  <mergeCells count="111"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300-000000000000}"/>
    <hyperlink ref="I2:L3" location="'2018'!K4:N4" display="SALDO REAL" xr:uid="{00000000-0004-0000-0300-000001000000}"/>
    <hyperlink ref="I22" location="Trimestre!C39:F40" display="TELÉFONO" xr:uid="{00000000-0004-0000-0300-000002000000}"/>
    <hyperlink ref="I22:L23" location="'2018'!K7:N7" display="INGRESOS" xr:uid="{00000000-0004-0000-0300-000003000000}"/>
    <hyperlink ref="B2" location="Trimestre!C25:F26" display="HIPOTECA" xr:uid="{00000000-0004-0000-0300-000004000000}"/>
    <hyperlink ref="B2:G3" location="'2018'!K20:N20" display="'2018'!K20:N20" xr:uid="{00000000-0004-0000-0300-000005000000}"/>
    <hyperlink ref="B22" location="Trimestre!C25:F26" display="HIPOTECA" xr:uid="{00000000-0004-0000-0300-000006000000}"/>
    <hyperlink ref="B22:G23" location="'2018'!K21:N21" display="'2018'!K21:N21" xr:uid="{00000000-0004-0000-0300-000007000000}"/>
    <hyperlink ref="B42" location="Trimestre!C25:F26" display="HIPOTECA" xr:uid="{00000000-0004-0000-0300-000008000000}"/>
    <hyperlink ref="B42:G43" location="'2018'!K22:N22" display="'2018'!K22:N22" xr:uid="{00000000-0004-0000-0300-000009000000}"/>
    <hyperlink ref="B62" location="Trimestre!C25:F26" display="HIPOTECA" xr:uid="{00000000-0004-0000-0300-00000A000000}"/>
    <hyperlink ref="B62:G63" location="'2018'!K23:N23" display="'2018'!K23:N23" xr:uid="{00000000-0004-0000-0300-00000B000000}"/>
    <hyperlink ref="B82" location="Trimestre!C25:F26" display="HIPOTECA" xr:uid="{00000000-0004-0000-0300-00000C000000}"/>
    <hyperlink ref="B82:G83" location="'2018'!K24:N24" display="'2018'!K24:N24" xr:uid="{00000000-0004-0000-0300-00000D000000}"/>
    <hyperlink ref="B102" location="Trimestre!C25:F26" display="HIPOTECA" xr:uid="{00000000-0004-0000-0300-00000E000000}"/>
    <hyperlink ref="B102:G103" location="'2018'!K25:N25" display="'2018'!K25:N25" xr:uid="{00000000-0004-0000-0300-00000F000000}"/>
    <hyperlink ref="B122" location="Trimestre!C25:F26" display="HIPOTECA" xr:uid="{00000000-0004-0000-0300-000010000000}"/>
    <hyperlink ref="B122:G123" location="'2018'!K26:N26" display="'2018'!K26:N26" xr:uid="{00000000-0004-0000-0300-000011000000}"/>
    <hyperlink ref="B142" location="Trimestre!C25:F26" display="HIPOTECA" xr:uid="{00000000-0004-0000-0300-000012000000}"/>
    <hyperlink ref="B142:G143" location="'2018'!K27:N27" display="'2018'!K27:N27" xr:uid="{00000000-0004-0000-0300-000013000000}"/>
    <hyperlink ref="B162" location="Trimestre!C25:F26" display="HIPOTECA" xr:uid="{00000000-0004-0000-0300-000014000000}"/>
    <hyperlink ref="B162:G163" location="'2018'!K28:N28" display="'2018'!K28:N28" xr:uid="{00000000-0004-0000-0300-000015000000}"/>
    <hyperlink ref="B182" location="Trimestre!C25:F26" display="HIPOTECA" xr:uid="{00000000-0004-0000-0300-000016000000}"/>
    <hyperlink ref="B182:G183" location="'2018'!K29:N29" display="'2018'!K29:N29" xr:uid="{00000000-0004-0000-0300-000017000000}"/>
    <hyperlink ref="B202" location="Trimestre!C25:F26" display="HIPOTECA" xr:uid="{00000000-0004-0000-0300-000018000000}"/>
    <hyperlink ref="B202:G203" location="'2018'!K30:N30" display="'2018'!K30:N30" xr:uid="{00000000-0004-0000-0300-000019000000}"/>
    <hyperlink ref="B222" location="Trimestre!C25:F26" display="HIPOTECA" xr:uid="{00000000-0004-0000-0300-00001A000000}"/>
    <hyperlink ref="B222:G223" location="'2018'!K31:N31" display="'2018'!K31:N31" xr:uid="{00000000-0004-0000-0300-00001B000000}"/>
    <hyperlink ref="B242" location="Trimestre!C25:F26" display="HIPOTECA" xr:uid="{00000000-0004-0000-0300-00001C000000}"/>
    <hyperlink ref="B242:G243" location="'2018'!K32:N32" display="'2018'!K32:N32" xr:uid="{00000000-0004-0000-0300-00001D000000}"/>
    <hyperlink ref="B262" location="Trimestre!C25:F26" display="HIPOTECA" xr:uid="{00000000-0004-0000-0300-00001E000000}"/>
    <hyperlink ref="B262:G263" location="'2018'!K33:N33" display="'2018'!K33:N33" xr:uid="{00000000-0004-0000-0300-00001F000000}"/>
    <hyperlink ref="B282" location="Trimestre!C25:F26" display="HIPOTECA" xr:uid="{00000000-0004-0000-0300-000020000000}"/>
    <hyperlink ref="B282:G283" location="'2018'!K34:N34" display="'2018'!K34:N34" xr:uid="{00000000-0004-0000-0300-000021000000}"/>
    <hyperlink ref="B302" location="Trimestre!C25:F26" display="HIPOTECA" xr:uid="{00000000-0004-0000-0300-000022000000}"/>
    <hyperlink ref="B302:G303" location="'2018'!K35:N35" display="'2018'!K35:N35" xr:uid="{00000000-0004-0000-0300-000023000000}"/>
    <hyperlink ref="B322" location="Trimestre!C25:F26" display="HIPOTECA" xr:uid="{00000000-0004-0000-0300-000024000000}"/>
    <hyperlink ref="B322:G323" location="'2018'!K36:N36" display="'2018'!K36:N36" xr:uid="{00000000-0004-0000-0300-000025000000}"/>
    <hyperlink ref="B342" location="Trimestre!C25:F26" display="HIPOTECA" xr:uid="{00000000-0004-0000-0300-000026000000}"/>
    <hyperlink ref="B342:G343" location="'2018'!K37:N37" display="'2018'!K37:N37" xr:uid="{00000000-0004-0000-0300-000027000000}"/>
    <hyperlink ref="B362" location="Trimestre!C25:F26" display="HIPOTECA" xr:uid="{00000000-0004-0000-0300-000028000000}"/>
    <hyperlink ref="B362:G363" location="'2018'!K38:N38" display="'2018'!K38:N38" xr:uid="{00000000-0004-0000-0300-000029000000}"/>
    <hyperlink ref="B382" location="Trimestre!C25:F26" display="HIPOTECA" xr:uid="{00000000-0004-0000-0300-00002A000000}"/>
    <hyperlink ref="B382:G383" location="'2018'!K39:N39" display="'2018'!K39:N39" xr:uid="{00000000-0004-0000-0300-00002B000000}"/>
    <hyperlink ref="B402" location="Trimestre!C25:F26" display="HIPOTECA" xr:uid="{00000000-0004-0000-0300-00002C000000}"/>
    <hyperlink ref="B402:G403" location="'2018'!K40:N40" display="'2018'!K40:N40" xr:uid="{00000000-0004-0000-0300-00002D000000}"/>
    <hyperlink ref="B422" location="Trimestre!C25:F26" display="HIPOTECA" xr:uid="{00000000-0004-0000-0300-00002E000000}"/>
    <hyperlink ref="B422:G423" location="'2018'!K41:N41" display="'2018'!K41:N41" xr:uid="{00000000-0004-0000-0300-00002F000000}"/>
    <hyperlink ref="B442" location="Trimestre!C25:F26" display="HIPOTECA" xr:uid="{00000000-0004-0000-0300-000030000000}"/>
    <hyperlink ref="B442:G443" location="'2018'!K42:N42" display="'2018'!K42:N42" xr:uid="{00000000-0004-0000-0300-000031000000}"/>
    <hyperlink ref="B462" location="Trimestre!C25:F26" display="HIPOTECA" xr:uid="{00000000-0004-0000-0300-000032000000}"/>
    <hyperlink ref="B462:G463" location="'2018'!K43:N43" display="'2018'!K43:N43" xr:uid="{00000000-0004-0000-0300-000033000000}"/>
    <hyperlink ref="B482" location="Trimestre!C25:F26" display="HIPOTECA" xr:uid="{00000000-0004-0000-0300-000034000000}"/>
    <hyperlink ref="B482:G483" location="'2018'!K44:N44" display="'2018'!K44:N44" xr:uid="{00000000-0004-0000-0300-000035000000}"/>
    <hyperlink ref="B502" location="Trimestre!C25:F26" display="HIPOTECA" xr:uid="{00000000-0004-0000-0300-000036000000}"/>
    <hyperlink ref="B502:G503" location="'2018'!K45:N45" display="'2018'!K45:N45" xr:uid="{00000000-0004-0000-0300-000037000000}"/>
  </hyperlinks>
  <pageMargins left="0.7" right="0.7" top="0.75" bottom="0.75" header="0.3" footer="0.3"/>
  <pageSetup paperSize="9"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520"/>
  <sheetViews>
    <sheetView workbookViewId="0">
      <selection activeCell="D13" sqref="D13"/>
    </sheetView>
  </sheetViews>
  <sheetFormatPr defaultColWidth="11.42578125" defaultRowHeight="15"/>
  <cols>
    <col min="1" max="1" width="11.42578125" style="137"/>
    <col min="2" max="2" width="10" style="137" customWidth="1"/>
    <col min="3" max="3" width="33.28515625" style="137" customWidth="1"/>
    <col min="4" max="6" width="10" style="137" customWidth="1"/>
    <col min="7" max="7" width="33.28515625" style="137" customWidth="1"/>
    <col min="8" max="9" width="11.42578125" style="137"/>
    <col min="10" max="10" width="31.28515625" style="137" customWidth="1"/>
    <col min="11" max="16384" width="11.42578125" style="137"/>
  </cols>
  <sheetData>
    <row r="1" spans="1:22" ht="16.5" thickBot="1">
      <c r="A1" s="1"/>
      <c r="B1" s="1"/>
      <c r="C1" s="1"/>
      <c r="D1" s="1"/>
      <c r="E1" s="1"/>
      <c r="F1" s="1"/>
      <c r="G1" s="1"/>
      <c r="H1" s="30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89" t="str">
        <f>'2018'!A20</f>
        <v>Cártama Gastos</v>
      </c>
      <c r="C2" s="290"/>
      <c r="D2" s="290"/>
      <c r="E2" s="290"/>
      <c r="F2" s="290"/>
      <c r="G2" s="291"/>
      <c r="H2" s="1"/>
      <c r="I2" s="302" t="s">
        <v>4</v>
      </c>
      <c r="J2" s="290"/>
      <c r="K2" s="290"/>
      <c r="L2" s="291"/>
      <c r="M2" s="1"/>
      <c r="N2" s="1"/>
      <c r="R2" s="3"/>
    </row>
    <row r="3" spans="1:22" ht="16.5" thickBot="1">
      <c r="A3" s="1"/>
      <c r="B3" s="292"/>
      <c r="C3" s="293"/>
      <c r="D3" s="293"/>
      <c r="E3" s="293"/>
      <c r="F3" s="293"/>
      <c r="G3" s="294"/>
      <c r="H3" s="1"/>
      <c r="I3" s="292"/>
      <c r="J3" s="293"/>
      <c r="K3" s="293"/>
      <c r="L3" s="294"/>
      <c r="M3" s="1"/>
      <c r="N3" s="1"/>
      <c r="R3" s="3"/>
    </row>
    <row r="4" spans="1:22" ht="15.75">
      <c r="A4" s="1"/>
      <c r="B4" s="297" t="s">
        <v>10</v>
      </c>
      <c r="C4" s="296"/>
      <c r="D4" s="295" t="s">
        <v>11</v>
      </c>
      <c r="E4" s="295"/>
      <c r="F4" s="295"/>
      <c r="G4" s="296"/>
      <c r="H4" s="1"/>
      <c r="I4" s="31" t="s">
        <v>70</v>
      </c>
      <c r="J4" s="32" t="s">
        <v>71</v>
      </c>
      <c r="K4" s="303" t="s">
        <v>72</v>
      </c>
      <c r="L4" s="304"/>
      <c r="M4" s="1"/>
      <c r="N4" s="1"/>
      <c r="R4" s="3"/>
    </row>
    <row r="5" spans="1:22" ht="15.75">
      <c r="A5" s="1" t="s">
        <v>608</v>
      </c>
      <c r="B5" s="52" t="s">
        <v>32</v>
      </c>
      <c r="C5" s="60" t="s">
        <v>33</v>
      </c>
      <c r="D5" s="52" t="s">
        <v>68</v>
      </c>
      <c r="E5" s="53" t="s">
        <v>69</v>
      </c>
      <c r="F5" s="53" t="s">
        <v>32</v>
      </c>
      <c r="G5" s="60" t="s">
        <v>33</v>
      </c>
      <c r="H5" s="1"/>
      <c r="I5" s="61" t="s">
        <v>73</v>
      </c>
      <c r="J5" s="3" t="s">
        <v>74</v>
      </c>
      <c r="K5" s="305">
        <v>1117.3699999999999</v>
      </c>
      <c r="L5" s="306"/>
      <c r="M5" s="82"/>
      <c r="N5" s="1"/>
      <c r="R5" s="3"/>
    </row>
    <row r="6" spans="1:22" ht="15.75">
      <c r="A6" s="163">
        <f>'03'!A6+B6-E6</f>
        <v>2.5500000000000114</v>
      </c>
      <c r="B6" s="54">
        <v>399</v>
      </c>
      <c r="C6" s="36" t="s">
        <v>311</v>
      </c>
      <c r="D6" s="57"/>
      <c r="E6" s="58">
        <v>398.31</v>
      </c>
      <c r="F6" s="58"/>
      <c r="G6" s="33" t="s">
        <v>35</v>
      </c>
      <c r="H6" s="1"/>
      <c r="I6" s="62" t="s">
        <v>73</v>
      </c>
      <c r="J6" s="35" t="s">
        <v>75</v>
      </c>
      <c r="K6" s="298">
        <v>292.37</v>
      </c>
      <c r="L6" s="299"/>
      <c r="M6" s="1" t="s">
        <v>266</v>
      </c>
      <c r="N6" s="1"/>
      <c r="R6" s="3"/>
    </row>
    <row r="7" spans="1:22" ht="15.75">
      <c r="A7" s="163">
        <f>'03'!A7+B7-E7</f>
        <v>-449.3</v>
      </c>
      <c r="B7" s="55">
        <v>60</v>
      </c>
      <c r="C7" s="33" t="s">
        <v>325</v>
      </c>
      <c r="D7" s="57"/>
      <c r="E7" s="58">
        <v>17.46</v>
      </c>
      <c r="F7" s="58"/>
      <c r="G7" s="33" t="s">
        <v>106</v>
      </c>
      <c r="H7" s="82"/>
      <c r="I7" s="62" t="s">
        <v>76</v>
      </c>
      <c r="J7" s="35" t="s">
        <v>77</v>
      </c>
      <c r="K7" s="298">
        <f>6685.64-16.84-6.88</f>
        <v>6661.92</v>
      </c>
      <c r="L7" s="299"/>
      <c r="M7" s="1"/>
      <c r="N7" s="1"/>
      <c r="R7" s="3"/>
    </row>
    <row r="8" spans="1:22" ht="15.75">
      <c r="A8" s="163">
        <f>'03'!A8+B8-E8</f>
        <v>-219.42000000000002</v>
      </c>
      <c r="B8" s="55">
        <v>0</v>
      </c>
      <c r="C8" s="33" t="s">
        <v>38</v>
      </c>
      <c r="D8" s="57"/>
      <c r="E8" s="58">
        <v>100.01</v>
      </c>
      <c r="F8" s="58"/>
      <c r="G8" s="33" t="s">
        <v>38</v>
      </c>
      <c r="H8" s="1"/>
      <c r="I8" s="62" t="s">
        <v>76</v>
      </c>
      <c r="J8" s="35" t="s">
        <v>78</v>
      </c>
      <c r="K8" s="298">
        <v>5000</v>
      </c>
      <c r="L8" s="299"/>
      <c r="M8" s="1"/>
      <c r="N8" s="1"/>
      <c r="R8" s="3"/>
    </row>
    <row r="9" spans="1:22" ht="15.75">
      <c r="A9" s="163">
        <f>'03'!A9+B9-E9</f>
        <v>0</v>
      </c>
      <c r="B9" s="55">
        <v>0</v>
      </c>
      <c r="C9" s="33" t="s">
        <v>40</v>
      </c>
      <c r="D9" s="57"/>
      <c r="E9" s="58"/>
      <c r="F9" s="58"/>
      <c r="G9" s="33" t="s">
        <v>40</v>
      </c>
      <c r="H9" s="1"/>
      <c r="I9" s="62" t="s">
        <v>76</v>
      </c>
      <c r="J9" s="35" t="s">
        <v>267</v>
      </c>
      <c r="K9" s="298">
        <v>621.13</v>
      </c>
      <c r="L9" s="299"/>
      <c r="M9" s="1"/>
      <c r="N9" s="1"/>
      <c r="R9" s="3"/>
    </row>
    <row r="10" spans="1:22" ht="15.75">
      <c r="A10" s="163">
        <f>'03'!A10+B10-E10</f>
        <v>3</v>
      </c>
      <c r="B10" s="55">
        <v>12</v>
      </c>
      <c r="C10" s="33" t="s">
        <v>39</v>
      </c>
      <c r="D10" s="57"/>
      <c r="E10" s="58">
        <v>12</v>
      </c>
      <c r="F10" s="58"/>
      <c r="G10" s="33" t="s">
        <v>39</v>
      </c>
      <c r="H10" s="1"/>
      <c r="I10" s="62" t="s">
        <v>76</v>
      </c>
      <c r="J10" s="35" t="s">
        <v>115</v>
      </c>
      <c r="K10" s="298">
        <v>1800.04</v>
      </c>
      <c r="L10" s="299"/>
      <c r="M10" s="1" t="s">
        <v>265</v>
      </c>
      <c r="N10" s="1"/>
      <c r="R10" s="3"/>
    </row>
    <row r="11" spans="1:22" ht="15.75">
      <c r="A11" s="163">
        <f>'03'!A11+B11-E11</f>
        <v>3.0400000000000027</v>
      </c>
      <c r="B11" s="55">
        <v>31</v>
      </c>
      <c r="C11" s="33" t="s">
        <v>37</v>
      </c>
      <c r="D11" s="57"/>
      <c r="E11" s="58">
        <v>30.24</v>
      </c>
      <c r="F11" s="58"/>
      <c r="G11" s="33" t="s">
        <v>37</v>
      </c>
      <c r="H11" s="1"/>
      <c r="I11" s="62" t="s">
        <v>93</v>
      </c>
      <c r="J11" s="35" t="s">
        <v>94</v>
      </c>
      <c r="K11" s="298">
        <f>90+30+15</f>
        <v>135</v>
      </c>
      <c r="L11" s="299"/>
      <c r="M11" s="1"/>
      <c r="N11" s="1"/>
      <c r="R11" s="3"/>
    </row>
    <row r="12" spans="1:22" ht="15.75">
      <c r="A12" s="163">
        <f>'03'!A12+B12-E12</f>
        <v>385.52</v>
      </c>
      <c r="B12" s="55">
        <v>120</v>
      </c>
      <c r="C12" s="33" t="s">
        <v>195</v>
      </c>
      <c r="D12" s="57"/>
      <c r="E12" s="58">
        <v>43.62</v>
      </c>
      <c r="F12" s="58"/>
      <c r="G12" s="33" t="s">
        <v>224</v>
      </c>
      <c r="H12" s="1"/>
      <c r="I12" s="62" t="s">
        <v>303</v>
      </c>
      <c r="J12" s="35" t="s">
        <v>304</v>
      </c>
      <c r="K12" s="298">
        <v>5092.08</v>
      </c>
      <c r="L12" s="299"/>
      <c r="M12" s="140"/>
      <c r="N12" s="1"/>
      <c r="R12" s="3"/>
    </row>
    <row r="13" spans="1:22" ht="15.75">
      <c r="A13" s="163">
        <f>'03'!A13+B13-D13</f>
        <v>67.069999999999979</v>
      </c>
      <c r="B13" s="55">
        <v>50</v>
      </c>
      <c r="C13" s="33" t="s">
        <v>196</v>
      </c>
      <c r="D13" s="57">
        <v>82.95</v>
      </c>
      <c r="E13" s="58"/>
      <c r="F13" s="58"/>
      <c r="G13" s="33" t="s">
        <v>352</v>
      </c>
      <c r="H13" s="1"/>
      <c r="I13" s="62"/>
      <c r="J13" s="35"/>
      <c r="K13" s="298"/>
      <c r="L13" s="299"/>
      <c r="M13" s="1"/>
      <c r="N13" s="1"/>
      <c r="R13" s="3"/>
    </row>
    <row r="14" spans="1:22" ht="15.75">
      <c r="A14" s="163">
        <f>'03'!A14+B14-E14</f>
        <v>100</v>
      </c>
      <c r="B14" s="55">
        <v>25</v>
      </c>
      <c r="C14" s="33" t="s">
        <v>206</v>
      </c>
      <c r="D14" s="57"/>
      <c r="E14" s="58"/>
      <c r="F14" s="58"/>
      <c r="G14" s="33"/>
      <c r="H14" s="1"/>
      <c r="I14" s="62"/>
      <c r="J14" s="35"/>
      <c r="K14" s="298"/>
      <c r="L14" s="299"/>
      <c r="M14" s="1"/>
      <c r="N14" s="1"/>
      <c r="R14" s="3"/>
    </row>
    <row r="15" spans="1:22" ht="15.75">
      <c r="A15" s="163">
        <f>'03'!A15+B15-E15</f>
        <v>7</v>
      </c>
      <c r="B15" s="55">
        <v>7</v>
      </c>
      <c r="C15" s="33" t="s">
        <v>352</v>
      </c>
      <c r="D15" s="57"/>
      <c r="E15" s="58"/>
      <c r="F15" s="58"/>
      <c r="G15" s="33"/>
      <c r="H15" s="1"/>
      <c r="I15" s="62"/>
      <c r="J15" s="35"/>
      <c r="K15" s="298"/>
      <c r="L15" s="299"/>
      <c r="M15" s="1"/>
      <c r="N15" s="1"/>
      <c r="R15" s="3"/>
    </row>
    <row r="16" spans="1:22" ht="15.75">
      <c r="A16" s="163">
        <f>'03'!A16+B16-E16</f>
        <v>0</v>
      </c>
      <c r="B16" s="55"/>
      <c r="C16" s="33"/>
      <c r="D16" s="57"/>
      <c r="E16" s="58"/>
      <c r="F16" s="58"/>
      <c r="G16" s="33"/>
      <c r="H16" s="1"/>
      <c r="I16" s="62"/>
      <c r="J16" s="35"/>
      <c r="K16" s="298"/>
      <c r="L16" s="299"/>
      <c r="M16" s="1"/>
      <c r="N16" s="1"/>
      <c r="R16" s="3"/>
    </row>
    <row r="17" spans="1:18" ht="15.75">
      <c r="A17" s="1"/>
      <c r="B17" s="55"/>
      <c r="C17" s="33"/>
      <c r="D17" s="57"/>
      <c r="E17" s="58"/>
      <c r="F17" s="58"/>
      <c r="G17" s="33"/>
      <c r="H17" s="1"/>
      <c r="I17" s="62"/>
      <c r="J17" s="35"/>
      <c r="K17" s="298"/>
      <c r="L17" s="299"/>
      <c r="M17" s="1"/>
      <c r="N17" s="1"/>
      <c r="R17" s="3"/>
    </row>
    <row r="18" spans="1:18" ht="16.5" thickBot="1">
      <c r="A18" s="1"/>
      <c r="B18" s="55"/>
      <c r="C18" s="33"/>
      <c r="D18" s="57"/>
      <c r="E18" s="58"/>
      <c r="F18" s="58"/>
      <c r="G18" s="33"/>
      <c r="H18" s="1"/>
      <c r="I18" s="63"/>
      <c r="J18" s="37"/>
      <c r="K18" s="300"/>
      <c r="L18" s="301"/>
      <c r="M18" s="1"/>
      <c r="N18" s="1"/>
      <c r="R18" s="3"/>
    </row>
    <row r="19" spans="1:18" ht="16.5" thickBot="1">
      <c r="A19" s="1"/>
      <c r="B19" s="56"/>
      <c r="C19" s="34"/>
      <c r="D19" s="56"/>
      <c r="E19" s="59"/>
      <c r="F19" s="59"/>
      <c r="G19" s="34"/>
      <c r="H19" s="1"/>
      <c r="I19" s="63" t="s">
        <v>83</v>
      </c>
      <c r="J19" s="37"/>
      <c r="K19" s="300">
        <f>SUM(K5:K18)</f>
        <v>20719.909999999996</v>
      </c>
      <c r="L19" s="301"/>
      <c r="M19" s="1"/>
      <c r="N19" s="1"/>
      <c r="R19" s="3"/>
    </row>
    <row r="20" spans="1:18" ht="16.5" thickBot="1">
      <c r="A20" s="163">
        <f>SUM(A6:A15)</f>
        <v>-100.54000000000013</v>
      </c>
      <c r="B20" s="56">
        <f>SUM(B6:B19)</f>
        <v>704</v>
      </c>
      <c r="C20" s="34" t="s">
        <v>66</v>
      </c>
      <c r="D20" s="56">
        <f>SUM(D6:D19)</f>
        <v>82.95</v>
      </c>
      <c r="E20" s="56">
        <f>SUM(E6:E19)</f>
        <v>601.64</v>
      </c>
      <c r="F20" s="56">
        <f>SUM(F6:F19)</f>
        <v>0</v>
      </c>
      <c r="G20" s="34" t="s">
        <v>66</v>
      </c>
      <c r="H20" s="1"/>
      <c r="I20" s="137" t="s">
        <v>116</v>
      </c>
      <c r="L20" s="140">
        <f>K19-K10-K12</f>
        <v>13827.789999999995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89" t="str">
        <f>'2018'!A21</f>
        <v>Waterloo</v>
      </c>
      <c r="C22" s="290"/>
      <c r="D22" s="290"/>
      <c r="E22" s="290"/>
      <c r="F22" s="290"/>
      <c r="G22" s="291"/>
      <c r="H22" s="1"/>
      <c r="I22" s="302" t="s">
        <v>6</v>
      </c>
      <c r="J22" s="290"/>
      <c r="K22" s="290"/>
      <c r="L22" s="291"/>
      <c r="M22" s="1"/>
      <c r="R22" s="3"/>
    </row>
    <row r="23" spans="1:18" ht="16.149999999999999" customHeight="1" thickBot="1">
      <c r="A23" s="1"/>
      <c r="B23" s="292"/>
      <c r="C23" s="293"/>
      <c r="D23" s="293"/>
      <c r="E23" s="293"/>
      <c r="F23" s="293"/>
      <c r="G23" s="294"/>
      <c r="H23" s="1"/>
      <c r="I23" s="292"/>
      <c r="J23" s="293"/>
      <c r="K23" s="293"/>
      <c r="L23" s="294"/>
      <c r="M23" s="1"/>
      <c r="R23" s="3"/>
    </row>
    <row r="24" spans="1:18" ht="15.75">
      <c r="A24" s="1"/>
      <c r="B24" s="297" t="s">
        <v>10</v>
      </c>
      <c r="C24" s="296"/>
      <c r="D24" s="295" t="s">
        <v>11</v>
      </c>
      <c r="E24" s="295"/>
      <c r="F24" s="295"/>
      <c r="G24" s="296"/>
      <c r="H24" s="1"/>
      <c r="I24" s="88" t="s">
        <v>33</v>
      </c>
      <c r="J24" s="32" t="s">
        <v>133</v>
      </c>
      <c r="K24" s="303" t="s">
        <v>134</v>
      </c>
      <c r="L24" s="304"/>
      <c r="M24" s="1"/>
      <c r="R24" s="3"/>
    </row>
    <row r="25" spans="1:18" ht="15.75">
      <c r="A25" s="1"/>
      <c r="B25" s="52" t="s">
        <v>32</v>
      </c>
      <c r="C25" s="60" t="s">
        <v>33</v>
      </c>
      <c r="D25" s="52" t="s">
        <v>68</v>
      </c>
      <c r="E25" s="53" t="s">
        <v>69</v>
      </c>
      <c r="F25" s="53" t="s">
        <v>32</v>
      </c>
      <c r="G25" s="60" t="s">
        <v>33</v>
      </c>
      <c r="H25" s="1"/>
      <c r="I25" s="151">
        <v>2</v>
      </c>
      <c r="J25" s="35" t="s">
        <v>276</v>
      </c>
      <c r="K25" s="305">
        <v>249.22</v>
      </c>
      <c r="L25" s="306"/>
      <c r="M25" s="1"/>
      <c r="R25" s="3"/>
    </row>
    <row r="26" spans="1:18" ht="15.75">
      <c r="A26" s="1"/>
      <c r="B26" s="54">
        <v>900</v>
      </c>
      <c r="C26" s="66" t="s">
        <v>42</v>
      </c>
      <c r="D26" s="57">
        <v>900</v>
      </c>
      <c r="E26" s="58"/>
      <c r="F26" s="58"/>
      <c r="G26" s="33" t="s">
        <v>42</v>
      </c>
      <c r="H26" s="1"/>
      <c r="I26" s="151">
        <v>2</v>
      </c>
      <c r="J26" s="35" t="s">
        <v>336</v>
      </c>
      <c r="K26" s="298">
        <v>197.22</v>
      </c>
      <c r="L26" s="299"/>
      <c r="M26" s="1"/>
      <c r="R26" s="3"/>
    </row>
    <row r="27" spans="1:18" ht="15.75">
      <c r="A27" s="1"/>
      <c r="B27" s="55">
        <v>200</v>
      </c>
      <c r="C27" s="66" t="s">
        <v>44</v>
      </c>
      <c r="D27" s="57">
        <f>30.68+104.38</f>
        <v>135.06</v>
      </c>
      <c r="E27" s="58"/>
      <c r="F27" s="58"/>
      <c r="G27" s="33" t="s">
        <v>44</v>
      </c>
      <c r="H27" s="1"/>
      <c r="I27" s="151">
        <v>6</v>
      </c>
      <c r="J27" s="35" t="s">
        <v>355</v>
      </c>
      <c r="K27" s="298">
        <v>2290.23</v>
      </c>
      <c r="L27" s="299"/>
      <c r="M27" s="1"/>
      <c r="R27" s="3"/>
    </row>
    <row r="28" spans="1:18" ht="15.75">
      <c r="A28" s="1"/>
      <c r="B28" s="55">
        <v>40</v>
      </c>
      <c r="C28" s="66" t="s">
        <v>45</v>
      </c>
      <c r="D28" s="57">
        <v>258.52</v>
      </c>
      <c r="E28" s="58"/>
      <c r="F28" s="58"/>
      <c r="G28" s="33" t="s">
        <v>45</v>
      </c>
      <c r="H28" s="1"/>
      <c r="I28" s="151">
        <v>5</v>
      </c>
      <c r="J28" s="35" t="s">
        <v>356</v>
      </c>
      <c r="K28" s="298">
        <v>80.099999999999994</v>
      </c>
      <c r="L28" s="299"/>
      <c r="M28" s="1"/>
      <c r="R28" s="3"/>
    </row>
    <row r="29" spans="1:18" ht="15.75">
      <c r="A29" s="1"/>
      <c r="B29" s="55">
        <v>18</v>
      </c>
      <c r="C29" s="66" t="s">
        <v>41</v>
      </c>
      <c r="D29" s="57"/>
      <c r="E29" s="58"/>
      <c r="F29" s="58"/>
      <c r="G29" s="33" t="s">
        <v>41</v>
      </c>
      <c r="H29" s="1"/>
      <c r="I29" s="151">
        <v>4</v>
      </c>
      <c r="J29" s="35" t="s">
        <v>357</v>
      </c>
      <c r="K29" s="298">
        <v>0.03</v>
      </c>
      <c r="L29" s="299"/>
      <c r="M29" s="1"/>
      <c r="R29" s="3"/>
    </row>
    <row r="30" spans="1:18" ht="15.75">
      <c r="A30" s="1"/>
      <c r="B30" s="55"/>
      <c r="C30" s="66"/>
      <c r="D30" s="57"/>
      <c r="E30" s="58"/>
      <c r="F30" s="58"/>
      <c r="G30" s="33"/>
      <c r="H30" s="1"/>
      <c r="I30" s="151">
        <v>2</v>
      </c>
      <c r="J30" s="35" t="s">
        <v>276</v>
      </c>
      <c r="K30" s="298">
        <v>325.64</v>
      </c>
      <c r="L30" s="299"/>
      <c r="M30" s="1"/>
      <c r="R30" s="3"/>
    </row>
    <row r="31" spans="1:18" ht="15.75">
      <c r="A31" s="1"/>
      <c r="B31" s="55"/>
      <c r="C31" s="33"/>
      <c r="D31" s="57"/>
      <c r="E31" s="58"/>
      <c r="F31" s="58"/>
      <c r="G31" s="33"/>
      <c r="H31" s="1"/>
      <c r="I31" s="151"/>
      <c r="J31" s="35"/>
      <c r="K31" s="298"/>
      <c r="L31" s="299"/>
      <c r="M31" s="1"/>
      <c r="R31" s="3"/>
    </row>
    <row r="32" spans="1:18" ht="15.75">
      <c r="A32" s="1"/>
      <c r="B32" s="55"/>
      <c r="C32" s="33"/>
      <c r="D32" s="57"/>
      <c r="E32" s="58"/>
      <c r="F32" s="58"/>
      <c r="G32" s="33"/>
      <c r="H32" s="1"/>
      <c r="I32" s="151"/>
      <c r="J32" s="35"/>
      <c r="K32" s="298"/>
      <c r="L32" s="299"/>
      <c r="M32" s="1"/>
      <c r="R32" s="3"/>
    </row>
    <row r="33" spans="1:18" ht="15.75">
      <c r="A33" s="1"/>
      <c r="B33" s="55"/>
      <c r="C33" s="33"/>
      <c r="D33" s="57"/>
      <c r="E33" s="58"/>
      <c r="F33" s="58"/>
      <c r="G33" s="33"/>
      <c r="H33" s="1"/>
      <c r="I33" s="151"/>
      <c r="J33" s="35"/>
      <c r="K33" s="298"/>
      <c r="L33" s="299"/>
      <c r="M33" s="1"/>
      <c r="R33" s="3"/>
    </row>
    <row r="34" spans="1:18" ht="15.75">
      <c r="A34" s="1"/>
      <c r="B34" s="55"/>
      <c r="C34" s="33"/>
      <c r="D34" s="57"/>
      <c r="E34" s="58"/>
      <c r="F34" s="58"/>
      <c r="G34" s="33"/>
      <c r="H34" s="1"/>
      <c r="I34" s="151"/>
      <c r="J34" s="35"/>
      <c r="K34" s="298"/>
      <c r="L34" s="299"/>
      <c r="M34" s="1"/>
      <c r="R34" s="3"/>
    </row>
    <row r="35" spans="1:18" ht="15.75">
      <c r="A35" s="1"/>
      <c r="B35" s="55"/>
      <c r="C35" s="33"/>
      <c r="D35" s="57"/>
      <c r="E35" s="58"/>
      <c r="F35" s="58"/>
      <c r="G35" s="33"/>
      <c r="H35" s="1"/>
      <c r="I35" s="151"/>
      <c r="J35" s="35"/>
      <c r="K35" s="298"/>
      <c r="L35" s="299"/>
      <c r="M35" s="1"/>
      <c r="R35" s="3"/>
    </row>
    <row r="36" spans="1:18" ht="15.75">
      <c r="A36" s="1"/>
      <c r="B36" s="55"/>
      <c r="C36" s="33"/>
      <c r="D36" s="57"/>
      <c r="E36" s="58"/>
      <c r="F36" s="58"/>
      <c r="G36" s="33"/>
      <c r="H36" s="1"/>
      <c r="I36" s="151"/>
      <c r="J36" s="35"/>
      <c r="K36" s="298"/>
      <c r="L36" s="299"/>
      <c r="M36" s="1"/>
      <c r="R36" s="3"/>
    </row>
    <row r="37" spans="1:18" ht="15.75">
      <c r="A37" s="1"/>
      <c r="B37" s="55"/>
      <c r="C37" s="33"/>
      <c r="D37" s="57"/>
      <c r="E37" s="58"/>
      <c r="F37" s="58"/>
      <c r="G37" s="33"/>
      <c r="H37" s="1"/>
      <c r="I37" s="151"/>
      <c r="J37" s="35"/>
      <c r="K37" s="298"/>
      <c r="L37" s="299"/>
      <c r="M37" s="1"/>
      <c r="R37" s="3"/>
    </row>
    <row r="38" spans="1:18" ht="16.5" thickBot="1">
      <c r="A38" s="1"/>
      <c r="B38" s="55"/>
      <c r="C38" s="33"/>
      <c r="D38" s="57"/>
      <c r="E38" s="58"/>
      <c r="F38" s="58"/>
      <c r="G38" s="33"/>
      <c r="H38" s="1"/>
      <c r="I38" s="152"/>
      <c r="J38" s="37"/>
      <c r="K38" s="300"/>
      <c r="L38" s="301"/>
      <c r="M38" s="1"/>
      <c r="R38" s="3"/>
    </row>
    <row r="39" spans="1:18" ht="16.5" thickBot="1">
      <c r="A39" s="1"/>
      <c r="B39" s="56"/>
      <c r="C39" s="34"/>
      <c r="D39" s="56"/>
      <c r="E39" s="59"/>
      <c r="F39" s="59"/>
      <c r="G39" s="34"/>
      <c r="H39" s="1"/>
      <c r="M39" s="1"/>
      <c r="R39" s="3"/>
    </row>
    <row r="40" spans="1:18" ht="16.5" thickBot="1">
      <c r="A40" s="1"/>
      <c r="B40" s="56">
        <f>SUM(B26:B39)</f>
        <v>1158</v>
      </c>
      <c r="C40" s="34" t="s">
        <v>66</v>
      </c>
      <c r="D40" s="56">
        <f>SUM(D26:D39)</f>
        <v>1293.58</v>
      </c>
      <c r="E40" s="56">
        <f>SUM(E26:E39)</f>
        <v>0</v>
      </c>
      <c r="F40" s="56">
        <f>SUM(F26:F39)</f>
        <v>0</v>
      </c>
      <c r="G40" s="34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89" t="str">
        <f>'2018'!A22</f>
        <v>Comida+Limpieza</v>
      </c>
      <c r="C42" s="290"/>
      <c r="D42" s="290"/>
      <c r="E42" s="290"/>
      <c r="F42" s="290"/>
      <c r="G42" s="291"/>
      <c r="H42" s="1"/>
      <c r="M42" s="1"/>
      <c r="R42" s="3"/>
    </row>
    <row r="43" spans="1:18" ht="16.149999999999999" customHeight="1" thickBot="1">
      <c r="A43" s="1"/>
      <c r="B43" s="292"/>
      <c r="C43" s="293"/>
      <c r="D43" s="293"/>
      <c r="E43" s="293"/>
      <c r="F43" s="293"/>
      <c r="G43" s="294"/>
      <c r="H43" s="1"/>
      <c r="M43" s="1"/>
      <c r="R43" s="3"/>
    </row>
    <row r="44" spans="1:18" ht="15.75">
      <c r="A44" s="1"/>
      <c r="B44" s="297" t="s">
        <v>10</v>
      </c>
      <c r="C44" s="296"/>
      <c r="D44" s="295" t="s">
        <v>11</v>
      </c>
      <c r="E44" s="295"/>
      <c r="F44" s="295"/>
      <c r="G44" s="296"/>
      <c r="H44" s="1"/>
      <c r="M44" s="1"/>
      <c r="R44" s="3"/>
    </row>
    <row r="45" spans="1:18" ht="15.75">
      <c r="A45" s="1"/>
      <c r="B45" s="52" t="s">
        <v>32</v>
      </c>
      <c r="C45" s="60" t="s">
        <v>33</v>
      </c>
      <c r="D45" s="52" t="s">
        <v>68</v>
      </c>
      <c r="E45" s="53" t="s">
        <v>69</v>
      </c>
      <c r="F45" s="53" t="s">
        <v>32</v>
      </c>
      <c r="G45" s="60" t="s">
        <v>33</v>
      </c>
      <c r="H45" s="1"/>
      <c r="M45" s="1"/>
      <c r="R45" s="3"/>
    </row>
    <row r="46" spans="1:18" ht="15.75">
      <c r="A46" s="1"/>
      <c r="B46" s="54">
        <v>360</v>
      </c>
      <c r="C46" s="36"/>
      <c r="D46" s="57">
        <f>101.37+37.45+32.49</f>
        <v>171.31</v>
      </c>
      <c r="E46" s="58"/>
      <c r="F46" s="58"/>
      <c r="G46" s="69" t="s">
        <v>47</v>
      </c>
      <c r="H46" s="1"/>
      <c r="M46" s="1"/>
      <c r="R46" s="3"/>
    </row>
    <row r="47" spans="1:18" ht="15.75">
      <c r="A47" s="1"/>
      <c r="B47" s="55">
        <v>20</v>
      </c>
      <c r="C47" s="33" t="s">
        <v>110</v>
      </c>
      <c r="D47" s="57">
        <f>108.9-D146+31.37</f>
        <v>60.050000000000011</v>
      </c>
      <c r="E47" s="58"/>
      <c r="F47" s="58"/>
      <c r="G47" s="33" t="s">
        <v>48</v>
      </c>
      <c r="H47" s="1"/>
      <c r="M47" s="1"/>
      <c r="R47" s="3"/>
    </row>
    <row r="48" spans="1:18" ht="15.75">
      <c r="A48" s="1"/>
      <c r="B48" s="55">
        <v>20</v>
      </c>
      <c r="C48" s="33" t="s">
        <v>259</v>
      </c>
      <c r="D48" s="57">
        <f>11.16+13.38+122.9</f>
        <v>147.44</v>
      </c>
      <c r="E48" s="58"/>
      <c r="F48" s="58"/>
      <c r="G48" s="33" t="s">
        <v>84</v>
      </c>
      <c r="H48" s="1"/>
      <c r="M48" s="1"/>
      <c r="R48" s="3"/>
    </row>
    <row r="49" spans="1:18" ht="15.75">
      <c r="A49" s="1"/>
      <c r="B49" s="55">
        <v>10</v>
      </c>
      <c r="C49" s="33" t="s">
        <v>329</v>
      </c>
      <c r="D49" s="57">
        <f>12.02+1.54</f>
        <v>13.559999999999999</v>
      </c>
      <c r="E49" s="58"/>
      <c r="F49" s="58"/>
      <c r="G49" s="33" t="s">
        <v>49</v>
      </c>
      <c r="H49" s="1"/>
      <c r="M49" s="1"/>
      <c r="R49" s="3"/>
    </row>
    <row r="50" spans="1:18" ht="15.75">
      <c r="A50" s="1"/>
      <c r="B50" s="55"/>
      <c r="C50" s="33"/>
      <c r="D50" s="57"/>
      <c r="E50" s="58"/>
      <c r="F50" s="58"/>
      <c r="G50" s="33" t="s">
        <v>85</v>
      </c>
      <c r="H50" s="1"/>
      <c r="M50" s="1"/>
      <c r="R50" s="3"/>
    </row>
    <row r="51" spans="1:18" ht="15.75">
      <c r="A51" s="1"/>
      <c r="B51" s="55"/>
      <c r="C51" s="33"/>
      <c r="D51" s="57">
        <f>23.92+31.71</f>
        <v>55.63</v>
      </c>
      <c r="E51" s="58"/>
      <c r="F51" s="58"/>
      <c r="G51" s="33" t="s">
        <v>86</v>
      </c>
      <c r="H51" s="1"/>
      <c r="M51" s="1"/>
      <c r="R51" s="3"/>
    </row>
    <row r="52" spans="1:18" ht="15.75">
      <c r="A52" s="1"/>
      <c r="B52" s="55"/>
      <c r="C52" s="33"/>
      <c r="D52" s="57"/>
      <c r="E52" s="58"/>
      <c r="F52" s="58"/>
      <c r="G52" s="33" t="s">
        <v>98</v>
      </c>
      <c r="H52" s="1"/>
      <c r="M52" s="1"/>
      <c r="R52" s="3"/>
    </row>
    <row r="53" spans="1:18" ht="15.75">
      <c r="A53" s="1"/>
      <c r="B53" s="55"/>
      <c r="C53" s="33"/>
      <c r="D53" s="57">
        <f>85.52+79.04-D187</f>
        <v>151.56</v>
      </c>
      <c r="E53" s="58"/>
      <c r="F53" s="58"/>
      <c r="G53" s="33" t="s">
        <v>111</v>
      </c>
      <c r="H53" s="1"/>
      <c r="M53" s="1"/>
      <c r="R53" s="3"/>
    </row>
    <row r="54" spans="1:18" ht="15.75">
      <c r="A54" s="1"/>
      <c r="B54" s="55"/>
      <c r="C54" s="33"/>
      <c r="D54" s="57">
        <f>6.88</f>
        <v>6.88</v>
      </c>
      <c r="E54" s="58"/>
      <c r="F54" s="58"/>
      <c r="G54" s="33" t="s">
        <v>257</v>
      </c>
      <c r="H54" s="1"/>
      <c r="M54" s="1"/>
      <c r="R54" s="3"/>
    </row>
    <row r="55" spans="1:18" ht="15.75">
      <c r="A55" s="1"/>
      <c r="B55" s="55"/>
      <c r="C55" s="33"/>
      <c r="D55" s="57"/>
      <c r="E55" s="58"/>
      <c r="F55" s="58"/>
      <c r="G55" s="33"/>
      <c r="H55" s="1"/>
      <c r="M55" s="1"/>
      <c r="R55" s="3"/>
    </row>
    <row r="56" spans="1:18" ht="15.75">
      <c r="A56" s="1"/>
      <c r="B56" s="55"/>
      <c r="C56" s="33"/>
      <c r="D56" s="57"/>
      <c r="E56" s="58"/>
      <c r="F56" s="58"/>
      <c r="G56" s="33"/>
      <c r="H56" s="1"/>
      <c r="M56" s="1"/>
      <c r="R56" s="3"/>
    </row>
    <row r="57" spans="1:18" ht="15.75">
      <c r="A57" s="1"/>
      <c r="B57" s="55"/>
      <c r="C57" s="33"/>
      <c r="D57" s="57"/>
      <c r="E57" s="58"/>
      <c r="F57" s="58"/>
      <c r="G57" s="33"/>
      <c r="H57" s="1"/>
      <c r="M57" s="1"/>
      <c r="R57" s="3"/>
    </row>
    <row r="58" spans="1:18" ht="15.75">
      <c r="A58" s="1"/>
      <c r="B58" s="55"/>
      <c r="C58" s="33"/>
      <c r="D58" s="57"/>
      <c r="E58" s="58"/>
      <c r="F58" s="58"/>
      <c r="G58" s="33"/>
      <c r="H58" s="1"/>
      <c r="M58" s="1"/>
      <c r="R58" s="3"/>
    </row>
    <row r="59" spans="1:18" ht="16.5" thickBot="1">
      <c r="A59" s="1"/>
      <c r="B59" s="56"/>
      <c r="C59" s="34"/>
      <c r="D59" s="56"/>
      <c r="E59" s="59"/>
      <c r="F59" s="59"/>
      <c r="G59" s="34"/>
      <c r="H59" s="1"/>
      <c r="M59" s="1"/>
      <c r="R59" s="3"/>
    </row>
    <row r="60" spans="1:18" ht="16.5" thickBot="1">
      <c r="A60" s="1"/>
      <c r="B60" s="56">
        <f>SUM(B46:B59)</f>
        <v>410</v>
      </c>
      <c r="C60" s="34" t="s">
        <v>66</v>
      </c>
      <c r="D60" s="56">
        <f>SUM(D46:D59)</f>
        <v>606.42999999999995</v>
      </c>
      <c r="E60" s="56">
        <f>SUM(E46:E59)</f>
        <v>0</v>
      </c>
      <c r="F60" s="56">
        <f>SUM(F46:F59)</f>
        <v>0</v>
      </c>
      <c r="G60" s="34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89" t="str">
        <f>'2018'!A23</f>
        <v>Ocio</v>
      </c>
      <c r="C62" s="290"/>
      <c r="D62" s="290"/>
      <c r="E62" s="290"/>
      <c r="F62" s="290"/>
      <c r="G62" s="291"/>
      <c r="H62" s="1"/>
      <c r="M62" s="1"/>
      <c r="R62" s="3"/>
    </row>
    <row r="63" spans="1:18" ht="16.149999999999999" customHeight="1" thickBot="1">
      <c r="A63" s="1"/>
      <c r="B63" s="292"/>
      <c r="C63" s="293"/>
      <c r="D63" s="293"/>
      <c r="E63" s="293"/>
      <c r="F63" s="293"/>
      <c r="G63" s="294"/>
      <c r="H63" s="1"/>
      <c r="M63" s="1"/>
      <c r="R63" s="3"/>
    </row>
    <row r="64" spans="1:18" ht="15.75">
      <c r="A64" s="1"/>
      <c r="B64" s="297" t="s">
        <v>10</v>
      </c>
      <c r="C64" s="296"/>
      <c r="D64" s="295" t="s">
        <v>11</v>
      </c>
      <c r="E64" s="295"/>
      <c r="F64" s="295"/>
      <c r="G64" s="296"/>
      <c r="H64" s="1"/>
      <c r="M64" s="1"/>
      <c r="R64" s="3"/>
    </row>
    <row r="65" spans="1:18" ht="15.75">
      <c r="A65" s="1"/>
      <c r="B65" s="52" t="s">
        <v>32</v>
      </c>
      <c r="C65" s="60" t="s">
        <v>33</v>
      </c>
      <c r="D65" s="52" t="s">
        <v>68</v>
      </c>
      <c r="E65" s="53" t="s">
        <v>69</v>
      </c>
      <c r="F65" s="53" t="s">
        <v>32</v>
      </c>
      <c r="G65" s="60" t="s">
        <v>33</v>
      </c>
      <c r="H65" s="1"/>
      <c r="M65" s="1"/>
      <c r="R65" s="3"/>
    </row>
    <row r="66" spans="1:18" ht="15.75">
      <c r="A66" s="1"/>
      <c r="B66" s="54">
        <v>150</v>
      </c>
      <c r="C66" s="36" t="s">
        <v>36</v>
      </c>
      <c r="D66" s="57">
        <f>21.3</f>
        <v>21.3</v>
      </c>
      <c r="E66" s="58"/>
      <c r="F66" s="58"/>
      <c r="G66" s="36" t="s">
        <v>301</v>
      </c>
      <c r="H66" s="1"/>
      <c r="M66" s="1"/>
      <c r="R66" s="3"/>
    </row>
    <row r="67" spans="1:18" ht="15.75">
      <c r="A67" s="1"/>
      <c r="B67" s="55"/>
      <c r="C67" s="33"/>
      <c r="D67" s="57">
        <v>6.1</v>
      </c>
      <c r="E67" s="58"/>
      <c r="F67" s="58"/>
      <c r="G67" s="70" t="s">
        <v>338</v>
      </c>
      <c r="H67" s="1"/>
      <c r="M67" s="1"/>
      <c r="R67" s="3"/>
    </row>
    <row r="68" spans="1:18" ht="15.75">
      <c r="A68" s="1"/>
      <c r="B68" s="55"/>
      <c r="C68" s="33"/>
      <c r="D68" s="57">
        <f>22.75+4.9</f>
        <v>27.65</v>
      </c>
      <c r="E68" s="58"/>
      <c r="F68" s="58"/>
      <c r="G68" s="33" t="s">
        <v>342</v>
      </c>
      <c r="H68" s="1"/>
      <c r="M68" s="1"/>
      <c r="R68" s="3"/>
    </row>
    <row r="69" spans="1:18" ht="15.75">
      <c r="A69" s="1"/>
      <c r="B69" s="55"/>
      <c r="C69" s="33"/>
      <c r="D69" s="57">
        <f>30.35</f>
        <v>30.35</v>
      </c>
      <c r="E69" s="58"/>
      <c r="F69" s="58"/>
      <c r="G69" s="33" t="s">
        <v>207</v>
      </c>
      <c r="H69" s="1"/>
      <c r="M69" s="1"/>
      <c r="R69" s="3"/>
    </row>
    <row r="70" spans="1:18" ht="15.75">
      <c r="A70" s="1"/>
      <c r="B70" s="55"/>
      <c r="C70" s="33"/>
      <c r="D70" s="57"/>
      <c r="E70" s="58"/>
      <c r="F70" s="58">
        <v>12.9</v>
      </c>
      <c r="G70" s="33" t="s">
        <v>350</v>
      </c>
      <c r="H70" s="1"/>
      <c r="M70" s="1"/>
      <c r="R70" s="3"/>
    </row>
    <row r="71" spans="1:18" ht="15.75">
      <c r="A71" s="1"/>
      <c r="B71" s="55"/>
      <c r="C71" s="33"/>
      <c r="D71" s="57"/>
      <c r="E71" s="58"/>
      <c r="F71" s="58"/>
      <c r="G71" s="33"/>
      <c r="H71" s="1"/>
      <c r="M71" s="1"/>
      <c r="R71" s="3"/>
    </row>
    <row r="72" spans="1:18" ht="15.75">
      <c r="A72" s="1"/>
      <c r="B72" s="55"/>
      <c r="C72" s="33"/>
      <c r="D72" s="57"/>
      <c r="E72" s="58"/>
      <c r="F72" s="58"/>
      <c r="G72" s="33"/>
      <c r="H72" s="1"/>
      <c r="M72" s="1"/>
      <c r="R72" s="3"/>
    </row>
    <row r="73" spans="1:18" ht="15.75">
      <c r="A73" s="1"/>
      <c r="B73" s="55"/>
      <c r="C73" s="33"/>
      <c r="D73" s="57"/>
      <c r="E73" s="58"/>
      <c r="F73" s="58"/>
      <c r="G73" s="33"/>
      <c r="H73" s="1"/>
      <c r="M73" s="1"/>
      <c r="R73" s="3"/>
    </row>
    <row r="74" spans="1:18" ht="15.75">
      <c r="A74" s="1"/>
      <c r="B74" s="55"/>
      <c r="C74" s="33"/>
      <c r="D74" s="57"/>
      <c r="E74" s="58"/>
      <c r="F74" s="58"/>
      <c r="G74" s="33"/>
      <c r="H74" s="1"/>
      <c r="M74" s="1"/>
      <c r="R74" s="3"/>
    </row>
    <row r="75" spans="1:18" ht="15.75">
      <c r="A75" s="1"/>
      <c r="B75" s="55"/>
      <c r="C75" s="33"/>
      <c r="D75" s="57"/>
      <c r="E75" s="58"/>
      <c r="F75" s="58"/>
      <c r="G75" s="33"/>
      <c r="H75" s="1"/>
      <c r="M75" s="1"/>
      <c r="R75" s="3"/>
    </row>
    <row r="76" spans="1:18" ht="15.75">
      <c r="A76" s="1"/>
      <c r="B76" s="55"/>
      <c r="C76" s="33"/>
      <c r="D76" s="57"/>
      <c r="E76" s="58"/>
      <c r="F76" s="58"/>
      <c r="G76" s="33"/>
      <c r="H76" s="1"/>
      <c r="M76" s="1"/>
      <c r="R76" s="3"/>
    </row>
    <row r="77" spans="1:18" ht="15.75">
      <c r="A77" s="1"/>
      <c r="B77" s="55"/>
      <c r="C77" s="33"/>
      <c r="D77" s="57"/>
      <c r="E77" s="58"/>
      <c r="F77" s="58"/>
      <c r="G77" s="33"/>
      <c r="H77" s="1"/>
      <c r="M77" s="1"/>
      <c r="R77" s="3"/>
    </row>
    <row r="78" spans="1:18" ht="15.75">
      <c r="A78" s="1"/>
      <c r="B78" s="55"/>
      <c r="C78" s="33"/>
      <c r="D78" s="57"/>
      <c r="E78" s="58"/>
      <c r="F78" s="58"/>
      <c r="G78" s="33"/>
      <c r="H78" s="1"/>
      <c r="M78" s="1"/>
      <c r="R78" s="3"/>
    </row>
    <row r="79" spans="1:18" ht="16.5" thickBot="1">
      <c r="A79" s="1"/>
      <c r="B79" s="56"/>
      <c r="C79" s="34"/>
      <c r="D79" s="56"/>
      <c r="E79" s="59"/>
      <c r="F79" s="59"/>
      <c r="G79" s="34"/>
      <c r="H79" s="1"/>
      <c r="M79" s="1"/>
      <c r="R79" s="3"/>
    </row>
    <row r="80" spans="1:18" ht="16.5" thickBot="1">
      <c r="A80" s="1"/>
      <c r="B80" s="56">
        <f>SUM(B66:B79)</f>
        <v>150</v>
      </c>
      <c r="C80" s="34" t="s">
        <v>66</v>
      </c>
      <c r="D80" s="56">
        <f>SUM(D66:D79)</f>
        <v>85.4</v>
      </c>
      <c r="E80" s="56">
        <f>SUM(E66:E79)</f>
        <v>0</v>
      </c>
      <c r="F80" s="56">
        <f>SUM(F66:F79)</f>
        <v>12.9</v>
      </c>
      <c r="G80" s="34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89" t="str">
        <f>'2018'!A24</f>
        <v>Transportes</v>
      </c>
      <c r="C82" s="290"/>
      <c r="D82" s="290"/>
      <c r="E82" s="290"/>
      <c r="F82" s="290"/>
      <c r="G82" s="291"/>
      <c r="H82" s="1"/>
      <c r="M82" s="1"/>
      <c r="R82" s="3"/>
    </row>
    <row r="83" spans="1:18" ht="16.149999999999999" customHeight="1" thickBot="1">
      <c r="A83" s="1"/>
      <c r="B83" s="292"/>
      <c r="C83" s="293"/>
      <c r="D83" s="293"/>
      <c r="E83" s="293"/>
      <c r="F83" s="293"/>
      <c r="G83" s="294"/>
      <c r="H83" s="1"/>
      <c r="M83" s="1"/>
      <c r="R83" s="3"/>
    </row>
    <row r="84" spans="1:18" ht="15.75">
      <c r="A84" s="1"/>
      <c r="B84" s="297" t="s">
        <v>10</v>
      </c>
      <c r="C84" s="296"/>
      <c r="D84" s="295" t="s">
        <v>11</v>
      </c>
      <c r="E84" s="295"/>
      <c r="F84" s="295"/>
      <c r="G84" s="296"/>
      <c r="H84" s="1"/>
      <c r="M84" s="1"/>
      <c r="R84" s="3"/>
    </row>
    <row r="85" spans="1:18" ht="15.75">
      <c r="A85" s="1"/>
      <c r="B85" s="52" t="s">
        <v>32</v>
      </c>
      <c r="C85" s="60" t="s">
        <v>33</v>
      </c>
      <c r="D85" s="52" t="s">
        <v>68</v>
      </c>
      <c r="E85" s="53" t="s">
        <v>69</v>
      </c>
      <c r="F85" s="53" t="s">
        <v>32</v>
      </c>
      <c r="G85" s="60" t="s">
        <v>33</v>
      </c>
      <c r="H85" s="1"/>
      <c r="M85" s="1"/>
      <c r="R85" s="3"/>
    </row>
    <row r="86" spans="1:18" ht="15.75">
      <c r="A86" s="1"/>
      <c r="B86" s="54">
        <v>150</v>
      </c>
      <c r="C86" s="36" t="s">
        <v>51</v>
      </c>
      <c r="D86" s="57">
        <f>42.04+47.79</f>
        <v>89.83</v>
      </c>
      <c r="E86" s="58"/>
      <c r="F86" s="58"/>
      <c r="G86" s="33" t="s">
        <v>52</v>
      </c>
      <c r="H86" s="1"/>
      <c r="M86" s="1"/>
      <c r="R86" s="3"/>
    </row>
    <row r="87" spans="1:18" ht="15.75">
      <c r="A87" s="1"/>
      <c r="B87" s="55"/>
      <c r="C87" s="33"/>
      <c r="D87" s="57"/>
      <c r="E87" s="58"/>
      <c r="F87" s="58"/>
      <c r="G87" s="33" t="s">
        <v>53</v>
      </c>
      <c r="H87" s="1"/>
      <c r="M87" s="1"/>
      <c r="R87" s="3"/>
    </row>
    <row r="88" spans="1:18" ht="15.75">
      <c r="A88" s="1"/>
      <c r="B88" s="55"/>
      <c r="C88" s="33"/>
      <c r="D88" s="57"/>
      <c r="E88" s="58"/>
      <c r="F88" s="58"/>
      <c r="G88" s="33" t="s">
        <v>54</v>
      </c>
      <c r="H88" s="1"/>
      <c r="M88" s="1"/>
      <c r="R88" s="3"/>
    </row>
    <row r="89" spans="1:18" ht="15.75">
      <c r="A89" s="1"/>
      <c r="B89" s="55"/>
      <c r="C89" s="33"/>
      <c r="D89" s="57"/>
      <c r="E89" s="58"/>
      <c r="F89" s="58"/>
      <c r="G89" s="33" t="s">
        <v>90</v>
      </c>
      <c r="H89" s="1"/>
      <c r="M89" s="1"/>
      <c r="R89" s="3"/>
    </row>
    <row r="90" spans="1:18" ht="15.75">
      <c r="A90" s="1"/>
      <c r="B90" s="55"/>
      <c r="C90" s="33"/>
      <c r="D90" s="57"/>
      <c r="E90" s="58"/>
      <c r="F90" s="58"/>
      <c r="G90" s="33" t="s">
        <v>203</v>
      </c>
      <c r="H90" s="1"/>
      <c r="M90" s="1"/>
      <c r="R90" s="3"/>
    </row>
    <row r="91" spans="1:18" ht="15.75">
      <c r="A91" s="1"/>
      <c r="B91" s="55"/>
      <c r="C91" s="33"/>
      <c r="D91" s="57"/>
      <c r="E91" s="58"/>
      <c r="F91" s="58"/>
      <c r="G91" s="33"/>
      <c r="H91" s="1"/>
      <c r="M91" s="1"/>
      <c r="R91" s="3"/>
    </row>
    <row r="92" spans="1:18" ht="15.75">
      <c r="A92" s="1"/>
      <c r="B92" s="55"/>
      <c r="C92" s="33"/>
      <c r="D92" s="57"/>
      <c r="E92" s="58"/>
      <c r="F92" s="58"/>
      <c r="G92" s="33"/>
      <c r="H92" s="1"/>
      <c r="M92" s="1"/>
      <c r="R92" s="3"/>
    </row>
    <row r="93" spans="1:18" ht="15.75">
      <c r="A93" s="1"/>
      <c r="B93" s="55"/>
      <c r="C93" s="33"/>
      <c r="D93" s="57"/>
      <c r="E93" s="58"/>
      <c r="F93" s="58"/>
      <c r="G93" s="33"/>
      <c r="H93" s="1"/>
      <c r="M93" s="1"/>
      <c r="R93" s="3"/>
    </row>
    <row r="94" spans="1:18" ht="15.75">
      <c r="A94" s="1"/>
      <c r="B94" s="55"/>
      <c r="C94" s="33"/>
      <c r="D94" s="57"/>
      <c r="E94" s="58"/>
      <c r="F94" s="58"/>
      <c r="G94" s="33"/>
      <c r="H94" s="1"/>
      <c r="M94" s="1"/>
      <c r="R94" s="3"/>
    </row>
    <row r="95" spans="1:18" ht="15.75">
      <c r="A95" s="1"/>
      <c r="B95" s="55"/>
      <c r="C95" s="33"/>
      <c r="D95" s="57"/>
      <c r="E95" s="58"/>
      <c r="F95" s="58"/>
      <c r="G95" s="33"/>
      <c r="H95" s="1"/>
      <c r="M95" s="1"/>
      <c r="R95" s="3"/>
    </row>
    <row r="96" spans="1:18" ht="15.75">
      <c r="A96" s="1"/>
      <c r="B96" s="55"/>
      <c r="C96" s="33"/>
      <c r="D96" s="57"/>
      <c r="E96" s="58"/>
      <c r="F96" s="58"/>
      <c r="G96" s="33"/>
      <c r="H96" s="1"/>
      <c r="M96" s="1"/>
      <c r="R96" s="3"/>
    </row>
    <row r="97" spans="1:18" ht="15.75">
      <c r="A97" s="1"/>
      <c r="B97" s="55"/>
      <c r="C97" s="33"/>
      <c r="D97" s="57"/>
      <c r="E97" s="58"/>
      <c r="F97" s="58"/>
      <c r="G97" s="33"/>
      <c r="H97" s="1"/>
      <c r="M97" s="1"/>
      <c r="R97" s="3"/>
    </row>
    <row r="98" spans="1:18" ht="15.75">
      <c r="A98" s="1"/>
      <c r="B98" s="55"/>
      <c r="C98" s="33"/>
      <c r="D98" s="57"/>
      <c r="E98" s="58"/>
      <c r="F98" s="58"/>
      <c r="G98" s="33"/>
      <c r="H98" s="1"/>
      <c r="M98" s="1"/>
      <c r="R98" s="3"/>
    </row>
    <row r="99" spans="1:18" ht="16.5" thickBot="1">
      <c r="A99" s="1"/>
      <c r="B99" s="56"/>
      <c r="C99" s="34"/>
      <c r="D99" s="56"/>
      <c r="E99" s="59"/>
      <c r="F99" s="59"/>
      <c r="G99" s="34"/>
      <c r="H99" s="1"/>
      <c r="M99" s="1"/>
      <c r="R99" s="3"/>
    </row>
    <row r="100" spans="1:18" ht="16.5" thickBot="1">
      <c r="A100" s="1"/>
      <c r="B100" s="56">
        <f>SUM(B86:B99)</f>
        <v>150</v>
      </c>
      <c r="C100" s="34" t="s">
        <v>66</v>
      </c>
      <c r="D100" s="56">
        <f>SUM(D86:D99)</f>
        <v>89.83</v>
      </c>
      <c r="E100" s="56">
        <f>SUM(E86:E99)</f>
        <v>0</v>
      </c>
      <c r="F100" s="56">
        <f>SUM(F86:F99)</f>
        <v>0</v>
      </c>
      <c r="G100" s="34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89" t="str">
        <f>'2018'!A25</f>
        <v>Coche</v>
      </c>
      <c r="C102" s="290"/>
      <c r="D102" s="290"/>
      <c r="E102" s="290"/>
      <c r="F102" s="290"/>
      <c r="G102" s="291"/>
      <c r="H102" s="1"/>
      <c r="M102" s="1"/>
      <c r="R102" s="3"/>
    </row>
    <row r="103" spans="1:18" ht="16.149999999999999" customHeight="1" thickBot="1">
      <c r="A103" s="1"/>
      <c r="B103" s="292"/>
      <c r="C103" s="293"/>
      <c r="D103" s="293"/>
      <c r="E103" s="293"/>
      <c r="F103" s="293"/>
      <c r="G103" s="294"/>
      <c r="H103" s="1"/>
      <c r="M103" s="1"/>
      <c r="R103" s="3"/>
    </row>
    <row r="104" spans="1:18" ht="15.75">
      <c r="A104" s="1"/>
      <c r="B104" s="297" t="s">
        <v>10</v>
      </c>
      <c r="C104" s="296"/>
      <c r="D104" s="295" t="s">
        <v>11</v>
      </c>
      <c r="E104" s="295"/>
      <c r="F104" s="295"/>
      <c r="G104" s="296"/>
      <c r="H104" s="1"/>
      <c r="M104" s="1"/>
      <c r="R104" s="3"/>
    </row>
    <row r="105" spans="1:18" ht="15.75">
      <c r="A105" s="1"/>
      <c r="B105" s="52" t="s">
        <v>32</v>
      </c>
      <c r="C105" s="60" t="s">
        <v>33</v>
      </c>
      <c r="D105" s="52" t="s">
        <v>68</v>
      </c>
      <c r="E105" s="53" t="s">
        <v>69</v>
      </c>
      <c r="F105" s="53" t="s">
        <v>32</v>
      </c>
      <c r="G105" s="60" t="s">
        <v>33</v>
      </c>
      <c r="H105" s="1"/>
      <c r="M105" s="1"/>
      <c r="R105" s="3"/>
    </row>
    <row r="106" spans="1:18" ht="15.75">
      <c r="A106" s="1"/>
      <c r="B106" s="54">
        <v>260</v>
      </c>
      <c r="C106" s="35" t="s">
        <v>55</v>
      </c>
      <c r="D106" s="57">
        <v>258.47000000000003</v>
      </c>
      <c r="E106" s="58"/>
      <c r="F106" s="58"/>
      <c r="G106" s="70" t="s">
        <v>55</v>
      </c>
      <c r="H106" s="1"/>
      <c r="M106" s="1"/>
      <c r="R106" s="3"/>
    </row>
    <row r="107" spans="1:18" ht="15.75">
      <c r="A107" s="1"/>
      <c r="B107" s="55">
        <v>71</v>
      </c>
      <c r="C107" s="35" t="s">
        <v>56</v>
      </c>
      <c r="D107" s="57">
        <v>70.349999999999994</v>
      </c>
      <c r="E107" s="58"/>
      <c r="F107" s="58"/>
      <c r="G107" s="70" t="s">
        <v>56</v>
      </c>
      <c r="H107" s="1"/>
      <c r="M107" s="1"/>
      <c r="R107" s="3"/>
    </row>
    <row r="108" spans="1:18" ht="15.75">
      <c r="A108" s="1"/>
      <c r="B108" s="55">
        <v>69</v>
      </c>
      <c r="C108" s="35" t="s">
        <v>46</v>
      </c>
      <c r="D108" s="57"/>
      <c r="E108" s="58"/>
      <c r="F108" s="58"/>
      <c r="G108" s="73" t="s">
        <v>88</v>
      </c>
      <c r="H108" s="1"/>
      <c r="M108" s="1"/>
      <c r="R108" s="3"/>
    </row>
    <row r="109" spans="1:18" ht="15.75">
      <c r="A109" s="1"/>
      <c r="B109" s="55"/>
      <c r="C109" s="35"/>
      <c r="D109" s="57"/>
      <c r="E109" s="58"/>
      <c r="F109" s="58"/>
      <c r="G109" s="70"/>
      <c r="H109" s="1"/>
      <c r="M109" s="1"/>
      <c r="R109" s="3"/>
    </row>
    <row r="110" spans="1:18" ht="15.75">
      <c r="A110" s="1"/>
      <c r="B110" s="55"/>
      <c r="C110" s="35"/>
      <c r="D110" s="57"/>
      <c r="E110" s="58"/>
      <c r="F110" s="58"/>
      <c r="G110" s="70"/>
      <c r="H110" s="1"/>
      <c r="M110" s="1"/>
      <c r="R110" s="3"/>
    </row>
    <row r="111" spans="1:18" ht="15.75">
      <c r="A111" s="1"/>
      <c r="B111" s="55"/>
      <c r="C111" s="66"/>
      <c r="D111" s="57"/>
      <c r="E111" s="58"/>
      <c r="F111" s="58"/>
      <c r="G111" s="73"/>
      <c r="H111" s="1"/>
      <c r="M111" s="1"/>
      <c r="R111" s="3"/>
    </row>
    <row r="112" spans="1:18" ht="15.75">
      <c r="A112" s="1"/>
      <c r="B112" s="55"/>
      <c r="C112" s="71"/>
      <c r="D112" s="57"/>
      <c r="E112" s="58"/>
      <c r="F112" s="58"/>
      <c r="G112" s="70"/>
      <c r="H112" s="1"/>
      <c r="M112" s="1"/>
      <c r="R112" s="3"/>
    </row>
    <row r="113" spans="1:18" ht="15.75">
      <c r="A113" s="1"/>
      <c r="B113" s="55"/>
      <c r="C113" s="72"/>
      <c r="D113" s="57"/>
      <c r="E113" s="58"/>
      <c r="F113" s="58"/>
      <c r="G113" s="70"/>
      <c r="H113" s="1"/>
      <c r="M113" s="1"/>
      <c r="R113" s="3"/>
    </row>
    <row r="114" spans="1:18" ht="15.75">
      <c r="A114" s="1"/>
      <c r="B114" s="55"/>
      <c r="C114" s="71"/>
      <c r="D114" s="57"/>
      <c r="E114" s="58"/>
      <c r="F114" s="58"/>
      <c r="G114" s="70"/>
      <c r="H114" s="1"/>
      <c r="M114" s="1"/>
      <c r="R114" s="3"/>
    </row>
    <row r="115" spans="1:18" ht="15.75">
      <c r="A115" s="1"/>
      <c r="B115" s="55"/>
      <c r="C115" s="66"/>
      <c r="D115" s="57"/>
      <c r="E115" s="58"/>
      <c r="F115" s="58"/>
      <c r="G115" s="33"/>
      <c r="H115" s="1"/>
      <c r="M115" s="1"/>
      <c r="R115" s="3"/>
    </row>
    <row r="116" spans="1:18" ht="15.75">
      <c r="A116" s="1"/>
      <c r="B116" s="55"/>
      <c r="C116" s="35"/>
      <c r="D116" s="57"/>
      <c r="E116" s="58"/>
      <c r="F116" s="58"/>
      <c r="G116" s="33"/>
      <c r="H116" s="1"/>
      <c r="M116" s="1"/>
      <c r="R116" s="3"/>
    </row>
    <row r="117" spans="1:18" ht="15.75">
      <c r="A117" s="1"/>
      <c r="B117" s="55"/>
      <c r="C117" s="35"/>
      <c r="D117" s="57"/>
      <c r="E117" s="58"/>
      <c r="F117" s="58"/>
      <c r="G117" s="33"/>
      <c r="H117" s="1"/>
      <c r="M117" s="1"/>
      <c r="R117" s="3"/>
    </row>
    <row r="118" spans="1:18" ht="15.75">
      <c r="A118" s="1"/>
      <c r="B118" s="55"/>
      <c r="C118" s="35"/>
      <c r="D118" s="57"/>
      <c r="E118" s="58"/>
      <c r="F118" s="58"/>
      <c r="G118" s="33"/>
      <c r="H118" s="1"/>
      <c r="M118" s="1"/>
      <c r="R118" s="3"/>
    </row>
    <row r="119" spans="1:18" ht="16.5" thickBot="1">
      <c r="A119" s="1"/>
      <c r="B119" s="56"/>
      <c r="C119" s="37"/>
      <c r="D119" s="56"/>
      <c r="E119" s="59"/>
      <c r="F119" s="59"/>
      <c r="G119" s="34"/>
      <c r="H119" s="1"/>
      <c r="M119" s="1"/>
      <c r="R119" s="3"/>
    </row>
    <row r="120" spans="1:18" ht="16.5" thickBot="1">
      <c r="A120" s="1"/>
      <c r="B120" s="56">
        <f>SUM(B106:B119)</f>
        <v>400</v>
      </c>
      <c r="C120" s="34" t="s">
        <v>66</v>
      </c>
      <c r="D120" s="56">
        <f>SUM(D106:D119)</f>
        <v>328.82000000000005</v>
      </c>
      <c r="E120" s="56">
        <f>SUM(E106:E119)</f>
        <v>0</v>
      </c>
      <c r="F120" s="56">
        <f>SUM(F106:F119)</f>
        <v>0</v>
      </c>
      <c r="G120" s="34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89" t="str">
        <f>'2018'!A26</f>
        <v>Teléfono</v>
      </c>
      <c r="C122" s="290"/>
      <c r="D122" s="290"/>
      <c r="E122" s="290"/>
      <c r="F122" s="290"/>
      <c r="G122" s="291"/>
      <c r="H122" s="1"/>
      <c r="M122" s="1"/>
      <c r="R122" s="3"/>
    </row>
    <row r="123" spans="1:18" ht="16.149999999999999" customHeight="1" thickBot="1">
      <c r="A123" s="1"/>
      <c r="B123" s="292"/>
      <c r="C123" s="293"/>
      <c r="D123" s="293"/>
      <c r="E123" s="293"/>
      <c r="F123" s="293"/>
      <c r="G123" s="294"/>
      <c r="H123" s="1"/>
      <c r="M123" s="1"/>
      <c r="R123" s="3"/>
    </row>
    <row r="124" spans="1:18" ht="15.75">
      <c r="A124" s="1"/>
      <c r="B124" s="297" t="s">
        <v>10</v>
      </c>
      <c r="C124" s="296"/>
      <c r="D124" s="295" t="s">
        <v>11</v>
      </c>
      <c r="E124" s="295"/>
      <c r="F124" s="295"/>
      <c r="G124" s="296"/>
      <c r="H124" s="1"/>
      <c r="M124" s="1"/>
      <c r="R124" s="3"/>
    </row>
    <row r="125" spans="1:18" ht="15.75">
      <c r="A125" s="1"/>
      <c r="B125" s="52" t="s">
        <v>32</v>
      </c>
      <c r="C125" s="60" t="s">
        <v>33</v>
      </c>
      <c r="D125" s="52" t="s">
        <v>68</v>
      </c>
      <c r="E125" s="53" t="s">
        <v>69</v>
      </c>
      <c r="F125" s="53" t="s">
        <v>32</v>
      </c>
      <c r="G125" s="60" t="s">
        <v>33</v>
      </c>
      <c r="H125" s="1"/>
      <c r="M125" s="1"/>
      <c r="R125" s="3"/>
    </row>
    <row r="126" spans="1:18" ht="15.75">
      <c r="A126" s="1"/>
      <c r="B126" s="54">
        <v>27.5</v>
      </c>
      <c r="C126" s="36" t="s">
        <v>57</v>
      </c>
      <c r="D126" s="57">
        <v>27.5</v>
      </c>
      <c r="E126" s="58"/>
      <c r="F126" s="58"/>
      <c r="G126" s="33" t="s">
        <v>57</v>
      </c>
      <c r="H126" s="1"/>
      <c r="M126" s="1"/>
      <c r="R126" s="3"/>
    </row>
    <row r="127" spans="1:18" ht="15.75">
      <c r="A127" s="1"/>
      <c r="B127" s="55">
        <v>12.5</v>
      </c>
      <c r="C127" s="33" t="s">
        <v>58</v>
      </c>
      <c r="D127" s="57">
        <f>10+15</f>
        <v>25</v>
      </c>
      <c r="E127" s="58"/>
      <c r="F127" s="58"/>
      <c r="G127" s="33" t="s">
        <v>58</v>
      </c>
      <c r="H127" s="1"/>
      <c r="M127" s="1"/>
      <c r="R127" s="3"/>
    </row>
    <row r="128" spans="1:18" ht="15.75">
      <c r="A128" s="1"/>
      <c r="B128" s="55">
        <v>8</v>
      </c>
      <c r="C128" s="33" t="s">
        <v>337</v>
      </c>
      <c r="D128" s="57"/>
      <c r="E128" s="58">
        <v>7.99</v>
      </c>
      <c r="F128" s="58"/>
      <c r="G128" s="33" t="s">
        <v>337</v>
      </c>
      <c r="H128" s="1"/>
      <c r="M128" s="1"/>
      <c r="R128" s="3"/>
    </row>
    <row r="129" spans="1:18" ht="15.75">
      <c r="A129" s="1"/>
      <c r="B129" s="55"/>
      <c r="C129" s="33"/>
      <c r="D129" s="57"/>
      <c r="E129" s="58"/>
      <c r="F129" s="58"/>
      <c r="G129" s="33"/>
      <c r="H129" s="1"/>
      <c r="M129" s="1"/>
      <c r="R129" s="3"/>
    </row>
    <row r="130" spans="1:18" ht="15.75">
      <c r="A130" s="1"/>
      <c r="B130" s="55"/>
      <c r="C130" s="33"/>
      <c r="D130" s="57"/>
      <c r="E130" s="58"/>
      <c r="F130" s="58"/>
      <c r="G130" s="33"/>
      <c r="H130" s="1"/>
      <c r="M130" s="1"/>
      <c r="R130" s="3"/>
    </row>
    <row r="131" spans="1:18" ht="15.75">
      <c r="A131" s="1"/>
      <c r="B131" s="55"/>
      <c r="C131" s="33"/>
      <c r="D131" s="57"/>
      <c r="E131" s="58"/>
      <c r="F131" s="58"/>
      <c r="G131" s="33"/>
      <c r="H131" s="1"/>
      <c r="M131" s="1"/>
      <c r="R131" s="3"/>
    </row>
    <row r="132" spans="1:18" ht="15.75">
      <c r="A132" s="1"/>
      <c r="B132" s="55"/>
      <c r="C132" s="33"/>
      <c r="D132" s="57"/>
      <c r="E132" s="58"/>
      <c r="F132" s="58"/>
      <c r="G132" s="33"/>
      <c r="H132" s="1"/>
      <c r="M132" s="1"/>
      <c r="R132" s="3"/>
    </row>
    <row r="133" spans="1:18" ht="15.75">
      <c r="A133" s="1"/>
      <c r="B133" s="55"/>
      <c r="C133" s="33"/>
      <c r="D133" s="57"/>
      <c r="E133" s="58"/>
      <c r="F133" s="58"/>
      <c r="G133" s="33"/>
      <c r="H133" s="1"/>
      <c r="M133" s="1"/>
      <c r="R133" s="3"/>
    </row>
    <row r="134" spans="1:18" ht="15.75">
      <c r="A134" s="1"/>
      <c r="B134" s="55"/>
      <c r="C134" s="33"/>
      <c r="D134" s="57"/>
      <c r="E134" s="58"/>
      <c r="F134" s="58"/>
      <c r="G134" s="33"/>
      <c r="H134" s="1"/>
      <c r="M134" s="1"/>
      <c r="R134" s="3"/>
    </row>
    <row r="135" spans="1:18" ht="15.75">
      <c r="A135" s="1"/>
      <c r="B135" s="55"/>
      <c r="C135" s="33"/>
      <c r="D135" s="57"/>
      <c r="E135" s="58"/>
      <c r="F135" s="58"/>
      <c r="G135" s="33"/>
      <c r="H135" s="1"/>
      <c r="M135" s="1"/>
      <c r="R135" s="3"/>
    </row>
    <row r="136" spans="1:18" ht="15.75">
      <c r="A136" s="1"/>
      <c r="B136" s="55"/>
      <c r="C136" s="33"/>
      <c r="D136" s="57"/>
      <c r="E136" s="58"/>
      <c r="F136" s="58"/>
      <c r="G136" s="33"/>
      <c r="H136" s="1"/>
      <c r="M136" s="1"/>
      <c r="R136" s="3"/>
    </row>
    <row r="137" spans="1:18" ht="15.75">
      <c r="A137" s="1"/>
      <c r="B137" s="55"/>
      <c r="C137" s="33"/>
      <c r="D137" s="57"/>
      <c r="E137" s="58"/>
      <c r="F137" s="58"/>
      <c r="G137" s="33"/>
      <c r="H137" s="1"/>
      <c r="M137" s="1"/>
      <c r="R137" s="3"/>
    </row>
    <row r="138" spans="1:18" ht="15.75">
      <c r="A138" s="1"/>
      <c r="B138" s="55"/>
      <c r="C138" s="33"/>
      <c r="D138" s="57"/>
      <c r="E138" s="58"/>
      <c r="F138" s="58"/>
      <c r="G138" s="33"/>
      <c r="H138" s="1"/>
      <c r="M138" s="1"/>
      <c r="R138" s="3"/>
    </row>
    <row r="139" spans="1:18" ht="16.5" thickBot="1">
      <c r="A139" s="1"/>
      <c r="B139" s="56"/>
      <c r="C139" s="34"/>
      <c r="D139" s="56"/>
      <c r="E139" s="59"/>
      <c r="F139" s="59"/>
      <c r="G139" s="34"/>
      <c r="H139" s="1"/>
      <c r="M139" s="1"/>
      <c r="R139" s="3"/>
    </row>
    <row r="140" spans="1:18" ht="16.5" thickBot="1">
      <c r="A140" s="1"/>
      <c r="B140" s="56">
        <f>SUM(B126:B139)</f>
        <v>48</v>
      </c>
      <c r="C140" s="34" t="s">
        <v>66</v>
      </c>
      <c r="D140" s="56">
        <f>SUM(D126:D139)</f>
        <v>52.5</v>
      </c>
      <c r="E140" s="56">
        <f>SUM(E126:E139)</f>
        <v>7.99</v>
      </c>
      <c r="F140" s="56">
        <f>SUM(F126:F139)</f>
        <v>0</v>
      </c>
      <c r="G140" s="34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89" t="str">
        <f>'2018'!A27</f>
        <v>Gatos</v>
      </c>
      <c r="C142" s="290"/>
      <c r="D142" s="290"/>
      <c r="E142" s="290"/>
      <c r="F142" s="290"/>
      <c r="G142" s="291"/>
      <c r="H142" s="1"/>
      <c r="M142" s="1"/>
      <c r="R142" s="3"/>
    </row>
    <row r="143" spans="1:18" ht="16.149999999999999" customHeight="1" thickBot="1">
      <c r="A143" s="1"/>
      <c r="B143" s="292"/>
      <c r="C143" s="293"/>
      <c r="D143" s="293"/>
      <c r="E143" s="293"/>
      <c r="F143" s="293"/>
      <c r="G143" s="294"/>
      <c r="H143" s="1"/>
      <c r="M143" s="1"/>
      <c r="R143" s="3"/>
    </row>
    <row r="144" spans="1:18" ht="15.75">
      <c r="A144" s="1"/>
      <c r="B144" s="297" t="s">
        <v>10</v>
      </c>
      <c r="C144" s="296"/>
      <c r="D144" s="295" t="s">
        <v>11</v>
      </c>
      <c r="E144" s="295"/>
      <c r="F144" s="295"/>
      <c r="G144" s="296"/>
      <c r="H144" s="1"/>
      <c r="M144" s="1"/>
      <c r="R144" s="3"/>
    </row>
    <row r="145" spans="1:22" ht="15.75">
      <c r="A145" s="1"/>
      <c r="B145" s="52" t="s">
        <v>32</v>
      </c>
      <c r="C145" s="60" t="s">
        <v>33</v>
      </c>
      <c r="D145" s="52" t="s">
        <v>68</v>
      </c>
      <c r="E145" s="53" t="s">
        <v>69</v>
      </c>
      <c r="F145" s="53" t="s">
        <v>32</v>
      </c>
      <c r="G145" s="60" t="s">
        <v>33</v>
      </c>
      <c r="H145" s="1"/>
      <c r="M145" s="1"/>
      <c r="R145" s="3"/>
    </row>
    <row r="146" spans="1:22" ht="15.75">
      <c r="A146" s="1"/>
      <c r="B146" s="54">
        <v>50</v>
      </c>
      <c r="C146" s="36" t="s">
        <v>43</v>
      </c>
      <c r="D146" s="57">
        <f>7*11.46</f>
        <v>80.22</v>
      </c>
      <c r="E146" s="58"/>
      <c r="F146" s="58"/>
      <c r="G146" s="33" t="s">
        <v>48</v>
      </c>
      <c r="H146" s="1"/>
      <c r="M146" s="1"/>
      <c r="R146" s="3"/>
    </row>
    <row r="147" spans="1:22" ht="15.75">
      <c r="A147" s="1"/>
      <c r="B147" s="55"/>
      <c r="C147" s="33"/>
      <c r="D147" s="57">
        <f>23.07</f>
        <v>23.07</v>
      </c>
      <c r="E147" s="58"/>
      <c r="F147" s="58"/>
      <c r="G147" s="33" t="s">
        <v>61</v>
      </c>
      <c r="H147" s="1"/>
      <c r="M147" s="1"/>
      <c r="R147" s="3"/>
    </row>
    <row r="148" spans="1:22" ht="15.75">
      <c r="A148" s="1"/>
      <c r="B148" s="55"/>
      <c r="C148" s="33"/>
      <c r="D148" s="57"/>
      <c r="E148" s="58"/>
      <c r="F148" s="58"/>
      <c r="G148" s="33" t="s">
        <v>47</v>
      </c>
      <c r="H148" s="1"/>
      <c r="M148" s="1"/>
      <c r="R148" s="3"/>
    </row>
    <row r="149" spans="1:22" ht="15.75">
      <c r="A149" s="1"/>
      <c r="B149" s="55"/>
      <c r="C149" s="33"/>
      <c r="D149" s="57"/>
      <c r="E149" s="58"/>
      <c r="F149" s="58"/>
      <c r="G149" s="33"/>
      <c r="H149" s="1"/>
      <c r="M149" s="1"/>
      <c r="R149" s="3"/>
    </row>
    <row r="150" spans="1:22" ht="15.75">
      <c r="A150" s="1"/>
      <c r="B150" s="55"/>
      <c r="C150" s="33"/>
      <c r="D150" s="57"/>
      <c r="E150" s="58"/>
      <c r="F150" s="58"/>
      <c r="G150" s="33"/>
      <c r="H150" s="1"/>
      <c r="M150" s="1"/>
      <c r="R150" s="3"/>
    </row>
    <row r="151" spans="1:22" ht="15.75">
      <c r="A151" s="1"/>
      <c r="B151" s="55"/>
      <c r="C151" s="33"/>
      <c r="D151" s="57"/>
      <c r="E151" s="58"/>
      <c r="F151" s="58"/>
      <c r="G151" s="33"/>
      <c r="H151" s="1"/>
      <c r="M151" s="1"/>
      <c r="R151" s="3"/>
    </row>
    <row r="152" spans="1:22" ht="15.75">
      <c r="A152" s="1"/>
      <c r="B152" s="55"/>
      <c r="C152" s="33"/>
      <c r="D152" s="57"/>
      <c r="E152" s="58"/>
      <c r="F152" s="58"/>
      <c r="G152" s="33"/>
      <c r="H152" s="1"/>
      <c r="M152" s="1"/>
      <c r="R152" s="3"/>
    </row>
    <row r="153" spans="1:22" ht="15.75">
      <c r="A153" s="1"/>
      <c r="B153" s="55"/>
      <c r="C153" s="33"/>
      <c r="D153" s="57"/>
      <c r="E153" s="58"/>
      <c r="F153" s="58"/>
      <c r="G153" s="33"/>
      <c r="H153" s="1"/>
      <c r="M153" s="1"/>
      <c r="R153" s="3"/>
    </row>
    <row r="154" spans="1:22" ht="15.75">
      <c r="A154" s="1"/>
      <c r="B154" s="55"/>
      <c r="C154" s="33"/>
      <c r="D154" s="57"/>
      <c r="E154" s="58"/>
      <c r="F154" s="58"/>
      <c r="G154" s="33"/>
      <c r="H154" s="1"/>
      <c r="M154" s="1"/>
      <c r="R154" s="3"/>
    </row>
    <row r="155" spans="1:22" ht="15.75">
      <c r="A155" s="1"/>
      <c r="B155" s="55"/>
      <c r="C155" s="33"/>
      <c r="D155" s="57"/>
      <c r="E155" s="58"/>
      <c r="F155" s="58"/>
      <c r="G155" s="33"/>
      <c r="H155" s="1"/>
      <c r="M155" s="1"/>
      <c r="R155" s="3"/>
    </row>
    <row r="156" spans="1:22" ht="15.75">
      <c r="A156" s="1"/>
      <c r="B156" s="55"/>
      <c r="C156" s="33"/>
      <c r="D156" s="57"/>
      <c r="E156" s="58"/>
      <c r="F156" s="58"/>
      <c r="G156" s="33"/>
      <c r="H156" s="1"/>
      <c r="M156" s="1"/>
      <c r="R156" s="3"/>
    </row>
    <row r="157" spans="1:22" ht="15.75">
      <c r="A157" s="1"/>
      <c r="B157" s="55"/>
      <c r="C157" s="33"/>
      <c r="D157" s="57"/>
      <c r="E157" s="58"/>
      <c r="F157" s="58"/>
      <c r="G157" s="33"/>
      <c r="H157" s="1"/>
      <c r="M157" s="1"/>
      <c r="R157" s="3"/>
    </row>
    <row r="158" spans="1:22" ht="15.75">
      <c r="A158" s="1"/>
      <c r="B158" s="55"/>
      <c r="C158" s="33"/>
      <c r="D158" s="57"/>
      <c r="E158" s="58"/>
      <c r="F158" s="58"/>
      <c r="G158" s="33"/>
      <c r="H158" s="1"/>
      <c r="M158" s="1"/>
      <c r="R158" s="3"/>
    </row>
    <row r="159" spans="1:22" ht="16.5" thickBot="1">
      <c r="A159" s="1"/>
      <c r="B159" s="56"/>
      <c r="C159" s="34"/>
      <c r="D159" s="56"/>
      <c r="E159" s="59"/>
      <c r="F159" s="59"/>
      <c r="G159" s="34"/>
      <c r="H159" s="1"/>
      <c r="M159" s="1"/>
      <c r="R159" s="3"/>
    </row>
    <row r="160" spans="1:22" ht="16.5" thickBot="1">
      <c r="A160" s="1"/>
      <c r="B160" s="56">
        <f>SUM(B146:B159)</f>
        <v>50</v>
      </c>
      <c r="C160" s="34" t="s">
        <v>66</v>
      </c>
      <c r="D160" s="56">
        <f>SUM(D146:D159)</f>
        <v>103.28999999999999</v>
      </c>
      <c r="E160" s="56">
        <f>SUM(E146:E159)</f>
        <v>0</v>
      </c>
      <c r="F160" s="56">
        <f>SUM(F146:F159)</f>
        <v>0</v>
      </c>
      <c r="G160" s="34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89" t="str">
        <f>'2018'!A28</f>
        <v>Vacaciones</v>
      </c>
      <c r="C162" s="290"/>
      <c r="D162" s="290"/>
      <c r="E162" s="290"/>
      <c r="F162" s="290"/>
      <c r="G162" s="29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92"/>
      <c r="C163" s="293"/>
      <c r="D163" s="293"/>
      <c r="E163" s="293"/>
      <c r="F163" s="293"/>
      <c r="G163" s="294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97" t="s">
        <v>10</v>
      </c>
      <c r="C164" s="296"/>
      <c r="D164" s="295" t="s">
        <v>11</v>
      </c>
      <c r="E164" s="295"/>
      <c r="F164" s="295"/>
      <c r="G164" s="29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52" t="s">
        <v>32</v>
      </c>
      <c r="C165" s="60" t="s">
        <v>33</v>
      </c>
      <c r="D165" s="52" t="s">
        <v>68</v>
      </c>
      <c r="E165" s="53" t="s">
        <v>69</v>
      </c>
      <c r="F165" s="53" t="s">
        <v>32</v>
      </c>
      <c r="G165" s="60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54">
        <v>200</v>
      </c>
      <c r="C166" s="36" t="s">
        <v>36</v>
      </c>
      <c r="D166" s="57">
        <f>88.9+13.6</f>
        <v>102.5</v>
      </c>
      <c r="E166" s="58"/>
      <c r="F166" s="58"/>
      <c r="G166" s="33" t="s">
        <v>332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55">
        <v>80.099999999999994</v>
      </c>
      <c r="C167" s="33" t="s">
        <v>308</v>
      </c>
      <c r="D167" s="57"/>
      <c r="E167" s="58">
        <f>80.1</f>
        <v>80.099999999999994</v>
      </c>
      <c r="F167" s="58"/>
      <c r="G167" s="33" t="s">
        <v>268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55"/>
      <c r="C168" s="33"/>
      <c r="D168" s="57"/>
      <c r="E168" s="58"/>
      <c r="F168" s="58"/>
      <c r="G168" s="33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55"/>
      <c r="C169" s="33"/>
      <c r="D169" s="57"/>
      <c r="E169" s="58"/>
      <c r="F169" s="58"/>
      <c r="G169" s="33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55"/>
      <c r="C170" s="33"/>
      <c r="D170" s="57"/>
      <c r="E170" s="58"/>
      <c r="F170" s="58"/>
      <c r="G170" s="33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55"/>
      <c r="C171" s="33"/>
      <c r="D171" s="57"/>
      <c r="E171" s="58"/>
      <c r="F171" s="58"/>
      <c r="G171" s="33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55"/>
      <c r="C172" s="33"/>
      <c r="D172" s="57"/>
      <c r="E172" s="58"/>
      <c r="F172" s="58"/>
      <c r="G172" s="33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55"/>
      <c r="C173" s="33"/>
      <c r="D173" s="57"/>
      <c r="E173" s="58"/>
      <c r="F173" s="58"/>
      <c r="G173" s="33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55"/>
      <c r="C174" s="33"/>
      <c r="D174" s="57"/>
      <c r="E174" s="58"/>
      <c r="F174" s="58"/>
      <c r="G174" s="33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55"/>
      <c r="C175" s="33"/>
      <c r="D175" s="57"/>
      <c r="E175" s="58"/>
      <c r="F175" s="58"/>
      <c r="G175" s="33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55"/>
      <c r="C176" s="33"/>
      <c r="D176" s="57"/>
      <c r="E176" s="58"/>
      <c r="F176" s="58"/>
      <c r="G176" s="33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55"/>
      <c r="C177" s="33"/>
      <c r="D177" s="57"/>
      <c r="E177" s="58"/>
      <c r="F177" s="58"/>
      <c r="G177" s="33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55"/>
      <c r="C178" s="33"/>
      <c r="D178" s="57"/>
      <c r="E178" s="58"/>
      <c r="F178" s="58"/>
      <c r="G178" s="33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56"/>
      <c r="C179" s="34"/>
      <c r="D179" s="56"/>
      <c r="E179" s="59"/>
      <c r="F179" s="59"/>
      <c r="G179" s="34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56">
        <f>SUM(B166:B179)</f>
        <v>280.10000000000002</v>
      </c>
      <c r="C180" s="34" t="s">
        <v>66</v>
      </c>
      <c r="D180" s="56">
        <f>SUM(D166:D179)</f>
        <v>102.5</v>
      </c>
      <c r="E180" s="56">
        <f>SUM(E166:E179)</f>
        <v>80.099999999999994</v>
      </c>
      <c r="F180" s="56">
        <f>SUM(F166:F179)</f>
        <v>0</v>
      </c>
      <c r="G180" s="34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89" t="str">
        <f>'2018'!A29</f>
        <v>Ropa</v>
      </c>
      <c r="C182" s="290"/>
      <c r="D182" s="290"/>
      <c r="E182" s="290"/>
      <c r="F182" s="290"/>
      <c r="G182" s="29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92"/>
      <c r="C183" s="293"/>
      <c r="D183" s="293"/>
      <c r="E183" s="293"/>
      <c r="F183" s="293"/>
      <c r="G183" s="294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97" t="s">
        <v>10</v>
      </c>
      <c r="C184" s="296"/>
      <c r="D184" s="295" t="s">
        <v>11</v>
      </c>
      <c r="E184" s="295"/>
      <c r="F184" s="295"/>
      <c r="G184" s="29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52" t="s">
        <v>32</v>
      </c>
      <c r="C185" s="60" t="s">
        <v>33</v>
      </c>
      <c r="D185" s="52" t="s">
        <v>68</v>
      </c>
      <c r="E185" s="53" t="s">
        <v>69</v>
      </c>
      <c r="F185" s="53" t="s">
        <v>32</v>
      </c>
      <c r="G185" s="60" t="s">
        <v>33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54">
        <v>60</v>
      </c>
      <c r="C186" s="36" t="s">
        <v>43</v>
      </c>
      <c r="D186" s="57">
        <v>73</v>
      </c>
      <c r="E186" s="58"/>
      <c r="F186" s="58"/>
      <c r="G186" s="33" t="s">
        <v>347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55"/>
      <c r="C187" s="33"/>
      <c r="D187" s="57">
        <v>13</v>
      </c>
      <c r="E187" s="58"/>
      <c r="F187" s="58"/>
      <c r="G187" s="33" t="s">
        <v>111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55"/>
      <c r="C188" s="33"/>
      <c r="D188" s="57"/>
      <c r="E188" s="58"/>
      <c r="F188" s="58"/>
      <c r="G188" s="33"/>
    </row>
    <row r="189" spans="1:22">
      <c r="B189" s="55"/>
      <c r="C189" s="33"/>
      <c r="D189" s="57"/>
      <c r="E189" s="58"/>
      <c r="F189" s="58"/>
      <c r="G189" s="33"/>
    </row>
    <row r="190" spans="1:22">
      <c r="B190" s="55"/>
      <c r="C190" s="33"/>
      <c r="D190" s="57"/>
      <c r="E190" s="58"/>
      <c r="F190" s="58"/>
      <c r="G190" s="33"/>
    </row>
    <row r="191" spans="1:22">
      <c r="B191" s="55"/>
      <c r="C191" s="33"/>
      <c r="D191" s="57"/>
      <c r="E191" s="58"/>
      <c r="F191" s="58"/>
      <c r="G191" s="33"/>
    </row>
    <row r="192" spans="1:22">
      <c r="B192" s="55"/>
      <c r="C192" s="33"/>
      <c r="D192" s="57"/>
      <c r="E192" s="58"/>
      <c r="F192" s="58"/>
      <c r="G192" s="33"/>
    </row>
    <row r="193" spans="2:7">
      <c r="B193" s="55"/>
      <c r="C193" s="33"/>
      <c r="D193" s="57"/>
      <c r="E193" s="58"/>
      <c r="F193" s="58"/>
      <c r="G193" s="33"/>
    </row>
    <row r="194" spans="2:7">
      <c r="B194" s="55"/>
      <c r="C194" s="33"/>
      <c r="D194" s="57"/>
      <c r="E194" s="58"/>
      <c r="F194" s="58"/>
      <c r="G194" s="33"/>
    </row>
    <row r="195" spans="2:7">
      <c r="B195" s="55"/>
      <c r="C195" s="33"/>
      <c r="D195" s="57"/>
      <c r="E195" s="58"/>
      <c r="F195" s="58"/>
      <c r="G195" s="33"/>
    </row>
    <row r="196" spans="2:7">
      <c r="B196" s="55"/>
      <c r="C196" s="33"/>
      <c r="D196" s="57"/>
      <c r="E196" s="58"/>
      <c r="F196" s="58"/>
      <c r="G196" s="33"/>
    </row>
    <row r="197" spans="2:7">
      <c r="B197" s="55"/>
      <c r="C197" s="33"/>
      <c r="D197" s="57"/>
      <c r="E197" s="58"/>
      <c r="F197" s="58"/>
      <c r="G197" s="33"/>
    </row>
    <row r="198" spans="2:7">
      <c r="B198" s="55"/>
      <c r="C198" s="33"/>
      <c r="D198" s="57"/>
      <c r="E198" s="58"/>
      <c r="F198" s="58"/>
      <c r="G198" s="33"/>
    </row>
    <row r="199" spans="2:7" ht="15.75" thickBot="1">
      <c r="B199" s="56"/>
      <c r="C199" s="34"/>
      <c r="D199" s="56"/>
      <c r="E199" s="59"/>
      <c r="F199" s="59"/>
      <c r="G199" s="34"/>
    </row>
    <row r="200" spans="2:7" ht="15.75" thickBot="1">
      <c r="B200" s="56">
        <f>SUM(B186:B199)</f>
        <v>60</v>
      </c>
      <c r="C200" s="34" t="s">
        <v>66</v>
      </c>
      <c r="D200" s="56">
        <f>SUM(D186:D199)</f>
        <v>86</v>
      </c>
      <c r="E200" s="56">
        <f>SUM(E186:E199)</f>
        <v>0</v>
      </c>
      <c r="F200" s="56">
        <f>SUM(F186:F199)</f>
        <v>0</v>
      </c>
      <c r="G200" s="34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89" t="str">
        <f>'2018'!A30</f>
        <v>Belleza</v>
      </c>
      <c r="C202" s="290"/>
      <c r="D202" s="290"/>
      <c r="E202" s="290"/>
      <c r="F202" s="290"/>
      <c r="G202" s="291"/>
    </row>
    <row r="203" spans="2:7" ht="15" customHeight="1" thickBot="1">
      <c r="B203" s="292"/>
      <c r="C203" s="293"/>
      <c r="D203" s="293"/>
      <c r="E203" s="293"/>
      <c r="F203" s="293"/>
      <c r="G203" s="294"/>
    </row>
    <row r="204" spans="2:7">
      <c r="B204" s="297" t="s">
        <v>10</v>
      </c>
      <c r="C204" s="296"/>
      <c r="D204" s="295" t="s">
        <v>11</v>
      </c>
      <c r="E204" s="295"/>
      <c r="F204" s="295"/>
      <c r="G204" s="296"/>
    </row>
    <row r="205" spans="2:7">
      <c r="B205" s="52" t="s">
        <v>32</v>
      </c>
      <c r="C205" s="60" t="s">
        <v>33</v>
      </c>
      <c r="D205" s="52" t="s">
        <v>68</v>
      </c>
      <c r="E205" s="53" t="s">
        <v>69</v>
      </c>
      <c r="F205" s="53" t="s">
        <v>32</v>
      </c>
      <c r="G205" s="60" t="s">
        <v>33</v>
      </c>
    </row>
    <row r="206" spans="2:7">
      <c r="B206" s="54">
        <v>35</v>
      </c>
      <c r="C206" s="36"/>
      <c r="D206" s="57"/>
      <c r="E206" s="58"/>
      <c r="F206" s="58"/>
      <c r="G206" s="33" t="s">
        <v>96</v>
      </c>
    </row>
    <row r="207" spans="2:7">
      <c r="B207" s="55"/>
      <c r="C207" s="33"/>
      <c r="D207" s="57">
        <v>24.5</v>
      </c>
      <c r="E207" s="58"/>
      <c r="F207" s="58"/>
      <c r="G207" s="33" t="s">
        <v>343</v>
      </c>
    </row>
    <row r="208" spans="2:7">
      <c r="B208" s="55"/>
      <c r="C208" s="33"/>
      <c r="D208" s="57">
        <v>7.04</v>
      </c>
      <c r="E208" s="58"/>
      <c r="F208" s="58"/>
      <c r="G208" s="33" t="s">
        <v>345</v>
      </c>
    </row>
    <row r="209" spans="2:7">
      <c r="B209" s="55"/>
      <c r="C209" s="33"/>
      <c r="D209" s="57"/>
      <c r="E209" s="58"/>
      <c r="F209" s="58"/>
      <c r="G209" s="33"/>
    </row>
    <row r="210" spans="2:7">
      <c r="B210" s="55"/>
      <c r="C210" s="33"/>
      <c r="D210" s="57"/>
      <c r="E210" s="58"/>
      <c r="F210" s="58"/>
      <c r="G210" s="33"/>
    </row>
    <row r="211" spans="2:7">
      <c r="B211" s="55"/>
      <c r="C211" s="33"/>
      <c r="D211" s="57"/>
      <c r="E211" s="58"/>
      <c r="F211" s="58"/>
      <c r="G211" s="33"/>
    </row>
    <row r="212" spans="2:7">
      <c r="B212" s="55"/>
      <c r="C212" s="33"/>
      <c r="D212" s="57"/>
      <c r="E212" s="58"/>
      <c r="F212" s="58"/>
      <c r="G212" s="33"/>
    </row>
    <row r="213" spans="2:7">
      <c r="B213" s="55"/>
      <c r="C213" s="33"/>
      <c r="D213" s="57"/>
      <c r="E213" s="58"/>
      <c r="F213" s="58"/>
      <c r="G213" s="33"/>
    </row>
    <row r="214" spans="2:7">
      <c r="B214" s="55"/>
      <c r="C214" s="33"/>
      <c r="D214" s="57"/>
      <c r="E214" s="58"/>
      <c r="F214" s="58"/>
      <c r="G214" s="33"/>
    </row>
    <row r="215" spans="2:7">
      <c r="B215" s="55"/>
      <c r="C215" s="33"/>
      <c r="D215" s="57"/>
      <c r="E215" s="58"/>
      <c r="F215" s="58"/>
      <c r="G215" s="33"/>
    </row>
    <row r="216" spans="2:7">
      <c r="B216" s="55"/>
      <c r="C216" s="33"/>
      <c r="D216" s="57"/>
      <c r="E216" s="58"/>
      <c r="F216" s="58"/>
      <c r="G216" s="33"/>
    </row>
    <row r="217" spans="2:7">
      <c r="B217" s="55"/>
      <c r="C217" s="33"/>
      <c r="D217" s="57"/>
      <c r="E217" s="58"/>
      <c r="F217" s="58"/>
      <c r="G217" s="33"/>
    </row>
    <row r="218" spans="2:7">
      <c r="B218" s="55"/>
      <c r="C218" s="33"/>
      <c r="D218" s="57"/>
      <c r="E218" s="58"/>
      <c r="F218" s="58"/>
      <c r="G218" s="33"/>
    </row>
    <row r="219" spans="2:7" ht="15.75" thickBot="1">
      <c r="B219" s="56"/>
      <c r="C219" s="34"/>
      <c r="D219" s="56"/>
      <c r="E219" s="59"/>
      <c r="F219" s="59"/>
      <c r="G219" s="34"/>
    </row>
    <row r="220" spans="2:7" ht="15.75" thickBot="1">
      <c r="B220" s="56">
        <f>SUM(B206:B219)</f>
        <v>35</v>
      </c>
      <c r="C220" s="34" t="s">
        <v>66</v>
      </c>
      <c r="D220" s="56">
        <f>SUM(D206:D219)</f>
        <v>31.54</v>
      </c>
      <c r="E220" s="56">
        <f>SUM(E206:E219)</f>
        <v>0</v>
      </c>
      <c r="F220" s="56">
        <f>SUM(F206:F219)</f>
        <v>0</v>
      </c>
      <c r="G220" s="34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89" t="str">
        <f>'2018'!A31</f>
        <v>Deportes</v>
      </c>
      <c r="C222" s="290"/>
      <c r="D222" s="290"/>
      <c r="E222" s="290"/>
      <c r="F222" s="290"/>
      <c r="G222" s="291"/>
    </row>
    <row r="223" spans="2:7" ht="15" customHeight="1" thickBot="1">
      <c r="B223" s="292"/>
      <c r="C223" s="293"/>
      <c r="D223" s="293"/>
      <c r="E223" s="293"/>
      <c r="F223" s="293"/>
      <c r="G223" s="294"/>
    </row>
    <row r="224" spans="2:7">
      <c r="B224" s="297" t="s">
        <v>10</v>
      </c>
      <c r="C224" s="296"/>
      <c r="D224" s="295" t="s">
        <v>11</v>
      </c>
      <c r="E224" s="295"/>
      <c r="F224" s="295"/>
      <c r="G224" s="296"/>
    </row>
    <row r="225" spans="2:7">
      <c r="B225" s="52" t="s">
        <v>32</v>
      </c>
      <c r="C225" s="60" t="s">
        <v>33</v>
      </c>
      <c r="D225" s="52" t="s">
        <v>68</v>
      </c>
      <c r="E225" s="53" t="s">
        <v>69</v>
      </c>
      <c r="F225" s="53" t="s">
        <v>32</v>
      </c>
      <c r="G225" s="60" t="s">
        <v>33</v>
      </c>
    </row>
    <row r="226" spans="2:7">
      <c r="B226" s="54">
        <v>20</v>
      </c>
      <c r="C226" s="36" t="s">
        <v>50</v>
      </c>
      <c r="D226" s="57">
        <v>20</v>
      </c>
      <c r="E226" s="58"/>
      <c r="F226" s="58"/>
      <c r="G226" s="58" t="s">
        <v>50</v>
      </c>
    </row>
    <row r="227" spans="2:7">
      <c r="B227" s="55">
        <v>60</v>
      </c>
      <c r="C227" s="33" t="s">
        <v>102</v>
      </c>
      <c r="D227" s="57"/>
      <c r="E227" s="58"/>
      <c r="F227" s="58"/>
      <c r="G227" s="33"/>
    </row>
    <row r="228" spans="2:7">
      <c r="B228" s="55">
        <v>5</v>
      </c>
      <c r="C228" s="33" t="s">
        <v>46</v>
      </c>
      <c r="D228" s="57"/>
      <c r="E228" s="58"/>
      <c r="F228" s="58"/>
      <c r="G228" s="33"/>
    </row>
    <row r="229" spans="2:7">
      <c r="B229" s="55"/>
      <c r="C229" s="33"/>
      <c r="D229" s="57"/>
      <c r="E229" s="58"/>
      <c r="F229" s="58"/>
      <c r="G229" s="33"/>
    </row>
    <row r="230" spans="2:7">
      <c r="B230" s="55"/>
      <c r="C230" s="33"/>
      <c r="D230" s="57"/>
      <c r="E230" s="58"/>
      <c r="F230" s="58"/>
      <c r="G230" s="33"/>
    </row>
    <row r="231" spans="2:7">
      <c r="B231" s="55"/>
      <c r="C231" s="33"/>
      <c r="D231" s="57"/>
      <c r="E231" s="58"/>
      <c r="F231" s="58"/>
      <c r="G231" s="33"/>
    </row>
    <row r="232" spans="2:7">
      <c r="B232" s="55"/>
      <c r="C232" s="33"/>
      <c r="D232" s="57"/>
      <c r="E232" s="58"/>
      <c r="F232" s="58"/>
      <c r="G232" s="33"/>
    </row>
    <row r="233" spans="2:7">
      <c r="B233" s="55"/>
      <c r="C233" s="33"/>
      <c r="D233" s="57"/>
      <c r="E233" s="58"/>
      <c r="F233" s="58"/>
      <c r="G233" s="33"/>
    </row>
    <row r="234" spans="2:7">
      <c r="B234" s="55"/>
      <c r="C234" s="33"/>
      <c r="D234" s="57"/>
      <c r="E234" s="58"/>
      <c r="F234" s="58"/>
      <c r="G234" s="33"/>
    </row>
    <row r="235" spans="2:7">
      <c r="B235" s="55"/>
      <c r="C235" s="33"/>
      <c r="D235" s="57"/>
      <c r="E235" s="58"/>
      <c r="F235" s="58"/>
      <c r="G235" s="33"/>
    </row>
    <row r="236" spans="2:7">
      <c r="B236" s="55"/>
      <c r="C236" s="33"/>
      <c r="D236" s="57"/>
      <c r="E236" s="58"/>
      <c r="F236" s="58"/>
      <c r="G236" s="33"/>
    </row>
    <row r="237" spans="2:7">
      <c r="B237" s="55"/>
      <c r="C237" s="33"/>
      <c r="D237" s="57"/>
      <c r="E237" s="58"/>
      <c r="F237" s="58"/>
      <c r="G237" s="33"/>
    </row>
    <row r="238" spans="2:7">
      <c r="B238" s="55"/>
      <c r="C238" s="33"/>
      <c r="D238" s="57"/>
      <c r="E238" s="58"/>
      <c r="F238" s="58"/>
      <c r="G238" s="33"/>
    </row>
    <row r="239" spans="2:7" ht="15.75" thickBot="1">
      <c r="B239" s="56"/>
      <c r="C239" s="34"/>
      <c r="D239" s="56"/>
      <c r="E239" s="59"/>
      <c r="F239" s="59"/>
      <c r="G239" s="34"/>
    </row>
    <row r="240" spans="2:7" ht="15.75" thickBot="1">
      <c r="B240" s="56">
        <f>SUM(B226:B239)</f>
        <v>85</v>
      </c>
      <c r="C240" s="34" t="s">
        <v>66</v>
      </c>
      <c r="D240" s="56">
        <f>SUM(D226:D239)</f>
        <v>20</v>
      </c>
      <c r="E240" s="56">
        <f>SUM(E226:E239)</f>
        <v>0</v>
      </c>
      <c r="F240" s="56">
        <f>SUM(F226:F239)</f>
        <v>0</v>
      </c>
      <c r="G240" s="34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89" t="str">
        <f>'2018'!A32</f>
        <v>Hogar</v>
      </c>
      <c r="C242" s="290"/>
      <c r="D242" s="290"/>
      <c r="E242" s="290"/>
      <c r="F242" s="290"/>
      <c r="G242" s="291"/>
    </row>
    <row r="243" spans="2:7" ht="15" customHeight="1" thickBot="1">
      <c r="B243" s="292"/>
      <c r="C243" s="293"/>
      <c r="D243" s="293"/>
      <c r="E243" s="293"/>
      <c r="F243" s="293"/>
      <c r="G243" s="294"/>
    </row>
    <row r="244" spans="2:7" ht="15" customHeight="1">
      <c r="B244" s="297" t="s">
        <v>10</v>
      </c>
      <c r="C244" s="296"/>
      <c r="D244" s="295" t="s">
        <v>11</v>
      </c>
      <c r="E244" s="295"/>
      <c r="F244" s="295"/>
      <c r="G244" s="296"/>
    </row>
    <row r="245" spans="2:7" ht="15" customHeight="1">
      <c r="B245" s="52" t="s">
        <v>32</v>
      </c>
      <c r="C245" s="60" t="s">
        <v>33</v>
      </c>
      <c r="D245" s="52" t="s">
        <v>68</v>
      </c>
      <c r="E245" s="53" t="s">
        <v>69</v>
      </c>
      <c r="F245" s="53" t="s">
        <v>32</v>
      </c>
      <c r="G245" s="60" t="s">
        <v>33</v>
      </c>
    </row>
    <row r="246" spans="2:7" ht="15" customHeight="1">
      <c r="B246" s="55">
        <v>70</v>
      </c>
      <c r="C246" s="66"/>
      <c r="D246" s="57"/>
      <c r="E246" s="58"/>
      <c r="F246" s="58"/>
      <c r="G246" s="33" t="s">
        <v>47</v>
      </c>
    </row>
    <row r="247" spans="2:7" ht="15" customHeight="1">
      <c r="B247" s="55"/>
      <c r="C247" s="33"/>
      <c r="D247" s="57">
        <f>93.35+8.92</f>
        <v>102.27</v>
      </c>
      <c r="E247" s="58"/>
      <c r="F247" s="58"/>
      <c r="G247" s="33" t="s">
        <v>98</v>
      </c>
    </row>
    <row r="248" spans="2:7">
      <c r="B248" s="55"/>
      <c r="C248" s="33"/>
      <c r="D248" s="57"/>
      <c r="E248" s="58"/>
      <c r="F248" s="58"/>
      <c r="G248" s="33" t="s">
        <v>120</v>
      </c>
    </row>
    <row r="249" spans="2:7">
      <c r="B249" s="55"/>
      <c r="C249" s="33"/>
      <c r="D249" s="57"/>
      <c r="E249" s="58"/>
      <c r="F249" s="58"/>
      <c r="G249" s="33" t="s">
        <v>205</v>
      </c>
    </row>
    <row r="250" spans="2:7">
      <c r="B250" s="55"/>
      <c r="C250" s="33"/>
      <c r="D250" s="57">
        <v>6</v>
      </c>
      <c r="E250" s="58"/>
      <c r="F250" s="58"/>
      <c r="G250" s="33" t="s">
        <v>340</v>
      </c>
    </row>
    <row r="251" spans="2:7">
      <c r="B251" s="55"/>
      <c r="C251" s="33"/>
      <c r="D251" s="57">
        <f>86.97</f>
        <v>86.97</v>
      </c>
      <c r="E251" s="58"/>
      <c r="F251" s="58"/>
      <c r="G251" s="33" t="s">
        <v>349</v>
      </c>
    </row>
    <row r="252" spans="2:7">
      <c r="B252" s="55"/>
      <c r="C252" s="33"/>
      <c r="D252" s="57"/>
      <c r="E252" s="58"/>
      <c r="F252" s="58"/>
      <c r="G252" s="33"/>
    </row>
    <row r="253" spans="2:7">
      <c r="B253" s="55"/>
      <c r="C253" s="33"/>
      <c r="D253" s="57"/>
      <c r="E253" s="58"/>
      <c r="F253" s="58"/>
      <c r="G253" s="33"/>
    </row>
    <row r="254" spans="2:7">
      <c r="B254" s="55"/>
      <c r="C254" s="33"/>
      <c r="D254" s="57"/>
      <c r="E254" s="58"/>
      <c r="F254" s="58"/>
      <c r="G254" s="33"/>
    </row>
    <row r="255" spans="2:7">
      <c r="B255" s="55"/>
      <c r="C255" s="33"/>
      <c r="D255" s="57"/>
      <c r="E255" s="58"/>
      <c r="F255" s="58"/>
      <c r="G255" s="33"/>
    </row>
    <row r="256" spans="2:7">
      <c r="B256" s="55"/>
      <c r="C256" s="33"/>
      <c r="D256" s="57"/>
      <c r="E256" s="58"/>
      <c r="F256" s="58"/>
      <c r="G256" s="33"/>
    </row>
    <row r="257" spans="2:7">
      <c r="B257" s="55"/>
      <c r="C257" s="33"/>
      <c r="D257" s="57"/>
      <c r="E257" s="58"/>
      <c r="F257" s="58"/>
      <c r="G257" s="33"/>
    </row>
    <row r="258" spans="2:7">
      <c r="B258" s="55"/>
      <c r="C258" s="33"/>
      <c r="D258" s="57"/>
      <c r="E258" s="58"/>
      <c r="F258" s="58"/>
      <c r="G258" s="33"/>
    </row>
    <row r="259" spans="2:7" ht="15.75" thickBot="1">
      <c r="B259" s="56"/>
      <c r="C259" s="34"/>
      <c r="D259" s="56"/>
      <c r="E259" s="59"/>
      <c r="F259" s="59"/>
      <c r="G259" s="34"/>
    </row>
    <row r="260" spans="2:7" ht="15.75" thickBot="1">
      <c r="B260" s="56">
        <f>SUM(B246:B259)</f>
        <v>70</v>
      </c>
      <c r="C260" s="34" t="s">
        <v>66</v>
      </c>
      <c r="D260" s="56">
        <f>SUM(D246:D259)</f>
        <v>195.24</v>
      </c>
      <c r="E260" s="56">
        <f>SUM(E246:E259)</f>
        <v>0</v>
      </c>
      <c r="F260" s="56">
        <f>SUM(F246:F259)</f>
        <v>0</v>
      </c>
      <c r="G260" s="34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89" t="str">
        <f>'2018'!A33</f>
        <v>Formación</v>
      </c>
      <c r="C262" s="290"/>
      <c r="D262" s="290"/>
      <c r="E262" s="290"/>
      <c r="F262" s="290"/>
      <c r="G262" s="291"/>
    </row>
    <row r="263" spans="2:7" ht="15" customHeight="1" thickBot="1">
      <c r="B263" s="292"/>
      <c r="C263" s="293"/>
      <c r="D263" s="293"/>
      <c r="E263" s="293"/>
      <c r="F263" s="293"/>
      <c r="G263" s="294"/>
    </row>
    <row r="264" spans="2:7">
      <c r="B264" s="297" t="s">
        <v>10</v>
      </c>
      <c r="C264" s="296"/>
      <c r="D264" s="295" t="s">
        <v>11</v>
      </c>
      <c r="E264" s="295"/>
      <c r="F264" s="295"/>
      <c r="G264" s="296"/>
    </row>
    <row r="265" spans="2:7">
      <c r="B265" s="52" t="s">
        <v>32</v>
      </c>
      <c r="C265" s="60" t="s">
        <v>33</v>
      </c>
      <c r="D265" s="52" t="s">
        <v>68</v>
      </c>
      <c r="E265" s="53" t="s">
        <v>69</v>
      </c>
      <c r="F265" s="53" t="s">
        <v>32</v>
      </c>
      <c r="G265" s="60" t="s">
        <v>33</v>
      </c>
    </row>
    <row r="266" spans="2:7">
      <c r="B266" s="54">
        <v>20</v>
      </c>
      <c r="C266" s="36"/>
      <c r="D266" s="57"/>
      <c r="E266" s="58"/>
      <c r="F266" s="58"/>
      <c r="G266" s="33"/>
    </row>
    <row r="267" spans="2:7">
      <c r="B267" s="55"/>
      <c r="C267" s="33"/>
      <c r="D267" s="57"/>
      <c r="E267" s="58"/>
      <c r="F267" s="58"/>
      <c r="G267" s="33"/>
    </row>
    <row r="268" spans="2:7">
      <c r="B268" s="55"/>
      <c r="C268" s="33"/>
      <c r="D268" s="57"/>
      <c r="E268" s="58"/>
      <c r="F268" s="58"/>
      <c r="G268" s="33"/>
    </row>
    <row r="269" spans="2:7">
      <c r="B269" s="55"/>
      <c r="C269" s="33"/>
      <c r="D269" s="57"/>
      <c r="E269" s="58"/>
      <c r="F269" s="58"/>
      <c r="G269" s="33"/>
    </row>
    <row r="270" spans="2:7">
      <c r="B270" s="55"/>
      <c r="C270" s="33"/>
      <c r="D270" s="57"/>
      <c r="E270" s="58"/>
      <c r="F270" s="58"/>
      <c r="G270" s="33"/>
    </row>
    <row r="271" spans="2:7">
      <c r="B271" s="55"/>
      <c r="C271" s="33"/>
      <c r="D271" s="57"/>
      <c r="E271" s="58"/>
      <c r="F271" s="58"/>
      <c r="G271" s="33"/>
    </row>
    <row r="272" spans="2:7">
      <c r="B272" s="55"/>
      <c r="C272" s="33"/>
      <c r="D272" s="57"/>
      <c r="E272" s="58"/>
      <c r="F272" s="58"/>
      <c r="G272" s="33"/>
    </row>
    <row r="273" spans="2:7">
      <c r="B273" s="55"/>
      <c r="C273" s="33"/>
      <c r="D273" s="57"/>
      <c r="E273" s="58"/>
      <c r="F273" s="58"/>
      <c r="G273" s="33"/>
    </row>
    <row r="274" spans="2:7">
      <c r="B274" s="55"/>
      <c r="C274" s="33"/>
      <c r="D274" s="57"/>
      <c r="E274" s="58"/>
      <c r="F274" s="58"/>
      <c r="G274" s="33"/>
    </row>
    <row r="275" spans="2:7">
      <c r="B275" s="55"/>
      <c r="C275" s="33"/>
      <c r="D275" s="57"/>
      <c r="E275" s="58"/>
      <c r="F275" s="58"/>
      <c r="G275" s="33"/>
    </row>
    <row r="276" spans="2:7">
      <c r="B276" s="55"/>
      <c r="C276" s="33"/>
      <c r="D276" s="57"/>
      <c r="E276" s="58"/>
      <c r="F276" s="58"/>
      <c r="G276" s="33"/>
    </row>
    <row r="277" spans="2:7">
      <c r="B277" s="55"/>
      <c r="C277" s="33"/>
      <c r="D277" s="57"/>
      <c r="E277" s="58"/>
      <c r="F277" s="58"/>
      <c r="G277" s="33"/>
    </row>
    <row r="278" spans="2:7">
      <c r="B278" s="55"/>
      <c r="C278" s="33"/>
      <c r="D278" s="57"/>
      <c r="E278" s="58"/>
      <c r="F278" s="58"/>
      <c r="G278" s="33"/>
    </row>
    <row r="279" spans="2:7" ht="15.75" thickBot="1">
      <c r="B279" s="56"/>
      <c r="C279" s="34"/>
      <c r="D279" s="56"/>
      <c r="E279" s="59"/>
      <c r="F279" s="59"/>
      <c r="G279" s="34"/>
    </row>
    <row r="280" spans="2:7" ht="15.75" thickBot="1">
      <c r="B280" s="56">
        <f>SUM(B266:B279)</f>
        <v>20</v>
      </c>
      <c r="C280" s="34" t="s">
        <v>66</v>
      </c>
      <c r="D280" s="56">
        <f>SUM(D266:D279)</f>
        <v>0</v>
      </c>
      <c r="E280" s="56">
        <f>SUM(E266:E279)</f>
        <v>0</v>
      </c>
      <c r="F280" s="56">
        <f>SUM(F266:F279)</f>
        <v>0</v>
      </c>
      <c r="G280" s="34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289" t="str">
        <f>'2018'!A34</f>
        <v>Regalos</v>
      </c>
      <c r="C282" s="290"/>
      <c r="D282" s="290"/>
      <c r="E282" s="290"/>
      <c r="F282" s="290"/>
      <c r="G282" s="291"/>
    </row>
    <row r="283" spans="2:7" ht="15" customHeight="1" thickBot="1">
      <c r="B283" s="292"/>
      <c r="C283" s="293"/>
      <c r="D283" s="293"/>
      <c r="E283" s="293"/>
      <c r="F283" s="293"/>
      <c r="G283" s="294"/>
    </row>
    <row r="284" spans="2:7">
      <c r="B284" s="297" t="s">
        <v>10</v>
      </c>
      <c r="C284" s="296"/>
      <c r="D284" s="295" t="s">
        <v>11</v>
      </c>
      <c r="E284" s="295"/>
      <c r="F284" s="295"/>
      <c r="G284" s="296"/>
    </row>
    <row r="285" spans="2:7">
      <c r="B285" s="52" t="s">
        <v>32</v>
      </c>
      <c r="C285" s="60" t="s">
        <v>33</v>
      </c>
      <c r="D285" s="52" t="s">
        <v>68</v>
      </c>
      <c r="E285" s="53" t="s">
        <v>69</v>
      </c>
      <c r="F285" s="53" t="s">
        <v>32</v>
      </c>
      <c r="G285" s="60" t="s">
        <v>33</v>
      </c>
    </row>
    <row r="286" spans="2:7">
      <c r="B286" s="54">
        <v>150</v>
      </c>
      <c r="C286" s="36" t="s">
        <v>36</v>
      </c>
      <c r="D286" s="57">
        <f>16.84</f>
        <v>16.84</v>
      </c>
      <c r="E286" s="58"/>
      <c r="F286" s="58"/>
      <c r="G286" s="33" t="s">
        <v>333</v>
      </c>
    </row>
    <row r="287" spans="2:7">
      <c r="B287" s="55">
        <v>224.6</v>
      </c>
      <c r="C287" s="33" t="s">
        <v>105</v>
      </c>
      <c r="D287" s="57">
        <v>34.99</v>
      </c>
      <c r="E287" s="58"/>
      <c r="F287" s="58"/>
      <c r="G287" s="33" t="s">
        <v>339</v>
      </c>
    </row>
    <row r="288" spans="2:7">
      <c r="B288" s="55"/>
      <c r="C288" s="33"/>
      <c r="D288" s="57">
        <v>22.15</v>
      </c>
      <c r="E288" s="58"/>
      <c r="F288" s="58"/>
      <c r="G288" s="33" t="s">
        <v>344</v>
      </c>
    </row>
    <row r="289" spans="2:7">
      <c r="B289" s="55"/>
      <c r="C289" s="33"/>
      <c r="D289" s="57">
        <v>198</v>
      </c>
      <c r="E289" s="58"/>
      <c r="F289" s="58"/>
      <c r="G289" s="33" t="s">
        <v>348</v>
      </c>
    </row>
    <row r="290" spans="2:7">
      <c r="B290" s="55"/>
      <c r="C290" s="33"/>
      <c r="D290" s="57"/>
      <c r="E290" s="58"/>
      <c r="F290" s="58"/>
      <c r="G290" s="33"/>
    </row>
    <row r="291" spans="2:7">
      <c r="B291" s="55"/>
      <c r="C291" s="33"/>
      <c r="D291" s="57"/>
      <c r="E291" s="58"/>
      <c r="F291" s="58"/>
      <c r="G291" s="33"/>
    </row>
    <row r="292" spans="2:7">
      <c r="B292" s="55"/>
      <c r="C292" s="33"/>
      <c r="D292" s="57"/>
      <c r="E292" s="58"/>
      <c r="F292" s="58"/>
      <c r="G292" s="33"/>
    </row>
    <row r="293" spans="2:7">
      <c r="B293" s="55"/>
      <c r="C293" s="33"/>
      <c r="D293" s="57"/>
      <c r="E293" s="58"/>
      <c r="F293" s="58"/>
      <c r="G293" s="33"/>
    </row>
    <row r="294" spans="2:7">
      <c r="B294" s="55"/>
      <c r="C294" s="33"/>
      <c r="D294" s="57"/>
      <c r="E294" s="58"/>
      <c r="F294" s="58"/>
      <c r="G294" s="33"/>
    </row>
    <row r="295" spans="2:7">
      <c r="B295" s="55"/>
      <c r="C295" s="33"/>
      <c r="D295" s="57"/>
      <c r="E295" s="58"/>
      <c r="F295" s="58"/>
      <c r="G295" s="33"/>
    </row>
    <row r="296" spans="2:7">
      <c r="B296" s="55"/>
      <c r="C296" s="33"/>
      <c r="D296" s="57"/>
      <c r="E296" s="58"/>
      <c r="F296" s="58"/>
      <c r="G296" s="33"/>
    </row>
    <row r="297" spans="2:7">
      <c r="B297" s="55"/>
      <c r="C297" s="33"/>
      <c r="D297" s="57"/>
      <c r="E297" s="58"/>
      <c r="F297" s="58"/>
      <c r="G297" s="33"/>
    </row>
    <row r="298" spans="2:7">
      <c r="B298" s="55"/>
      <c r="C298" s="33"/>
      <c r="D298" s="57"/>
      <c r="E298" s="58"/>
      <c r="F298" s="58"/>
      <c r="G298" s="33"/>
    </row>
    <row r="299" spans="2:7" ht="15.75" thickBot="1">
      <c r="B299" s="56"/>
      <c r="C299" s="34"/>
      <c r="D299" s="56"/>
      <c r="E299" s="59"/>
      <c r="F299" s="59"/>
      <c r="G299" s="34"/>
    </row>
    <row r="300" spans="2:7" ht="15.75" thickBot="1">
      <c r="B300" s="56">
        <f>SUM(B286:B299)</f>
        <v>374.6</v>
      </c>
      <c r="C300" s="34" t="s">
        <v>66</v>
      </c>
      <c r="D300" s="56">
        <f>SUM(D286:D299)</f>
        <v>271.98</v>
      </c>
      <c r="E300" s="56">
        <f>SUM(E286:E299)</f>
        <v>0</v>
      </c>
      <c r="F300" s="56">
        <f>SUM(F286:F299)</f>
        <v>0</v>
      </c>
      <c r="G300" s="34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89" t="str">
        <f>'2018'!A35</f>
        <v>Salud</v>
      </c>
      <c r="C302" s="290"/>
      <c r="D302" s="290"/>
      <c r="E302" s="290"/>
      <c r="F302" s="290"/>
      <c r="G302" s="291"/>
    </row>
    <row r="303" spans="2:7" ht="15" customHeight="1" thickBot="1">
      <c r="B303" s="292"/>
      <c r="C303" s="293"/>
      <c r="D303" s="293"/>
      <c r="E303" s="293"/>
      <c r="F303" s="293"/>
      <c r="G303" s="294"/>
    </row>
    <row r="304" spans="2:7">
      <c r="B304" s="297" t="s">
        <v>10</v>
      </c>
      <c r="C304" s="296"/>
      <c r="D304" s="295" t="s">
        <v>11</v>
      </c>
      <c r="E304" s="295"/>
      <c r="F304" s="295"/>
      <c r="G304" s="296"/>
    </row>
    <row r="305" spans="2:7">
      <c r="B305" s="52" t="s">
        <v>32</v>
      </c>
      <c r="C305" s="60" t="s">
        <v>33</v>
      </c>
      <c r="D305" s="52" t="s">
        <v>68</v>
      </c>
      <c r="E305" s="53" t="s">
        <v>69</v>
      </c>
      <c r="F305" s="53" t="s">
        <v>32</v>
      </c>
      <c r="G305" s="60" t="s">
        <v>33</v>
      </c>
    </row>
    <row r="306" spans="2:7">
      <c r="B306" s="54">
        <v>100</v>
      </c>
      <c r="C306" s="36" t="s">
        <v>60</v>
      </c>
      <c r="D306" s="57">
        <f>34.5+34.5</f>
        <v>69</v>
      </c>
      <c r="E306" s="58"/>
      <c r="F306" s="58"/>
      <c r="G306" s="33" t="s">
        <v>101</v>
      </c>
    </row>
    <row r="307" spans="2:7">
      <c r="B307" s="84"/>
      <c r="C307" s="66"/>
      <c r="D307" s="57">
        <f>9.1</f>
        <v>9.1</v>
      </c>
      <c r="E307" s="58"/>
      <c r="F307" s="58">
        <f>3.6</f>
        <v>3.6</v>
      </c>
      <c r="G307" s="33" t="s">
        <v>97</v>
      </c>
    </row>
    <row r="308" spans="2:7">
      <c r="B308" s="84"/>
      <c r="C308" s="66"/>
      <c r="D308" s="57"/>
      <c r="E308" s="58"/>
      <c r="F308" s="58">
        <f>50</f>
        <v>50</v>
      </c>
      <c r="G308" s="33" t="s">
        <v>239</v>
      </c>
    </row>
    <row r="309" spans="2:7">
      <c r="B309" s="55"/>
      <c r="C309" s="33"/>
      <c r="D309" s="57">
        <v>65.819999999999993</v>
      </c>
      <c r="E309" s="58"/>
      <c r="F309" s="58"/>
      <c r="G309" s="33" t="s">
        <v>346</v>
      </c>
    </row>
    <row r="310" spans="2:7">
      <c r="B310" s="55"/>
      <c r="C310" s="33"/>
      <c r="D310" s="57"/>
      <c r="E310" s="58"/>
      <c r="F310" s="58"/>
      <c r="G310" s="33"/>
    </row>
    <row r="311" spans="2:7">
      <c r="B311" s="55"/>
      <c r="C311" s="33"/>
      <c r="D311" s="57"/>
      <c r="E311" s="58"/>
      <c r="F311" s="58"/>
      <c r="G311" s="33"/>
    </row>
    <row r="312" spans="2:7">
      <c r="B312" s="55"/>
      <c r="C312" s="33"/>
      <c r="D312" s="57"/>
      <c r="E312" s="58"/>
      <c r="F312" s="58"/>
      <c r="G312" s="33"/>
    </row>
    <row r="313" spans="2:7">
      <c r="B313" s="55"/>
      <c r="C313" s="33"/>
      <c r="D313" s="57"/>
      <c r="E313" s="58"/>
      <c r="F313" s="58"/>
      <c r="G313" s="33"/>
    </row>
    <row r="314" spans="2:7">
      <c r="B314" s="55"/>
      <c r="C314" s="33"/>
      <c r="D314" s="57"/>
      <c r="E314" s="58"/>
      <c r="F314" s="58"/>
      <c r="G314" s="33"/>
    </row>
    <row r="315" spans="2:7">
      <c r="B315" s="55"/>
      <c r="C315" s="33"/>
      <c r="D315" s="57"/>
      <c r="E315" s="58"/>
      <c r="F315" s="58"/>
      <c r="G315" s="33"/>
    </row>
    <row r="316" spans="2:7">
      <c r="B316" s="55"/>
      <c r="C316" s="33"/>
      <c r="D316" s="57"/>
      <c r="E316" s="58"/>
      <c r="F316" s="58"/>
      <c r="G316" s="33"/>
    </row>
    <row r="317" spans="2:7">
      <c r="B317" s="55"/>
      <c r="C317" s="33"/>
      <c r="D317" s="57"/>
      <c r="E317" s="58"/>
      <c r="F317" s="58"/>
      <c r="G317" s="33"/>
    </row>
    <row r="318" spans="2:7">
      <c r="B318" s="55"/>
      <c r="C318" s="33"/>
      <c r="D318" s="57"/>
      <c r="E318" s="58"/>
      <c r="F318" s="58"/>
      <c r="G318" s="33"/>
    </row>
    <row r="319" spans="2:7" ht="15.75" thickBot="1">
      <c r="B319" s="56"/>
      <c r="C319" s="34"/>
      <c r="D319" s="56"/>
      <c r="E319" s="59"/>
      <c r="F319" s="59"/>
      <c r="G319" s="34"/>
    </row>
    <row r="320" spans="2:7" ht="15.75" thickBot="1">
      <c r="B320" s="56">
        <f>SUM(B306:B319)</f>
        <v>100</v>
      </c>
      <c r="C320" s="34" t="s">
        <v>66</v>
      </c>
      <c r="D320" s="56">
        <f>SUM(D306:D319)</f>
        <v>143.91999999999999</v>
      </c>
      <c r="E320" s="56">
        <f>SUM(E306:E319)</f>
        <v>0</v>
      </c>
      <c r="F320" s="56">
        <f>SUM(F306:F319)</f>
        <v>53.6</v>
      </c>
      <c r="G320" s="34" t="s">
        <v>66</v>
      </c>
    </row>
    <row r="321" spans="2:7" ht="15.75" thickBot="1"/>
    <row r="322" spans="2:7" ht="14.45" customHeight="1">
      <c r="B322" s="289" t="str">
        <f>'2018'!A36</f>
        <v>Martina</v>
      </c>
      <c r="C322" s="290"/>
      <c r="D322" s="290"/>
      <c r="E322" s="290"/>
      <c r="F322" s="290"/>
      <c r="G322" s="291"/>
    </row>
    <row r="323" spans="2:7" ht="15" customHeight="1" thickBot="1">
      <c r="B323" s="292"/>
      <c r="C323" s="293"/>
      <c r="D323" s="293"/>
      <c r="E323" s="293"/>
      <c r="F323" s="293"/>
      <c r="G323" s="294"/>
    </row>
    <row r="324" spans="2:7">
      <c r="B324" s="297" t="s">
        <v>10</v>
      </c>
      <c r="C324" s="296"/>
      <c r="D324" s="295" t="s">
        <v>11</v>
      </c>
      <c r="E324" s="295"/>
      <c r="F324" s="295"/>
      <c r="G324" s="296"/>
    </row>
    <row r="325" spans="2:7">
      <c r="B325" s="52" t="s">
        <v>32</v>
      </c>
      <c r="C325" s="60" t="s">
        <v>33</v>
      </c>
      <c r="D325" s="52" t="s">
        <v>68</v>
      </c>
      <c r="E325" s="53" t="s">
        <v>69</v>
      </c>
      <c r="F325" s="53" t="s">
        <v>32</v>
      </c>
      <c r="G325" s="60" t="s">
        <v>33</v>
      </c>
    </row>
    <row r="326" spans="2:7">
      <c r="B326" s="54">
        <v>-224.6</v>
      </c>
      <c r="C326" s="36" t="s">
        <v>354</v>
      </c>
      <c r="D326" s="57"/>
      <c r="E326" s="58"/>
      <c r="F326" s="58"/>
      <c r="G326" s="33"/>
    </row>
    <row r="327" spans="2:7">
      <c r="B327" s="55"/>
      <c r="C327" s="33"/>
      <c r="D327" s="57"/>
      <c r="E327" s="58"/>
      <c r="F327" s="58"/>
      <c r="G327" s="33"/>
    </row>
    <row r="328" spans="2:7">
      <c r="B328" s="55"/>
      <c r="C328" s="33"/>
      <c r="D328" s="57"/>
      <c r="E328" s="58"/>
      <c r="F328" s="58"/>
      <c r="G328" s="33"/>
    </row>
    <row r="329" spans="2:7">
      <c r="B329" s="55"/>
      <c r="C329" s="33"/>
      <c r="D329" s="57"/>
      <c r="E329" s="58"/>
      <c r="F329" s="58"/>
      <c r="G329" s="33"/>
    </row>
    <row r="330" spans="2:7">
      <c r="B330" s="55"/>
      <c r="C330" s="33"/>
      <c r="D330" s="57"/>
      <c r="E330" s="58"/>
      <c r="F330" s="58"/>
      <c r="G330" s="33"/>
    </row>
    <row r="331" spans="2:7">
      <c r="B331" s="55"/>
      <c r="C331" s="33"/>
      <c r="D331" s="57"/>
      <c r="E331" s="58"/>
      <c r="F331" s="58"/>
      <c r="G331" s="33"/>
    </row>
    <row r="332" spans="2:7">
      <c r="B332" s="55"/>
      <c r="C332" s="33"/>
      <c r="D332" s="57"/>
      <c r="E332" s="58"/>
      <c r="F332" s="58"/>
      <c r="G332" s="33"/>
    </row>
    <row r="333" spans="2:7">
      <c r="B333" s="55"/>
      <c r="C333" s="33"/>
      <c r="D333" s="57"/>
      <c r="E333" s="58"/>
      <c r="F333" s="58"/>
      <c r="G333" s="33"/>
    </row>
    <row r="334" spans="2:7">
      <c r="B334" s="55"/>
      <c r="C334" s="33"/>
      <c r="D334" s="57"/>
      <c r="E334" s="58"/>
      <c r="F334" s="58"/>
      <c r="G334" s="33"/>
    </row>
    <row r="335" spans="2:7">
      <c r="B335" s="55"/>
      <c r="C335" s="33"/>
      <c r="D335" s="57"/>
      <c r="E335" s="58"/>
      <c r="F335" s="58"/>
      <c r="G335" s="33"/>
    </row>
    <row r="336" spans="2:7">
      <c r="B336" s="55"/>
      <c r="C336" s="33"/>
      <c r="D336" s="57"/>
      <c r="E336" s="58"/>
      <c r="F336" s="58"/>
      <c r="G336" s="33"/>
    </row>
    <row r="337" spans="2:7">
      <c r="B337" s="55"/>
      <c r="C337" s="33"/>
      <c r="D337" s="57"/>
      <c r="E337" s="58"/>
      <c r="F337" s="58"/>
      <c r="G337" s="33"/>
    </row>
    <row r="338" spans="2:7">
      <c r="B338" s="55"/>
      <c r="C338" s="33"/>
      <c r="D338" s="57"/>
      <c r="E338" s="58"/>
      <c r="F338" s="58"/>
      <c r="G338" s="33"/>
    </row>
    <row r="339" spans="2:7" ht="15.75" thickBot="1">
      <c r="B339" s="56"/>
      <c r="C339" s="34"/>
      <c r="D339" s="56"/>
      <c r="E339" s="59"/>
      <c r="F339" s="59"/>
      <c r="G339" s="34"/>
    </row>
    <row r="340" spans="2:7" ht="15.75" thickBot="1">
      <c r="B340" s="56">
        <f>SUM(B326:B339)</f>
        <v>-224.6</v>
      </c>
      <c r="C340" s="34" t="s">
        <v>66</v>
      </c>
      <c r="D340" s="56">
        <f>SUM(D326:D339)</f>
        <v>0</v>
      </c>
      <c r="E340" s="56">
        <f>SUM(E326:E339)</f>
        <v>0</v>
      </c>
      <c r="F340" s="56">
        <f>SUM(F326:F339)</f>
        <v>0</v>
      </c>
      <c r="G340" s="34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89" t="str">
        <f>'2018'!A37</f>
        <v>Impuestos</v>
      </c>
      <c r="C342" s="290"/>
      <c r="D342" s="290"/>
      <c r="E342" s="290"/>
      <c r="F342" s="290"/>
      <c r="G342" s="291"/>
    </row>
    <row r="343" spans="2:7" ht="15" customHeight="1" thickBot="1">
      <c r="B343" s="292"/>
      <c r="C343" s="293"/>
      <c r="D343" s="293"/>
      <c r="E343" s="293"/>
      <c r="F343" s="293"/>
      <c r="G343" s="294"/>
    </row>
    <row r="344" spans="2:7">
      <c r="B344" s="297" t="s">
        <v>10</v>
      </c>
      <c r="C344" s="296"/>
      <c r="D344" s="295" t="s">
        <v>11</v>
      </c>
      <c r="E344" s="295"/>
      <c r="F344" s="295"/>
      <c r="G344" s="296"/>
    </row>
    <row r="345" spans="2:7">
      <c r="B345" s="52" t="s">
        <v>32</v>
      </c>
      <c r="C345" s="60" t="s">
        <v>33</v>
      </c>
      <c r="D345" s="52" t="s">
        <v>68</v>
      </c>
      <c r="E345" s="53" t="s">
        <v>69</v>
      </c>
      <c r="F345" s="53" t="s">
        <v>32</v>
      </c>
      <c r="G345" s="60" t="s">
        <v>33</v>
      </c>
    </row>
    <row r="346" spans="2:7">
      <c r="B346" s="54">
        <v>30</v>
      </c>
      <c r="C346" s="36" t="s">
        <v>353</v>
      </c>
      <c r="D346" s="57"/>
      <c r="E346" s="58"/>
      <c r="F346" s="58"/>
      <c r="G346" s="33"/>
    </row>
    <row r="347" spans="2:7">
      <c r="B347" s="55"/>
      <c r="C347" s="33"/>
      <c r="D347" s="57"/>
      <c r="E347" s="58"/>
      <c r="F347" s="58"/>
      <c r="G347" s="33"/>
    </row>
    <row r="348" spans="2:7">
      <c r="B348" s="55"/>
      <c r="C348" s="33"/>
      <c r="D348" s="57"/>
      <c r="E348" s="58"/>
      <c r="F348" s="58"/>
      <c r="G348" s="33"/>
    </row>
    <row r="349" spans="2:7">
      <c r="B349" s="55"/>
      <c r="C349" s="33"/>
      <c r="D349" s="57"/>
      <c r="E349" s="58"/>
      <c r="F349" s="58"/>
      <c r="G349" s="33"/>
    </row>
    <row r="350" spans="2:7">
      <c r="B350" s="55"/>
      <c r="C350" s="33"/>
      <c r="D350" s="57"/>
      <c r="E350" s="58"/>
      <c r="F350" s="58"/>
      <c r="G350" s="33"/>
    </row>
    <row r="351" spans="2:7">
      <c r="B351" s="55"/>
      <c r="C351" s="33"/>
      <c r="D351" s="57"/>
      <c r="E351" s="58"/>
      <c r="F351" s="58"/>
      <c r="G351" s="33"/>
    </row>
    <row r="352" spans="2:7">
      <c r="B352" s="55"/>
      <c r="C352" s="33"/>
      <c r="D352" s="57"/>
      <c r="E352" s="58"/>
      <c r="F352" s="58"/>
      <c r="G352" s="33"/>
    </row>
    <row r="353" spans="2:7">
      <c r="B353" s="55"/>
      <c r="C353" s="33"/>
      <c r="D353" s="57"/>
      <c r="E353" s="58"/>
      <c r="F353" s="58"/>
      <c r="G353" s="33"/>
    </row>
    <row r="354" spans="2:7">
      <c r="B354" s="55"/>
      <c r="C354" s="33"/>
      <c r="D354" s="57"/>
      <c r="E354" s="58"/>
      <c r="F354" s="58"/>
      <c r="G354" s="33"/>
    </row>
    <row r="355" spans="2:7">
      <c r="B355" s="55"/>
      <c r="C355" s="33"/>
      <c r="D355" s="57"/>
      <c r="E355" s="58"/>
      <c r="F355" s="58"/>
      <c r="G355" s="33"/>
    </row>
    <row r="356" spans="2:7">
      <c r="B356" s="55"/>
      <c r="C356" s="33"/>
      <c r="D356" s="57"/>
      <c r="E356" s="58"/>
      <c r="F356" s="58"/>
      <c r="G356" s="33"/>
    </row>
    <row r="357" spans="2:7">
      <c r="B357" s="55"/>
      <c r="C357" s="33"/>
      <c r="D357" s="57"/>
      <c r="E357" s="58"/>
      <c r="F357" s="58"/>
      <c r="G357" s="33"/>
    </row>
    <row r="358" spans="2:7">
      <c r="B358" s="55"/>
      <c r="C358" s="33"/>
      <c r="D358" s="57"/>
      <c r="E358" s="58"/>
      <c r="F358" s="58"/>
      <c r="G358" s="33"/>
    </row>
    <row r="359" spans="2:7" ht="15.75" thickBot="1">
      <c r="B359" s="56"/>
      <c r="C359" s="34"/>
      <c r="D359" s="56"/>
      <c r="E359" s="59"/>
      <c r="F359" s="59"/>
      <c r="G359" s="34"/>
    </row>
    <row r="360" spans="2:7" ht="15.75" thickBot="1">
      <c r="B360" s="56">
        <f>SUM(B346:B359)</f>
        <v>30</v>
      </c>
      <c r="C360" s="34" t="s">
        <v>66</v>
      </c>
      <c r="D360" s="56">
        <f>SUM(D346:D359)</f>
        <v>0</v>
      </c>
      <c r="E360" s="56">
        <f>SUM(E346:E359)</f>
        <v>0</v>
      </c>
      <c r="F360" s="56">
        <f>SUM(F346:F359)</f>
        <v>0</v>
      </c>
      <c r="G360" s="34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89" t="str">
        <f>'2018'!A38</f>
        <v>Gastos Curros</v>
      </c>
      <c r="C362" s="290"/>
      <c r="D362" s="290"/>
      <c r="E362" s="290"/>
      <c r="F362" s="290"/>
      <c r="G362" s="291"/>
    </row>
    <row r="363" spans="2:7" ht="15" customHeight="1" thickBot="1">
      <c r="B363" s="292"/>
      <c r="C363" s="293"/>
      <c r="D363" s="293"/>
      <c r="E363" s="293"/>
      <c r="F363" s="293"/>
      <c r="G363" s="294"/>
    </row>
    <row r="364" spans="2:7">
      <c r="B364" s="297" t="s">
        <v>10</v>
      </c>
      <c r="C364" s="296"/>
      <c r="D364" s="295" t="s">
        <v>11</v>
      </c>
      <c r="E364" s="295"/>
      <c r="F364" s="295"/>
      <c r="G364" s="296"/>
    </row>
    <row r="365" spans="2:7">
      <c r="B365" s="52" t="s">
        <v>32</v>
      </c>
      <c r="C365" s="60" t="s">
        <v>33</v>
      </c>
      <c r="D365" s="52" t="s">
        <v>68</v>
      </c>
      <c r="E365" s="53" t="s">
        <v>69</v>
      </c>
      <c r="F365" s="53" t="s">
        <v>32</v>
      </c>
      <c r="G365" s="60" t="s">
        <v>33</v>
      </c>
    </row>
    <row r="366" spans="2:7">
      <c r="B366" s="54">
        <v>40</v>
      </c>
      <c r="C366" s="36" t="s">
        <v>36</v>
      </c>
      <c r="D366" s="57">
        <f>3.4+3.5+4.45+4+5+3.7+4.45</f>
        <v>28.5</v>
      </c>
      <c r="E366" s="58"/>
      <c r="F366" s="58"/>
      <c r="G366" s="70" t="s">
        <v>91</v>
      </c>
    </row>
    <row r="367" spans="2:7">
      <c r="B367" s="55"/>
      <c r="C367" s="33"/>
      <c r="D367" s="57">
        <f>40.99</f>
        <v>40.99</v>
      </c>
      <c r="E367" s="58"/>
      <c r="F367" s="58"/>
      <c r="G367" s="70" t="s">
        <v>92</v>
      </c>
    </row>
    <row r="368" spans="2:7">
      <c r="B368" s="55"/>
      <c r="C368" s="33"/>
      <c r="D368" s="57"/>
      <c r="E368" s="58"/>
      <c r="F368" s="58"/>
      <c r="G368" s="33"/>
    </row>
    <row r="369" spans="2:7">
      <c r="B369" s="55"/>
      <c r="C369" s="33"/>
      <c r="D369" s="57"/>
      <c r="E369" s="58"/>
      <c r="F369" s="58"/>
      <c r="G369" s="33"/>
    </row>
    <row r="370" spans="2:7">
      <c r="B370" s="55"/>
      <c r="C370" s="33"/>
      <c r="D370" s="57"/>
      <c r="E370" s="58"/>
      <c r="F370" s="58"/>
      <c r="G370" s="33"/>
    </row>
    <row r="371" spans="2:7">
      <c r="B371" s="55"/>
      <c r="C371" s="33"/>
      <c r="D371" s="57"/>
      <c r="E371" s="58"/>
      <c r="F371" s="58"/>
      <c r="G371" s="33"/>
    </row>
    <row r="372" spans="2:7">
      <c r="B372" s="55"/>
      <c r="C372" s="33"/>
      <c r="D372" s="57"/>
      <c r="E372" s="58"/>
      <c r="F372" s="58"/>
      <c r="G372" s="33"/>
    </row>
    <row r="373" spans="2:7">
      <c r="B373" s="55"/>
      <c r="C373" s="33"/>
      <c r="D373" s="57"/>
      <c r="E373" s="58"/>
      <c r="F373" s="58"/>
      <c r="G373" s="33"/>
    </row>
    <row r="374" spans="2:7">
      <c r="B374" s="55"/>
      <c r="C374" s="33"/>
      <c r="D374" s="57"/>
      <c r="E374" s="58"/>
      <c r="F374" s="58"/>
      <c r="G374" s="33"/>
    </row>
    <row r="375" spans="2:7">
      <c r="B375" s="55"/>
      <c r="C375" s="33"/>
      <c r="D375" s="57"/>
      <c r="E375" s="58"/>
      <c r="F375" s="58"/>
      <c r="G375" s="33"/>
    </row>
    <row r="376" spans="2:7">
      <c r="B376" s="55"/>
      <c r="C376" s="33"/>
      <c r="D376" s="57"/>
      <c r="E376" s="58"/>
      <c r="F376" s="58"/>
      <c r="G376" s="33"/>
    </row>
    <row r="377" spans="2:7">
      <c r="B377" s="55"/>
      <c r="C377" s="33"/>
      <c r="D377" s="57"/>
      <c r="E377" s="58"/>
      <c r="F377" s="58"/>
      <c r="G377" s="33"/>
    </row>
    <row r="378" spans="2:7">
      <c r="B378" s="55"/>
      <c r="C378" s="33"/>
      <c r="D378" s="57"/>
      <c r="E378" s="58"/>
      <c r="F378" s="58"/>
      <c r="G378" s="33"/>
    </row>
    <row r="379" spans="2:7" ht="15.75" thickBot="1">
      <c r="B379" s="56"/>
      <c r="C379" s="34"/>
      <c r="D379" s="56"/>
      <c r="E379" s="59"/>
      <c r="F379" s="59"/>
      <c r="G379" s="34"/>
    </row>
    <row r="380" spans="2:7" ht="15.75" thickBot="1">
      <c r="B380" s="56">
        <f>SUM(B366:B379)</f>
        <v>40</v>
      </c>
      <c r="C380" s="34" t="s">
        <v>66</v>
      </c>
      <c r="D380" s="56">
        <f>SUM(D366:D379)</f>
        <v>69.490000000000009</v>
      </c>
      <c r="E380" s="56">
        <f>SUM(E366:E379)</f>
        <v>0</v>
      </c>
      <c r="F380" s="56">
        <f>SUM(F366:F379)</f>
        <v>0</v>
      </c>
      <c r="G380" s="34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89" t="str">
        <f>'2018'!A39</f>
        <v>Dreamed Holidays</v>
      </c>
      <c r="C382" s="290"/>
      <c r="D382" s="290"/>
      <c r="E382" s="290"/>
      <c r="F382" s="290"/>
      <c r="G382" s="291"/>
    </row>
    <row r="383" spans="2:7" ht="15" customHeight="1" thickBot="1">
      <c r="B383" s="292"/>
      <c r="C383" s="293"/>
      <c r="D383" s="293"/>
      <c r="E383" s="293"/>
      <c r="F383" s="293"/>
      <c r="G383" s="294"/>
    </row>
    <row r="384" spans="2:7">
      <c r="B384" s="297" t="s">
        <v>10</v>
      </c>
      <c r="C384" s="296"/>
      <c r="D384" s="295" t="s">
        <v>11</v>
      </c>
      <c r="E384" s="295"/>
      <c r="F384" s="295"/>
      <c r="G384" s="296"/>
    </row>
    <row r="385" spans="2:7">
      <c r="B385" s="52" t="s">
        <v>32</v>
      </c>
      <c r="C385" s="60" t="s">
        <v>33</v>
      </c>
      <c r="D385" s="52" t="s">
        <v>68</v>
      </c>
      <c r="E385" s="53" t="s">
        <v>69</v>
      </c>
      <c r="F385" s="53" t="s">
        <v>32</v>
      </c>
      <c r="G385" s="60" t="s">
        <v>33</v>
      </c>
    </row>
    <row r="386" spans="2:7">
      <c r="B386" s="54">
        <v>10</v>
      </c>
      <c r="C386" s="36"/>
      <c r="D386" s="57"/>
      <c r="E386" s="58"/>
      <c r="F386" s="58"/>
      <c r="G386" s="33"/>
    </row>
    <row r="387" spans="2:7">
      <c r="B387" s="55"/>
      <c r="C387" s="33"/>
      <c r="D387" s="57"/>
      <c r="E387" s="58"/>
      <c r="F387" s="58"/>
      <c r="G387" s="33"/>
    </row>
    <row r="388" spans="2:7">
      <c r="B388" s="55"/>
      <c r="C388" s="33"/>
      <c r="D388" s="57"/>
      <c r="E388" s="58"/>
      <c r="F388" s="58"/>
      <c r="G388" s="33"/>
    </row>
    <row r="389" spans="2:7">
      <c r="B389" s="55"/>
      <c r="C389" s="33"/>
      <c r="D389" s="57"/>
      <c r="E389" s="58"/>
      <c r="F389" s="58"/>
      <c r="G389" s="33"/>
    </row>
    <row r="390" spans="2:7">
      <c r="B390" s="55"/>
      <c r="C390" s="33"/>
      <c r="D390" s="57"/>
      <c r="E390" s="58"/>
      <c r="F390" s="58"/>
      <c r="G390" s="33"/>
    </row>
    <row r="391" spans="2:7">
      <c r="B391" s="55"/>
      <c r="C391" s="33"/>
      <c r="D391" s="57"/>
      <c r="E391" s="58"/>
      <c r="F391" s="58"/>
      <c r="G391" s="33"/>
    </row>
    <row r="392" spans="2:7">
      <c r="B392" s="55"/>
      <c r="C392" s="33"/>
      <c r="D392" s="57"/>
      <c r="E392" s="58"/>
      <c r="F392" s="58"/>
      <c r="G392" s="33"/>
    </row>
    <row r="393" spans="2:7">
      <c r="B393" s="55"/>
      <c r="C393" s="33"/>
      <c r="D393" s="57"/>
      <c r="E393" s="58"/>
      <c r="F393" s="58"/>
      <c r="G393" s="33"/>
    </row>
    <row r="394" spans="2:7">
      <c r="B394" s="55"/>
      <c r="C394" s="33"/>
      <c r="D394" s="57"/>
      <c r="E394" s="58"/>
      <c r="F394" s="58"/>
      <c r="G394" s="33"/>
    </row>
    <row r="395" spans="2:7">
      <c r="B395" s="55"/>
      <c r="C395" s="33"/>
      <c r="D395" s="57"/>
      <c r="E395" s="58"/>
      <c r="F395" s="58"/>
      <c r="G395" s="33"/>
    </row>
    <row r="396" spans="2:7">
      <c r="B396" s="55"/>
      <c r="C396" s="33"/>
      <c r="D396" s="57"/>
      <c r="E396" s="58"/>
      <c r="F396" s="58"/>
      <c r="G396" s="33"/>
    </row>
    <row r="397" spans="2:7">
      <c r="B397" s="55"/>
      <c r="C397" s="33"/>
      <c r="D397" s="57"/>
      <c r="E397" s="58"/>
      <c r="F397" s="58"/>
      <c r="G397" s="33"/>
    </row>
    <row r="398" spans="2:7">
      <c r="B398" s="55"/>
      <c r="C398" s="33"/>
      <c r="D398" s="57"/>
      <c r="E398" s="58"/>
      <c r="F398" s="58"/>
      <c r="G398" s="33"/>
    </row>
    <row r="399" spans="2:7" ht="15.75" thickBot="1">
      <c r="B399" s="56"/>
      <c r="C399" s="34"/>
      <c r="D399" s="56"/>
      <c r="E399" s="59"/>
      <c r="F399" s="59"/>
      <c r="G399" s="34"/>
    </row>
    <row r="400" spans="2:7" ht="15.75" thickBot="1">
      <c r="B400" s="56">
        <f>SUM(B386:B399)</f>
        <v>10</v>
      </c>
      <c r="C400" s="34" t="s">
        <v>66</v>
      </c>
      <c r="D400" s="56">
        <f>SUM(D386:D399)</f>
        <v>0</v>
      </c>
      <c r="E400" s="56">
        <f>SUM(E386:E399)</f>
        <v>0</v>
      </c>
      <c r="F400" s="56">
        <f>SUM(F386:F399)</f>
        <v>0</v>
      </c>
      <c r="G400" s="34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89" t="str">
        <f>'2018'!A40</f>
        <v>Financieros</v>
      </c>
      <c r="C402" s="290"/>
      <c r="D402" s="290"/>
      <c r="E402" s="290"/>
      <c r="F402" s="290"/>
      <c r="G402" s="291"/>
    </row>
    <row r="403" spans="2:7" ht="15" customHeight="1" thickBot="1">
      <c r="B403" s="292"/>
      <c r="C403" s="293"/>
      <c r="D403" s="293"/>
      <c r="E403" s="293"/>
      <c r="F403" s="293"/>
      <c r="G403" s="294"/>
    </row>
    <row r="404" spans="2:7">
      <c r="B404" s="297" t="s">
        <v>10</v>
      </c>
      <c r="C404" s="296"/>
      <c r="D404" s="295" t="s">
        <v>11</v>
      </c>
      <c r="E404" s="295"/>
      <c r="F404" s="295"/>
      <c r="G404" s="296"/>
    </row>
    <row r="405" spans="2:7">
      <c r="B405" s="52" t="s">
        <v>32</v>
      </c>
      <c r="C405" s="60" t="s">
        <v>33</v>
      </c>
      <c r="D405" s="52" t="s">
        <v>68</v>
      </c>
      <c r="E405" s="53" t="s">
        <v>69</v>
      </c>
      <c r="F405" s="53" t="s">
        <v>32</v>
      </c>
      <c r="G405" s="60" t="s">
        <v>33</v>
      </c>
    </row>
    <row r="406" spans="2:7">
      <c r="B406" s="54">
        <v>0.03</v>
      </c>
      <c r="C406" s="36" t="s">
        <v>357</v>
      </c>
      <c r="D406" s="57"/>
      <c r="E406" s="58">
        <v>20</v>
      </c>
      <c r="F406" s="58"/>
      <c r="G406" s="33" t="s">
        <v>341</v>
      </c>
    </row>
    <row r="407" spans="2:7">
      <c r="B407" s="55"/>
      <c r="C407" s="33"/>
      <c r="D407" s="57"/>
      <c r="E407" s="58"/>
      <c r="F407" s="58"/>
      <c r="G407" s="33"/>
    </row>
    <row r="408" spans="2:7">
      <c r="B408" s="55"/>
      <c r="C408" s="33"/>
      <c r="D408" s="57"/>
      <c r="E408" s="58"/>
      <c r="F408" s="58"/>
      <c r="G408" s="33"/>
    </row>
    <row r="409" spans="2:7">
      <c r="B409" s="55"/>
      <c r="C409" s="33"/>
      <c r="D409" s="57"/>
      <c r="E409" s="58"/>
      <c r="F409" s="58"/>
      <c r="G409" s="33"/>
    </row>
    <row r="410" spans="2:7">
      <c r="B410" s="55"/>
      <c r="C410" s="33"/>
      <c r="D410" s="57"/>
      <c r="E410" s="58"/>
      <c r="F410" s="58"/>
      <c r="G410" s="33"/>
    </row>
    <row r="411" spans="2:7">
      <c r="B411" s="55"/>
      <c r="C411" s="33"/>
      <c r="D411" s="57"/>
      <c r="E411" s="58"/>
      <c r="F411" s="58"/>
      <c r="G411" s="33"/>
    </row>
    <row r="412" spans="2:7">
      <c r="B412" s="55"/>
      <c r="C412" s="33"/>
      <c r="D412" s="57"/>
      <c r="E412" s="58"/>
      <c r="F412" s="58"/>
      <c r="G412" s="33"/>
    </row>
    <row r="413" spans="2:7">
      <c r="B413" s="55"/>
      <c r="C413" s="33"/>
      <c r="D413" s="57"/>
      <c r="E413" s="58"/>
      <c r="F413" s="58"/>
      <c r="G413" s="33"/>
    </row>
    <row r="414" spans="2:7">
      <c r="B414" s="55"/>
      <c r="C414" s="33"/>
      <c r="D414" s="57"/>
      <c r="E414" s="58"/>
      <c r="F414" s="58"/>
      <c r="G414" s="33"/>
    </row>
    <row r="415" spans="2:7">
      <c r="B415" s="55"/>
      <c r="C415" s="33"/>
      <c r="D415" s="57"/>
      <c r="E415" s="58"/>
      <c r="F415" s="58"/>
      <c r="G415" s="33"/>
    </row>
    <row r="416" spans="2:7">
      <c r="B416" s="55"/>
      <c r="C416" s="33"/>
      <c r="D416" s="57"/>
      <c r="E416" s="58"/>
      <c r="F416" s="58"/>
      <c r="G416" s="33"/>
    </row>
    <row r="417" spans="2:7">
      <c r="B417" s="55"/>
      <c r="C417" s="33"/>
      <c r="D417" s="57"/>
      <c r="E417" s="58"/>
      <c r="F417" s="58"/>
      <c r="G417" s="33"/>
    </row>
    <row r="418" spans="2:7">
      <c r="B418" s="55"/>
      <c r="C418" s="33"/>
      <c r="D418" s="57"/>
      <c r="E418" s="58"/>
      <c r="F418" s="58"/>
      <c r="G418" s="33"/>
    </row>
    <row r="419" spans="2:7" ht="15.75" thickBot="1">
      <c r="B419" s="56"/>
      <c r="C419" s="34"/>
      <c r="D419" s="56"/>
      <c r="E419" s="59"/>
      <c r="F419" s="59"/>
      <c r="G419" s="34"/>
    </row>
    <row r="420" spans="2:7" ht="15.75" thickBot="1">
      <c r="B420" s="56">
        <f>SUM(B406:B419)</f>
        <v>0.03</v>
      </c>
      <c r="C420" s="34" t="s">
        <v>66</v>
      </c>
      <c r="D420" s="56">
        <f>SUM(D406:D419)</f>
        <v>0</v>
      </c>
      <c r="E420" s="56">
        <f>SUM(E406:E419)</f>
        <v>20</v>
      </c>
      <c r="F420" s="56">
        <f>SUM(F406:F419)</f>
        <v>0</v>
      </c>
      <c r="G420" s="34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89" t="str">
        <f>'2018'!A41</f>
        <v>Ahorros Colchón</v>
      </c>
      <c r="C422" s="307"/>
      <c r="D422" s="307"/>
      <c r="E422" s="307"/>
      <c r="F422" s="307"/>
      <c r="G422" s="308"/>
    </row>
    <row r="423" spans="2:7" ht="15" customHeight="1" thickBot="1">
      <c r="B423" s="309"/>
      <c r="C423" s="310"/>
      <c r="D423" s="310"/>
      <c r="E423" s="310"/>
      <c r="F423" s="310"/>
      <c r="G423" s="311"/>
    </row>
    <row r="424" spans="2:7">
      <c r="B424" s="297" t="s">
        <v>10</v>
      </c>
      <c r="C424" s="296"/>
      <c r="D424" s="295" t="s">
        <v>11</v>
      </c>
      <c r="E424" s="295"/>
      <c r="F424" s="295"/>
      <c r="G424" s="296"/>
    </row>
    <row r="425" spans="2:7">
      <c r="B425" s="52" t="s">
        <v>32</v>
      </c>
      <c r="C425" s="60" t="s">
        <v>33</v>
      </c>
      <c r="D425" s="52" t="s">
        <v>68</v>
      </c>
      <c r="E425" s="53" t="s">
        <v>69</v>
      </c>
      <c r="F425" s="53" t="s">
        <v>32</v>
      </c>
      <c r="G425" s="60" t="s">
        <v>33</v>
      </c>
    </row>
    <row r="426" spans="2:7">
      <c r="B426" s="54">
        <v>2290.23</v>
      </c>
      <c r="C426" s="36" t="s">
        <v>358</v>
      </c>
      <c r="D426" s="57"/>
      <c r="E426" s="58"/>
      <c r="F426" s="58"/>
      <c r="G426" s="33"/>
    </row>
    <row r="427" spans="2:7">
      <c r="B427" s="55">
        <v>275.29000000000002</v>
      </c>
      <c r="C427" s="33" t="s">
        <v>360</v>
      </c>
      <c r="D427" s="57"/>
      <c r="E427" s="58"/>
      <c r="F427" s="58"/>
      <c r="G427" s="33"/>
    </row>
    <row r="428" spans="2:7">
      <c r="B428" s="55"/>
      <c r="C428" s="33"/>
      <c r="D428" s="57"/>
      <c r="E428" s="58"/>
      <c r="F428" s="58"/>
      <c r="G428" s="33"/>
    </row>
    <row r="429" spans="2:7">
      <c r="B429" s="55"/>
      <c r="C429" s="33"/>
      <c r="D429" s="57"/>
      <c r="E429" s="58"/>
      <c r="F429" s="58"/>
      <c r="G429" s="33"/>
    </row>
    <row r="430" spans="2:7">
      <c r="B430" s="55"/>
      <c r="C430" s="33"/>
      <c r="D430" s="57"/>
      <c r="E430" s="58"/>
      <c r="F430" s="58"/>
      <c r="G430" s="33"/>
    </row>
    <row r="431" spans="2:7">
      <c r="B431" s="55"/>
      <c r="C431" s="33"/>
      <c r="D431" s="57"/>
      <c r="E431" s="58"/>
      <c r="F431" s="58"/>
      <c r="G431" s="33"/>
    </row>
    <row r="432" spans="2:7">
      <c r="B432" s="55"/>
      <c r="C432" s="33"/>
      <c r="D432" s="57"/>
      <c r="E432" s="58"/>
      <c r="F432" s="58"/>
      <c r="G432" s="33"/>
    </row>
    <row r="433" spans="2:7">
      <c r="B433" s="55"/>
      <c r="C433" s="33"/>
      <c r="D433" s="57"/>
      <c r="E433" s="58"/>
      <c r="F433" s="58"/>
      <c r="G433" s="33"/>
    </row>
    <row r="434" spans="2:7">
      <c r="B434" s="55"/>
      <c r="C434" s="33"/>
      <c r="D434" s="57"/>
      <c r="E434" s="58"/>
      <c r="F434" s="58"/>
      <c r="G434" s="33"/>
    </row>
    <row r="435" spans="2:7">
      <c r="B435" s="55"/>
      <c r="C435" s="33"/>
      <c r="D435" s="57"/>
      <c r="E435" s="58"/>
      <c r="F435" s="58"/>
      <c r="G435" s="33"/>
    </row>
    <row r="436" spans="2:7">
      <c r="B436" s="55"/>
      <c r="C436" s="33"/>
      <c r="D436" s="57"/>
      <c r="E436" s="58"/>
      <c r="F436" s="58"/>
      <c r="G436" s="33"/>
    </row>
    <row r="437" spans="2:7">
      <c r="B437" s="55"/>
      <c r="C437" s="33"/>
      <c r="D437" s="57"/>
      <c r="E437" s="58"/>
      <c r="F437" s="58"/>
      <c r="G437" s="33"/>
    </row>
    <row r="438" spans="2:7">
      <c r="B438" s="55"/>
      <c r="C438" s="33"/>
      <c r="D438" s="57"/>
      <c r="E438" s="58"/>
      <c r="F438" s="58"/>
      <c r="G438" s="33"/>
    </row>
    <row r="439" spans="2:7" ht="15.75" thickBot="1">
      <c r="B439" s="56"/>
      <c r="C439" s="34"/>
      <c r="D439" s="56"/>
      <c r="E439" s="59"/>
      <c r="F439" s="59"/>
      <c r="G439" s="34"/>
    </row>
    <row r="440" spans="2:7" ht="15.75" thickBot="1">
      <c r="B440" s="56">
        <f>SUM(B426:B439)</f>
        <v>2565.52</v>
      </c>
      <c r="C440" s="34" t="s">
        <v>66</v>
      </c>
      <c r="D440" s="56">
        <f>SUM(D426:D439)</f>
        <v>0</v>
      </c>
      <c r="E440" s="56">
        <f>SUM(E426:E439)</f>
        <v>0</v>
      </c>
      <c r="F440" s="56">
        <f>SUM(F426:F439)</f>
        <v>0</v>
      </c>
      <c r="G440" s="34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89" t="str">
        <f>'2018'!A42</f>
        <v>Dinero Bloqueado</v>
      </c>
      <c r="C442" s="307"/>
      <c r="D442" s="307"/>
      <c r="E442" s="307"/>
      <c r="F442" s="307"/>
      <c r="G442" s="308"/>
    </row>
    <row r="443" spans="2:7" ht="15" customHeight="1" thickBot="1">
      <c r="B443" s="309"/>
      <c r="C443" s="310"/>
      <c r="D443" s="310"/>
      <c r="E443" s="310"/>
      <c r="F443" s="310"/>
      <c r="G443" s="311"/>
    </row>
    <row r="444" spans="2:7">
      <c r="B444" s="297" t="s">
        <v>10</v>
      </c>
      <c r="C444" s="296"/>
      <c r="D444" s="295" t="s">
        <v>11</v>
      </c>
      <c r="E444" s="295"/>
      <c r="F444" s="295"/>
      <c r="G444" s="296"/>
    </row>
    <row r="445" spans="2:7">
      <c r="B445" s="52" t="s">
        <v>32</v>
      </c>
      <c r="C445" s="60" t="s">
        <v>33</v>
      </c>
      <c r="D445" s="52" t="s">
        <v>68</v>
      </c>
      <c r="E445" s="53" t="s">
        <v>69</v>
      </c>
      <c r="F445" s="53" t="s">
        <v>32</v>
      </c>
      <c r="G445" s="60" t="s">
        <v>33</v>
      </c>
    </row>
    <row r="446" spans="2:7">
      <c r="B446" s="54"/>
      <c r="C446" s="36"/>
      <c r="D446" s="57"/>
      <c r="E446" s="58"/>
      <c r="F446" s="58"/>
      <c r="G446" s="33"/>
    </row>
    <row r="447" spans="2:7">
      <c r="B447" s="55"/>
      <c r="C447" s="33"/>
      <c r="D447" s="57"/>
      <c r="E447" s="58"/>
      <c r="F447" s="58"/>
      <c r="G447" s="33"/>
    </row>
    <row r="448" spans="2:7">
      <c r="B448" s="55"/>
      <c r="C448" s="33"/>
      <c r="D448" s="57"/>
      <c r="E448" s="58"/>
      <c r="F448" s="58"/>
      <c r="G448" s="33"/>
    </row>
    <row r="449" spans="2:7">
      <c r="B449" s="55"/>
      <c r="C449" s="33"/>
      <c r="D449" s="57"/>
      <c r="E449" s="58"/>
      <c r="F449" s="58"/>
      <c r="G449" s="33"/>
    </row>
    <row r="450" spans="2:7">
      <c r="B450" s="55"/>
      <c r="C450" s="33"/>
      <c r="D450" s="57"/>
      <c r="E450" s="58"/>
      <c r="F450" s="58"/>
      <c r="G450" s="33"/>
    </row>
    <row r="451" spans="2:7">
      <c r="B451" s="55"/>
      <c r="C451" s="33"/>
      <c r="D451" s="57"/>
      <c r="E451" s="58"/>
      <c r="F451" s="58"/>
      <c r="G451" s="33"/>
    </row>
    <row r="452" spans="2:7">
      <c r="B452" s="55"/>
      <c r="C452" s="33"/>
      <c r="D452" s="57"/>
      <c r="E452" s="58"/>
      <c r="F452" s="58"/>
      <c r="G452" s="33"/>
    </row>
    <row r="453" spans="2:7">
      <c r="B453" s="55"/>
      <c r="C453" s="33"/>
      <c r="D453" s="57"/>
      <c r="E453" s="58"/>
      <c r="F453" s="58"/>
      <c r="G453" s="33"/>
    </row>
    <row r="454" spans="2:7">
      <c r="B454" s="55"/>
      <c r="C454" s="33"/>
      <c r="D454" s="57"/>
      <c r="E454" s="58"/>
      <c r="F454" s="58"/>
      <c r="G454" s="33"/>
    </row>
    <row r="455" spans="2:7">
      <c r="B455" s="55"/>
      <c r="C455" s="33"/>
      <c r="D455" s="57"/>
      <c r="E455" s="58"/>
      <c r="F455" s="58"/>
      <c r="G455" s="33"/>
    </row>
    <row r="456" spans="2:7">
      <c r="B456" s="55"/>
      <c r="C456" s="33"/>
      <c r="D456" s="57"/>
      <c r="E456" s="58"/>
      <c r="F456" s="58"/>
      <c r="G456" s="33"/>
    </row>
    <row r="457" spans="2:7">
      <c r="B457" s="55"/>
      <c r="C457" s="33"/>
      <c r="D457" s="57"/>
      <c r="E457" s="58"/>
      <c r="F457" s="58"/>
      <c r="G457" s="33"/>
    </row>
    <row r="458" spans="2:7">
      <c r="B458" s="55"/>
      <c r="C458" s="33"/>
      <c r="D458" s="57"/>
      <c r="E458" s="58"/>
      <c r="F458" s="58"/>
      <c r="G458" s="33"/>
    </row>
    <row r="459" spans="2:7" ht="15.75" thickBot="1">
      <c r="B459" s="56"/>
      <c r="C459" s="34"/>
      <c r="D459" s="56"/>
      <c r="E459" s="59"/>
      <c r="F459" s="59"/>
      <c r="G459" s="34"/>
    </row>
    <row r="460" spans="2:7" ht="15.75" thickBot="1">
      <c r="B460" s="56">
        <f>SUM(B446:B459)</f>
        <v>0</v>
      </c>
      <c r="C460" s="34" t="s">
        <v>66</v>
      </c>
      <c r="D460" s="56">
        <f>SUM(D446:D459)</f>
        <v>0</v>
      </c>
      <c r="E460" s="56">
        <f>SUM(E446:E459)</f>
        <v>0</v>
      </c>
      <c r="F460" s="56">
        <f>SUM(F446:F459)</f>
        <v>0</v>
      </c>
      <c r="G460" s="34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89" t="str">
        <f>'2018'!A43</f>
        <v>Cartama Finanazas</v>
      </c>
      <c r="C462" s="307"/>
      <c r="D462" s="307"/>
      <c r="E462" s="307"/>
      <c r="F462" s="307"/>
      <c r="G462" s="308"/>
    </row>
    <row r="463" spans="2:7" ht="15" customHeight="1" thickBot="1">
      <c r="B463" s="309"/>
      <c r="C463" s="310"/>
      <c r="D463" s="310"/>
      <c r="E463" s="310"/>
      <c r="F463" s="310"/>
      <c r="G463" s="311"/>
    </row>
    <row r="464" spans="2:7">
      <c r="B464" s="297" t="s">
        <v>10</v>
      </c>
      <c r="C464" s="296"/>
      <c r="D464" s="295" t="s">
        <v>11</v>
      </c>
      <c r="E464" s="295"/>
      <c r="F464" s="295"/>
      <c r="G464" s="296"/>
    </row>
    <row r="465" spans="2:7">
      <c r="B465" s="52" t="s">
        <v>32</v>
      </c>
      <c r="C465" s="60" t="s">
        <v>33</v>
      </c>
      <c r="D465" s="52" t="s">
        <v>68</v>
      </c>
      <c r="E465" s="53" t="s">
        <v>69</v>
      </c>
      <c r="F465" s="53" t="s">
        <v>32</v>
      </c>
      <c r="G465" s="60" t="s">
        <v>33</v>
      </c>
    </row>
    <row r="466" spans="2:7">
      <c r="B466" s="54"/>
      <c r="C466" s="36"/>
      <c r="D466" s="57"/>
      <c r="E466" s="58"/>
      <c r="F466" s="58"/>
      <c r="G466" s="33"/>
    </row>
    <row r="467" spans="2:7">
      <c r="B467" s="55"/>
      <c r="C467" s="33"/>
      <c r="D467" s="57"/>
      <c r="E467" s="58"/>
      <c r="F467" s="58"/>
      <c r="G467" s="33"/>
    </row>
    <row r="468" spans="2:7">
      <c r="B468" s="55"/>
      <c r="C468" s="33"/>
      <c r="D468" s="57"/>
      <c r="E468" s="58"/>
      <c r="F468" s="58"/>
      <c r="G468" s="33"/>
    </row>
    <row r="469" spans="2:7">
      <c r="B469" s="55"/>
      <c r="C469" s="33"/>
      <c r="D469" s="57"/>
      <c r="E469" s="58"/>
      <c r="F469" s="58"/>
      <c r="G469" s="33"/>
    </row>
    <row r="470" spans="2:7">
      <c r="B470" s="55"/>
      <c r="C470" s="33"/>
      <c r="D470" s="57"/>
      <c r="E470" s="58"/>
      <c r="F470" s="58"/>
      <c r="G470" s="33"/>
    </row>
    <row r="471" spans="2:7">
      <c r="B471" s="55"/>
      <c r="C471" s="33"/>
      <c r="D471" s="57"/>
      <c r="E471" s="58"/>
      <c r="F471" s="58"/>
      <c r="G471" s="33"/>
    </row>
    <row r="472" spans="2:7">
      <c r="B472" s="55"/>
      <c r="C472" s="33"/>
      <c r="D472" s="57"/>
      <c r="E472" s="58"/>
      <c r="F472" s="58"/>
      <c r="G472" s="33"/>
    </row>
    <row r="473" spans="2:7">
      <c r="B473" s="55"/>
      <c r="C473" s="33"/>
      <c r="D473" s="57"/>
      <c r="E473" s="58"/>
      <c r="F473" s="58"/>
      <c r="G473" s="33"/>
    </row>
    <row r="474" spans="2:7">
      <c r="B474" s="55"/>
      <c r="C474" s="33"/>
      <c r="D474" s="57"/>
      <c r="E474" s="58"/>
      <c r="F474" s="58"/>
      <c r="G474" s="33"/>
    </row>
    <row r="475" spans="2:7">
      <c r="B475" s="55"/>
      <c r="C475" s="33"/>
      <c r="D475" s="57"/>
      <c r="E475" s="58"/>
      <c r="F475" s="58"/>
      <c r="G475" s="33"/>
    </row>
    <row r="476" spans="2:7">
      <c r="B476" s="55"/>
      <c r="C476" s="33"/>
      <c r="D476" s="57"/>
      <c r="E476" s="58"/>
      <c r="F476" s="58"/>
      <c r="G476" s="33"/>
    </row>
    <row r="477" spans="2:7">
      <c r="B477" s="55"/>
      <c r="C477" s="33"/>
      <c r="D477" s="57"/>
      <c r="E477" s="58"/>
      <c r="F477" s="58"/>
      <c r="G477" s="33"/>
    </row>
    <row r="478" spans="2:7">
      <c r="B478" s="55"/>
      <c r="C478" s="33"/>
      <c r="D478" s="57"/>
      <c r="E478" s="58"/>
      <c r="F478" s="58"/>
      <c r="G478" s="33"/>
    </row>
    <row r="479" spans="2:7" ht="15.75" thickBot="1">
      <c r="B479" s="56"/>
      <c r="C479" s="34"/>
      <c r="D479" s="56"/>
      <c r="E479" s="59"/>
      <c r="F479" s="59"/>
      <c r="G479" s="34"/>
    </row>
    <row r="480" spans="2:7" ht="15.75" thickBot="1">
      <c r="B480" s="56">
        <f>SUM(B466:B479)</f>
        <v>0</v>
      </c>
      <c r="C480" s="34" t="s">
        <v>66</v>
      </c>
      <c r="D480" s="56">
        <f>SUM(D466:D479)</f>
        <v>0</v>
      </c>
      <c r="E480" s="56">
        <f>SUM(E466:E479)</f>
        <v>0</v>
      </c>
      <c r="F480" s="56">
        <f>SUM(F466:F479)</f>
        <v>0</v>
      </c>
      <c r="G480" s="34" t="s">
        <v>66</v>
      </c>
    </row>
    <row r="481" spans="2:7" ht="15.75" thickBot="1"/>
    <row r="482" spans="2:7" ht="14.45" customHeight="1">
      <c r="B482" s="289" t="str">
        <f>'2018'!A44</f>
        <v>NULO</v>
      </c>
      <c r="C482" s="307"/>
      <c r="D482" s="307"/>
      <c r="E482" s="307"/>
      <c r="F482" s="307"/>
      <c r="G482" s="308"/>
    </row>
    <row r="483" spans="2:7" ht="15" customHeight="1" thickBot="1">
      <c r="B483" s="309"/>
      <c r="C483" s="310"/>
      <c r="D483" s="310"/>
      <c r="E483" s="310"/>
      <c r="F483" s="310"/>
      <c r="G483" s="311"/>
    </row>
    <row r="484" spans="2:7">
      <c r="B484" s="297" t="s">
        <v>10</v>
      </c>
      <c r="C484" s="296"/>
      <c r="D484" s="295" t="s">
        <v>11</v>
      </c>
      <c r="E484" s="295"/>
      <c r="F484" s="295"/>
      <c r="G484" s="296"/>
    </row>
    <row r="485" spans="2:7">
      <c r="B485" s="52" t="s">
        <v>32</v>
      </c>
      <c r="C485" s="60" t="s">
        <v>33</v>
      </c>
      <c r="D485" s="52" t="s">
        <v>68</v>
      </c>
      <c r="E485" s="53" t="s">
        <v>69</v>
      </c>
      <c r="F485" s="53" t="s">
        <v>32</v>
      </c>
      <c r="G485" s="60" t="s">
        <v>33</v>
      </c>
    </row>
    <row r="486" spans="2:7">
      <c r="B486" s="54"/>
      <c r="C486" s="36"/>
      <c r="D486" s="57"/>
      <c r="E486" s="58"/>
      <c r="F486" s="58"/>
      <c r="G486" s="33"/>
    </row>
    <row r="487" spans="2:7">
      <c r="B487" s="55"/>
      <c r="C487" s="33"/>
      <c r="D487" s="57"/>
      <c r="E487" s="58"/>
      <c r="F487" s="58"/>
      <c r="G487" s="33"/>
    </row>
    <row r="488" spans="2:7">
      <c r="B488" s="55"/>
      <c r="C488" s="33"/>
      <c r="D488" s="57"/>
      <c r="E488" s="58"/>
      <c r="F488" s="58"/>
      <c r="G488" s="33"/>
    </row>
    <row r="489" spans="2:7">
      <c r="B489" s="55"/>
      <c r="C489" s="33"/>
      <c r="D489" s="57"/>
      <c r="E489" s="58"/>
      <c r="F489" s="58"/>
      <c r="G489" s="33"/>
    </row>
    <row r="490" spans="2:7">
      <c r="B490" s="55"/>
      <c r="C490" s="33"/>
      <c r="D490" s="57"/>
      <c r="E490" s="58"/>
      <c r="F490" s="58"/>
      <c r="G490" s="33"/>
    </row>
    <row r="491" spans="2:7">
      <c r="B491" s="55"/>
      <c r="C491" s="33"/>
      <c r="D491" s="57"/>
      <c r="E491" s="58"/>
      <c r="F491" s="58"/>
      <c r="G491" s="33"/>
    </row>
    <row r="492" spans="2:7">
      <c r="B492" s="55"/>
      <c r="C492" s="33"/>
      <c r="D492" s="57"/>
      <c r="E492" s="58"/>
      <c r="F492" s="58"/>
      <c r="G492" s="33"/>
    </row>
    <row r="493" spans="2:7">
      <c r="B493" s="55"/>
      <c r="C493" s="33"/>
      <c r="D493" s="57"/>
      <c r="E493" s="58"/>
      <c r="F493" s="58"/>
      <c r="G493" s="33"/>
    </row>
    <row r="494" spans="2:7">
      <c r="B494" s="55"/>
      <c r="C494" s="33"/>
      <c r="D494" s="57"/>
      <c r="E494" s="58"/>
      <c r="F494" s="58"/>
      <c r="G494" s="33"/>
    </row>
    <row r="495" spans="2:7">
      <c r="B495" s="55"/>
      <c r="C495" s="33"/>
      <c r="D495" s="57"/>
      <c r="E495" s="58"/>
      <c r="F495" s="58"/>
      <c r="G495" s="33"/>
    </row>
    <row r="496" spans="2:7">
      <c r="B496" s="55"/>
      <c r="C496" s="33"/>
      <c r="D496" s="57"/>
      <c r="E496" s="58"/>
      <c r="F496" s="58"/>
      <c r="G496" s="33"/>
    </row>
    <row r="497" spans="2:7">
      <c r="B497" s="55"/>
      <c r="C497" s="33"/>
      <c r="D497" s="57"/>
      <c r="E497" s="58"/>
      <c r="F497" s="58"/>
      <c r="G497" s="33"/>
    </row>
    <row r="498" spans="2:7">
      <c r="B498" s="55"/>
      <c r="C498" s="33"/>
      <c r="D498" s="57"/>
      <c r="E498" s="58"/>
      <c r="F498" s="58"/>
      <c r="G498" s="33"/>
    </row>
    <row r="499" spans="2:7" ht="15.75" thickBot="1">
      <c r="B499" s="56"/>
      <c r="C499" s="34"/>
      <c r="D499" s="56"/>
      <c r="E499" s="59"/>
      <c r="F499" s="59"/>
      <c r="G499" s="34"/>
    </row>
    <row r="500" spans="2:7" ht="15.75" thickBot="1">
      <c r="B500" s="56">
        <f>SUM(B486:B499)</f>
        <v>0</v>
      </c>
      <c r="C500" s="34" t="s">
        <v>66</v>
      </c>
      <c r="D500" s="56">
        <f>SUM(D486:D499)</f>
        <v>0</v>
      </c>
      <c r="E500" s="56">
        <f>SUM(E486:E499)</f>
        <v>0</v>
      </c>
      <c r="F500" s="56">
        <f>SUM(F486:F499)</f>
        <v>0</v>
      </c>
      <c r="G500" s="34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89" t="str">
        <f>'2018'!A45</f>
        <v>OTROS</v>
      </c>
      <c r="C502" s="307"/>
      <c r="D502" s="307"/>
      <c r="E502" s="307"/>
      <c r="F502" s="307"/>
      <c r="G502" s="308"/>
    </row>
    <row r="503" spans="2:7" ht="15" customHeight="1" thickBot="1">
      <c r="B503" s="309"/>
      <c r="C503" s="310"/>
      <c r="D503" s="310"/>
      <c r="E503" s="310"/>
      <c r="F503" s="310"/>
      <c r="G503" s="311"/>
    </row>
    <row r="504" spans="2:7">
      <c r="B504" s="297" t="s">
        <v>10</v>
      </c>
      <c r="C504" s="296"/>
      <c r="D504" s="295" t="s">
        <v>11</v>
      </c>
      <c r="E504" s="295"/>
      <c r="F504" s="295"/>
      <c r="G504" s="296"/>
    </row>
    <row r="505" spans="2:7">
      <c r="B505" s="52" t="s">
        <v>32</v>
      </c>
      <c r="C505" s="60" t="s">
        <v>33</v>
      </c>
      <c r="D505" s="52" t="s">
        <v>68</v>
      </c>
      <c r="E505" s="53" t="s">
        <v>69</v>
      </c>
      <c r="F505" s="53" t="s">
        <v>32</v>
      </c>
      <c r="G505" s="60" t="s">
        <v>33</v>
      </c>
    </row>
    <row r="506" spans="2:7">
      <c r="B506" s="54">
        <v>10</v>
      </c>
      <c r="C506" s="36"/>
      <c r="D506" s="57"/>
      <c r="E506" s="58"/>
      <c r="F506" s="58"/>
      <c r="G506" s="33"/>
    </row>
    <row r="507" spans="2:7">
      <c r="B507" s="55"/>
      <c r="C507" s="33"/>
      <c r="D507" s="57"/>
      <c r="E507" s="58"/>
      <c r="F507" s="58"/>
      <c r="G507" s="33"/>
    </row>
    <row r="508" spans="2:7">
      <c r="B508" s="55"/>
      <c r="C508" s="33"/>
      <c r="D508" s="57"/>
      <c r="E508" s="58"/>
      <c r="F508" s="58"/>
      <c r="G508" s="33"/>
    </row>
    <row r="509" spans="2:7">
      <c r="B509" s="55"/>
      <c r="C509" s="33"/>
      <c r="D509" s="57"/>
      <c r="E509" s="58"/>
      <c r="F509" s="58"/>
      <c r="G509" s="33"/>
    </row>
    <row r="510" spans="2:7">
      <c r="B510" s="55"/>
      <c r="C510" s="33"/>
      <c r="D510" s="57"/>
      <c r="E510" s="58"/>
      <c r="F510" s="58"/>
      <c r="G510" s="33"/>
    </row>
    <row r="511" spans="2:7">
      <c r="B511" s="55"/>
      <c r="C511" s="33"/>
      <c r="D511" s="57"/>
      <c r="E511" s="58"/>
      <c r="F511" s="58"/>
      <c r="G511" s="33"/>
    </row>
    <row r="512" spans="2:7">
      <c r="B512" s="55"/>
      <c r="C512" s="33"/>
      <c r="D512" s="57"/>
      <c r="E512" s="58"/>
      <c r="F512" s="58"/>
      <c r="G512" s="33"/>
    </row>
    <row r="513" spans="2:7">
      <c r="B513" s="55"/>
      <c r="C513" s="33"/>
      <c r="D513" s="57"/>
      <c r="E513" s="58"/>
      <c r="F513" s="58"/>
      <c r="G513" s="33"/>
    </row>
    <row r="514" spans="2:7">
      <c r="B514" s="55"/>
      <c r="C514" s="33"/>
      <c r="D514" s="57"/>
      <c r="E514" s="58"/>
      <c r="F514" s="58"/>
      <c r="G514" s="33"/>
    </row>
    <row r="515" spans="2:7">
      <c r="B515" s="55"/>
      <c r="C515" s="33"/>
      <c r="D515" s="57"/>
      <c r="E515" s="58"/>
      <c r="F515" s="58"/>
      <c r="G515" s="33"/>
    </row>
    <row r="516" spans="2:7">
      <c r="B516" s="55"/>
      <c r="C516" s="33"/>
      <c r="D516" s="57"/>
      <c r="E516" s="58"/>
      <c r="F516" s="58"/>
      <c r="G516" s="33"/>
    </row>
    <row r="517" spans="2:7">
      <c r="B517" s="55"/>
      <c r="C517" s="33"/>
      <c r="D517" s="57"/>
      <c r="E517" s="58"/>
      <c r="F517" s="58"/>
      <c r="G517" s="33"/>
    </row>
    <row r="518" spans="2:7">
      <c r="B518" s="55"/>
      <c r="C518" s="33"/>
      <c r="D518" s="57"/>
      <c r="E518" s="58"/>
      <c r="F518" s="58"/>
      <c r="G518" s="33"/>
    </row>
    <row r="519" spans="2:7" ht="15.75" thickBot="1">
      <c r="B519" s="56"/>
      <c r="C519" s="34"/>
      <c r="D519" s="56"/>
      <c r="E519" s="59"/>
      <c r="F519" s="59"/>
      <c r="G519" s="34"/>
    </row>
    <row r="520" spans="2:7" ht="15.75" thickBot="1">
      <c r="B520" s="56">
        <f>SUM(B506:B519)</f>
        <v>10</v>
      </c>
      <c r="C520" s="34" t="s">
        <v>66</v>
      </c>
      <c r="D520" s="56">
        <f>SUM(D506:D519)</f>
        <v>0</v>
      </c>
      <c r="E520" s="56">
        <f>SUM(E506:E519)</f>
        <v>0</v>
      </c>
      <c r="F520" s="56">
        <f>SUM(F506:F519)</f>
        <v>0</v>
      </c>
      <c r="G520" s="34" t="s">
        <v>66</v>
      </c>
    </row>
  </sheetData>
  <mergeCells count="111"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400-000000000000}"/>
    <hyperlink ref="I2:L3" location="'2018'!O4:R4" display="SALDO REAL" xr:uid="{00000000-0004-0000-0400-000001000000}"/>
    <hyperlink ref="I22" location="Trimestre!C39:F40" display="TELÉFONO" xr:uid="{00000000-0004-0000-0400-000002000000}"/>
    <hyperlink ref="I22:L23" location="'2018'!O7:R7" display="INGRESOS" xr:uid="{00000000-0004-0000-0400-000003000000}"/>
    <hyperlink ref="B2" location="Trimestre!C25:F26" display="HIPOTECA" xr:uid="{00000000-0004-0000-0400-000004000000}"/>
    <hyperlink ref="B2:G3" location="'2018'!O20:R20" display="'2018'!O20:R20" xr:uid="{00000000-0004-0000-0400-000005000000}"/>
    <hyperlink ref="B22" location="Trimestre!C25:F26" display="HIPOTECA" xr:uid="{00000000-0004-0000-0400-000006000000}"/>
    <hyperlink ref="B22:G23" location="'2018'!O21:R21" display="'2018'!O21:R21" xr:uid="{00000000-0004-0000-0400-000007000000}"/>
    <hyperlink ref="B42" location="Trimestre!C25:F26" display="HIPOTECA" xr:uid="{00000000-0004-0000-0400-000008000000}"/>
    <hyperlink ref="B42:G43" location="'2018'!O22:R22" display="'2018'!O22:R22" xr:uid="{00000000-0004-0000-0400-000009000000}"/>
    <hyperlink ref="B62" location="Trimestre!C25:F26" display="HIPOTECA" xr:uid="{00000000-0004-0000-0400-00000A000000}"/>
    <hyperlink ref="B62:G63" location="'2018'!O23:R23" display="'2018'!O23:R23" xr:uid="{00000000-0004-0000-0400-00000B000000}"/>
    <hyperlink ref="B82" location="Trimestre!C25:F26" display="HIPOTECA" xr:uid="{00000000-0004-0000-0400-00000C000000}"/>
    <hyperlink ref="B82:G83" location="'2018'!O24:R24" display="'2018'!O24:R24" xr:uid="{00000000-0004-0000-0400-00000D000000}"/>
    <hyperlink ref="B102" location="Trimestre!C25:F26" display="HIPOTECA" xr:uid="{00000000-0004-0000-0400-00000E000000}"/>
    <hyperlink ref="B102:G103" location="'2018'!O25:R25" display="'2018'!O25:R25" xr:uid="{00000000-0004-0000-0400-00000F000000}"/>
    <hyperlink ref="B122" location="Trimestre!C25:F26" display="HIPOTECA" xr:uid="{00000000-0004-0000-0400-000010000000}"/>
    <hyperlink ref="B122:G123" location="'2018'!O26:R26" display="'2018'!O26:R26" xr:uid="{00000000-0004-0000-0400-000011000000}"/>
    <hyperlink ref="B142" location="Trimestre!C25:F26" display="HIPOTECA" xr:uid="{00000000-0004-0000-0400-000012000000}"/>
    <hyperlink ref="B142:G143" location="'2018'!O27:R27" display="'2018'!O27:R27" xr:uid="{00000000-0004-0000-0400-000013000000}"/>
    <hyperlink ref="B162" location="Trimestre!C25:F26" display="HIPOTECA" xr:uid="{00000000-0004-0000-0400-000014000000}"/>
    <hyperlink ref="B162:G163" location="'2018'!O28:R28" display="'2018'!O28:R28" xr:uid="{00000000-0004-0000-0400-000015000000}"/>
    <hyperlink ref="B182" location="Trimestre!C25:F26" display="HIPOTECA" xr:uid="{00000000-0004-0000-0400-000016000000}"/>
    <hyperlink ref="B182:G183" location="'2018'!O29:R29" display="'2018'!O29:R29" xr:uid="{00000000-0004-0000-0400-000017000000}"/>
    <hyperlink ref="B202" location="Trimestre!C25:F26" display="HIPOTECA" xr:uid="{00000000-0004-0000-0400-000018000000}"/>
    <hyperlink ref="B202:G203" location="'2018'!O30:R30" display="'2018'!O30:R30" xr:uid="{00000000-0004-0000-0400-000019000000}"/>
    <hyperlink ref="B222" location="Trimestre!C25:F26" display="HIPOTECA" xr:uid="{00000000-0004-0000-0400-00001A000000}"/>
    <hyperlink ref="B222:G223" location="'2018'!O31:R31" display="'2018'!O31:R31" xr:uid="{00000000-0004-0000-0400-00001B000000}"/>
    <hyperlink ref="B242" location="Trimestre!C25:F26" display="HIPOTECA" xr:uid="{00000000-0004-0000-0400-00001C000000}"/>
    <hyperlink ref="B242:G243" location="'2018'!O32:R32" display="'2018'!O32:R32" xr:uid="{00000000-0004-0000-0400-00001D000000}"/>
    <hyperlink ref="B262" location="Trimestre!C25:F26" display="HIPOTECA" xr:uid="{00000000-0004-0000-0400-00001E000000}"/>
    <hyperlink ref="B262:G263" location="'2018'!O33:R33" display="'2018'!O33:R33" xr:uid="{00000000-0004-0000-0400-00001F000000}"/>
    <hyperlink ref="B282" location="Trimestre!C25:F26" display="HIPOTECA" xr:uid="{00000000-0004-0000-0400-000020000000}"/>
    <hyperlink ref="B282:G283" location="'2018'!O34:R34" display="'2018'!O34:R34" xr:uid="{00000000-0004-0000-0400-000021000000}"/>
    <hyperlink ref="B302" location="Trimestre!C25:F26" display="HIPOTECA" xr:uid="{00000000-0004-0000-0400-000022000000}"/>
    <hyperlink ref="B302:G303" location="'2018'!O35:R35" display="'2018'!O35:R35" xr:uid="{00000000-0004-0000-0400-000023000000}"/>
    <hyperlink ref="B322" location="Trimestre!C25:F26" display="HIPOTECA" xr:uid="{00000000-0004-0000-0400-000024000000}"/>
    <hyperlink ref="B322:G323" location="'2018'!O36:R36" display="'2018'!O36:R36" xr:uid="{00000000-0004-0000-0400-000025000000}"/>
    <hyperlink ref="B342" location="Trimestre!C25:F26" display="HIPOTECA" xr:uid="{00000000-0004-0000-0400-000026000000}"/>
    <hyperlink ref="B342:G343" location="'2018'!O37:R37" display="'2018'!O37:R37" xr:uid="{00000000-0004-0000-0400-000027000000}"/>
    <hyperlink ref="B362" location="Trimestre!C25:F26" display="HIPOTECA" xr:uid="{00000000-0004-0000-0400-000028000000}"/>
    <hyperlink ref="B362:G363" location="'2018'!O38:R38" display="'2018'!O38:R38" xr:uid="{00000000-0004-0000-0400-000029000000}"/>
    <hyperlink ref="B382" location="Trimestre!C25:F26" display="HIPOTECA" xr:uid="{00000000-0004-0000-0400-00002A000000}"/>
    <hyperlink ref="B382:G383" location="'2018'!O39:R39" display="'2018'!O39:R39" xr:uid="{00000000-0004-0000-0400-00002B000000}"/>
    <hyperlink ref="B402" location="Trimestre!C25:F26" display="HIPOTECA" xr:uid="{00000000-0004-0000-0400-00002C000000}"/>
    <hyperlink ref="B402:G403" location="'2018'!O40:R40" display="'2018'!O40:R40" xr:uid="{00000000-0004-0000-0400-00002D000000}"/>
    <hyperlink ref="B422" location="Trimestre!C25:F26" display="HIPOTECA" xr:uid="{00000000-0004-0000-0400-00002E000000}"/>
    <hyperlink ref="B422:G423" location="'2018'!O41:R41" display="'2018'!O41:R41" xr:uid="{00000000-0004-0000-0400-00002F000000}"/>
    <hyperlink ref="B442" location="Trimestre!C25:F26" display="HIPOTECA" xr:uid="{00000000-0004-0000-0400-000030000000}"/>
    <hyperlink ref="B442:G443" location="'2018'!O42:R42" display="'2018'!O42:R42" xr:uid="{00000000-0004-0000-0400-000031000000}"/>
    <hyperlink ref="B462" location="Trimestre!C25:F26" display="HIPOTECA" xr:uid="{00000000-0004-0000-0400-000032000000}"/>
    <hyperlink ref="B462:G463" location="'2018'!O43:R43" display="'2018'!O43:R43" xr:uid="{00000000-0004-0000-0400-000033000000}"/>
    <hyperlink ref="B482" location="Trimestre!C25:F26" display="HIPOTECA" xr:uid="{00000000-0004-0000-0400-000034000000}"/>
    <hyperlink ref="B482:G483" location="'2018'!O44:R44" display="'2018'!O44:R44" xr:uid="{00000000-0004-0000-0400-000035000000}"/>
    <hyperlink ref="B502" location="Trimestre!C25:F26" display="HIPOTECA" xr:uid="{00000000-0004-0000-0400-000036000000}"/>
    <hyperlink ref="B502:G503" location="'2018'!O45:R45" display="'2018'!O45:R45" xr:uid="{00000000-0004-0000-0400-000037000000}"/>
  </hyperlink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520"/>
  <sheetViews>
    <sheetView topLeftCell="B1" workbookViewId="0">
      <selection activeCell="J25" sqref="J25"/>
    </sheetView>
  </sheetViews>
  <sheetFormatPr defaultColWidth="11.42578125" defaultRowHeight="15"/>
  <cols>
    <col min="1" max="1" width="11.42578125" style="137"/>
    <col min="2" max="2" width="10" style="137" customWidth="1"/>
    <col min="3" max="3" width="33.28515625" style="137" customWidth="1"/>
    <col min="4" max="6" width="10" style="137" customWidth="1"/>
    <col min="7" max="7" width="33.28515625" style="137" customWidth="1"/>
    <col min="8" max="9" width="11.42578125" style="137"/>
    <col min="10" max="10" width="31.28515625" style="137" customWidth="1"/>
    <col min="11" max="16384" width="11.42578125" style="137"/>
  </cols>
  <sheetData>
    <row r="1" spans="1:22" ht="16.5" thickBot="1">
      <c r="A1" s="1"/>
      <c r="B1" s="1"/>
      <c r="C1" s="1"/>
      <c r="D1" s="1"/>
      <c r="E1" s="1"/>
      <c r="F1" s="1"/>
      <c r="G1" s="1"/>
      <c r="H1" s="30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89" t="str">
        <f>'2018'!A20</f>
        <v>Cártama Gastos</v>
      </c>
      <c r="C2" s="290"/>
      <c r="D2" s="290"/>
      <c r="E2" s="290"/>
      <c r="F2" s="290"/>
      <c r="G2" s="291"/>
      <c r="H2" s="1"/>
      <c r="I2" s="302" t="s">
        <v>4</v>
      </c>
      <c r="J2" s="290"/>
      <c r="K2" s="290"/>
      <c r="L2" s="291"/>
      <c r="M2" s="1"/>
      <c r="N2" s="1"/>
      <c r="R2" s="3"/>
    </row>
    <row r="3" spans="1:22" ht="16.5" thickBot="1">
      <c r="A3" s="1"/>
      <c r="B3" s="292"/>
      <c r="C3" s="293"/>
      <c r="D3" s="293"/>
      <c r="E3" s="293"/>
      <c r="F3" s="293"/>
      <c r="G3" s="294"/>
      <c r="H3" s="1"/>
      <c r="I3" s="292"/>
      <c r="J3" s="293"/>
      <c r="K3" s="293"/>
      <c r="L3" s="294"/>
      <c r="M3" s="1"/>
      <c r="N3" s="1"/>
      <c r="R3" s="3"/>
    </row>
    <row r="4" spans="1:22" ht="15.75">
      <c r="A4" s="1"/>
      <c r="B4" s="297" t="s">
        <v>10</v>
      </c>
      <c r="C4" s="296"/>
      <c r="D4" s="295" t="s">
        <v>11</v>
      </c>
      <c r="E4" s="295"/>
      <c r="F4" s="295"/>
      <c r="G4" s="296"/>
      <c r="H4" s="1"/>
      <c r="I4" s="31" t="s">
        <v>70</v>
      </c>
      <c r="J4" s="32" t="s">
        <v>71</v>
      </c>
      <c r="K4" s="303" t="s">
        <v>72</v>
      </c>
      <c r="L4" s="304"/>
      <c r="M4" s="1"/>
      <c r="N4" s="1"/>
      <c r="R4" s="3"/>
    </row>
    <row r="5" spans="1:22" ht="15.75">
      <c r="A5" s="1" t="s">
        <v>608</v>
      </c>
      <c r="B5" s="52" t="s">
        <v>32</v>
      </c>
      <c r="C5" s="60" t="s">
        <v>33</v>
      </c>
      <c r="D5" s="52" t="s">
        <v>68</v>
      </c>
      <c r="E5" s="53" t="s">
        <v>69</v>
      </c>
      <c r="F5" s="53" t="s">
        <v>32</v>
      </c>
      <c r="G5" s="60" t="s">
        <v>33</v>
      </c>
      <c r="H5" s="1"/>
      <c r="I5" s="61" t="s">
        <v>73</v>
      </c>
      <c r="J5" s="3" t="s">
        <v>74</v>
      </c>
      <c r="K5" s="305">
        <v>1091.18</v>
      </c>
      <c r="L5" s="306"/>
      <c r="M5" s="82"/>
      <c r="N5" s="1"/>
      <c r="R5" s="3"/>
    </row>
    <row r="6" spans="1:22" ht="15.75">
      <c r="A6" s="163">
        <f>'04'!A6+B6-E6</f>
        <v>3.2400000000000091</v>
      </c>
      <c r="B6" s="54">
        <v>399</v>
      </c>
      <c r="C6" s="36" t="s">
        <v>311</v>
      </c>
      <c r="D6" s="57"/>
      <c r="E6" s="58">
        <v>398.31</v>
      </c>
      <c r="F6" s="58"/>
      <c r="G6" s="33" t="s">
        <v>35</v>
      </c>
      <c r="H6" s="1"/>
      <c r="I6" s="62" t="s">
        <v>73</v>
      </c>
      <c r="J6" s="35" t="s">
        <v>75</v>
      </c>
      <c r="K6" s="298">
        <v>248.78</v>
      </c>
      <c r="L6" s="299"/>
      <c r="M6" s="1" t="s">
        <v>266</v>
      </c>
      <c r="N6" s="1"/>
      <c r="R6" s="3"/>
    </row>
    <row r="7" spans="1:22" ht="15.75">
      <c r="A7" s="163">
        <f>'04'!A7+B7-E7</f>
        <v>-389.3</v>
      </c>
      <c r="B7" s="55">
        <v>60</v>
      </c>
      <c r="C7" s="33" t="s">
        <v>325</v>
      </c>
      <c r="D7" s="57"/>
      <c r="E7" s="58"/>
      <c r="F7" s="58"/>
      <c r="G7" s="33" t="s">
        <v>106</v>
      </c>
      <c r="H7" s="82"/>
      <c r="I7" s="62" t="s">
        <v>76</v>
      </c>
      <c r="J7" s="35" t="s">
        <v>77</v>
      </c>
      <c r="K7" s="298">
        <v>8736.65</v>
      </c>
      <c r="L7" s="299"/>
      <c r="M7" s="1"/>
      <c r="N7" s="1"/>
      <c r="R7" s="3"/>
    </row>
    <row r="8" spans="1:22" ht="15.75">
      <c r="A8" s="163">
        <f>'04'!A8+B8-E8</f>
        <v>-119.41000000000001</v>
      </c>
      <c r="B8" s="55">
        <v>100.01</v>
      </c>
      <c r="C8" s="33" t="s">
        <v>38</v>
      </c>
      <c r="D8" s="57"/>
      <c r="F8" s="58"/>
      <c r="G8" s="33" t="s">
        <v>38</v>
      </c>
      <c r="H8" s="1"/>
      <c r="I8" s="62" t="s">
        <v>76</v>
      </c>
      <c r="J8" s="35" t="s">
        <v>78</v>
      </c>
      <c r="K8" s="298">
        <v>5000</v>
      </c>
      <c r="L8" s="299"/>
      <c r="M8" s="1"/>
      <c r="N8" s="1"/>
      <c r="R8" s="3"/>
    </row>
    <row r="9" spans="1:22" ht="15.75">
      <c r="A9" s="163">
        <f>'04'!A9+B9-E9</f>
        <v>0</v>
      </c>
      <c r="B9" s="55">
        <v>0</v>
      </c>
      <c r="C9" s="33" t="s">
        <v>40</v>
      </c>
      <c r="D9" s="57"/>
      <c r="E9" s="58"/>
      <c r="F9" s="58"/>
      <c r="G9" s="33" t="s">
        <v>40</v>
      </c>
      <c r="H9" s="1"/>
      <c r="I9" s="62" t="s">
        <v>76</v>
      </c>
      <c r="J9" s="35" t="s">
        <v>267</v>
      </c>
      <c r="K9" s="298">
        <v>621.13</v>
      </c>
      <c r="L9" s="299"/>
      <c r="M9" s="1"/>
      <c r="N9" s="1"/>
      <c r="R9" s="3"/>
    </row>
    <row r="10" spans="1:22" ht="15.75">
      <c r="A10" s="163">
        <f>'04'!A10+B10-E10</f>
        <v>3</v>
      </c>
      <c r="B10" s="55">
        <v>12</v>
      </c>
      <c r="C10" s="33" t="s">
        <v>39</v>
      </c>
      <c r="D10" s="57"/>
      <c r="E10" s="58">
        <v>12</v>
      </c>
      <c r="F10" s="58"/>
      <c r="G10" s="33" t="s">
        <v>39</v>
      </c>
      <c r="H10" s="1"/>
      <c r="I10" s="62" t="s">
        <v>76</v>
      </c>
      <c r="J10" s="35" t="s">
        <v>115</v>
      </c>
      <c r="K10" s="298">
        <v>1800.04</v>
      </c>
      <c r="L10" s="299"/>
      <c r="M10" s="1" t="s">
        <v>265</v>
      </c>
      <c r="N10" s="1"/>
      <c r="R10" s="3"/>
    </row>
    <row r="11" spans="1:22" ht="15.75">
      <c r="A11" s="163">
        <f>'04'!A11+B11-E11</f>
        <v>3.8000000000000078</v>
      </c>
      <c r="B11" s="55">
        <v>31</v>
      </c>
      <c r="C11" s="33" t="s">
        <v>37</v>
      </c>
      <c r="D11" s="57"/>
      <c r="E11" s="58">
        <v>30.24</v>
      </c>
      <c r="F11" s="58"/>
      <c r="G11" s="33" t="s">
        <v>37</v>
      </c>
      <c r="H11" s="1"/>
      <c r="I11" s="62" t="s">
        <v>93</v>
      </c>
      <c r="J11" s="35" t="s">
        <v>94</v>
      </c>
      <c r="K11" s="298">
        <f>40+276</f>
        <v>316</v>
      </c>
      <c r="L11" s="299"/>
      <c r="M11" s="1"/>
      <c r="N11" s="1"/>
      <c r="R11" s="3"/>
    </row>
    <row r="12" spans="1:22" ht="15.75">
      <c r="A12" s="163">
        <f>'04'!A12+B12-E12</f>
        <v>461.9</v>
      </c>
      <c r="B12" s="55">
        <v>120</v>
      </c>
      <c r="C12" s="33" t="s">
        <v>195</v>
      </c>
      <c r="D12" s="57"/>
      <c r="E12" s="58">
        <f>43.62</f>
        <v>43.62</v>
      </c>
      <c r="F12" s="58"/>
      <c r="G12" s="33" t="s">
        <v>224</v>
      </c>
      <c r="H12" s="1"/>
      <c r="I12" s="62" t="s">
        <v>303</v>
      </c>
      <c r="J12" s="35" t="s">
        <v>304</v>
      </c>
      <c r="K12" s="298">
        <v>5092.08</v>
      </c>
      <c r="L12" s="299"/>
      <c r="M12" s="140"/>
      <c r="N12" s="1"/>
      <c r="R12" s="3"/>
    </row>
    <row r="13" spans="1:22" ht="15.75">
      <c r="A13" s="163">
        <f>'04'!A13+B13-E13</f>
        <v>117.06999999999998</v>
      </c>
      <c r="B13" s="55">
        <v>50</v>
      </c>
      <c r="C13" s="33" t="s">
        <v>196</v>
      </c>
      <c r="D13" s="57"/>
      <c r="E13" s="58"/>
      <c r="F13" s="58"/>
      <c r="G13" s="33"/>
      <c r="H13" s="1"/>
      <c r="I13" s="62"/>
      <c r="J13" s="35"/>
      <c r="K13" s="298"/>
      <c r="L13" s="299"/>
      <c r="M13" s="1"/>
      <c r="N13" s="1"/>
      <c r="R13" s="3"/>
    </row>
    <row r="14" spans="1:22" ht="15.75">
      <c r="A14" s="163">
        <f>'04'!A14+B14-E14</f>
        <v>125</v>
      </c>
      <c r="B14" s="55">
        <v>25</v>
      </c>
      <c r="C14" s="33" t="s">
        <v>206</v>
      </c>
      <c r="D14" s="57"/>
      <c r="E14" s="58"/>
      <c r="F14" s="58"/>
      <c r="G14" s="33"/>
      <c r="H14" s="1"/>
      <c r="I14" s="62"/>
      <c r="J14" s="35"/>
      <c r="K14" s="298"/>
      <c r="L14" s="299"/>
      <c r="M14" s="1"/>
      <c r="N14" s="1"/>
      <c r="R14" s="3"/>
    </row>
    <row r="15" spans="1:22" ht="15.75">
      <c r="A15" s="163">
        <f>'04'!A15+B15-E15</f>
        <v>14</v>
      </c>
      <c r="B15" s="55">
        <v>7</v>
      </c>
      <c r="C15" s="33" t="s">
        <v>352</v>
      </c>
      <c r="D15" s="57"/>
      <c r="E15" s="58"/>
      <c r="F15" s="58"/>
      <c r="G15" s="33"/>
      <c r="H15" s="1"/>
      <c r="I15" s="62"/>
      <c r="J15" s="35"/>
      <c r="K15" s="298"/>
      <c r="L15" s="299"/>
      <c r="M15" s="1"/>
      <c r="N15" s="1"/>
      <c r="R15" s="3"/>
    </row>
    <row r="16" spans="1:22" ht="15.75">
      <c r="A16" s="163">
        <f>'04'!A16+B16-E16</f>
        <v>0</v>
      </c>
      <c r="B16" s="55"/>
      <c r="C16" s="33"/>
      <c r="D16" s="57"/>
      <c r="E16" s="58"/>
      <c r="F16" s="58"/>
      <c r="G16" s="33"/>
      <c r="H16" s="1"/>
      <c r="I16" s="62"/>
      <c r="J16" s="35"/>
      <c r="K16" s="298"/>
      <c r="L16" s="299"/>
      <c r="M16" s="1"/>
      <c r="N16" s="1"/>
      <c r="R16" s="3"/>
    </row>
    <row r="17" spans="1:18" ht="15.75">
      <c r="A17" s="1"/>
      <c r="B17" s="55"/>
      <c r="C17" s="33"/>
      <c r="D17" s="57"/>
      <c r="E17" s="58"/>
      <c r="F17" s="58"/>
      <c r="G17" s="33"/>
      <c r="H17" s="1"/>
      <c r="I17" s="62"/>
      <c r="J17" s="35"/>
      <c r="K17" s="298"/>
      <c r="L17" s="299"/>
      <c r="M17" s="1"/>
      <c r="N17" s="1"/>
      <c r="R17" s="3"/>
    </row>
    <row r="18" spans="1:18" ht="16.5" thickBot="1">
      <c r="A18" s="1"/>
      <c r="B18" s="55"/>
      <c r="C18" s="33"/>
      <c r="D18" s="57"/>
      <c r="E18" s="58"/>
      <c r="F18" s="58"/>
      <c r="G18" s="33"/>
      <c r="H18" s="1"/>
      <c r="I18" s="63"/>
      <c r="J18" s="37"/>
      <c r="K18" s="300"/>
      <c r="L18" s="301"/>
      <c r="M18" s="1"/>
      <c r="N18" s="1"/>
      <c r="R18" s="3"/>
    </row>
    <row r="19" spans="1:18" ht="16.5" thickBot="1">
      <c r="A19" s="1"/>
      <c r="B19" s="56"/>
      <c r="C19" s="34"/>
      <c r="D19" s="56"/>
      <c r="E19" s="59"/>
      <c r="F19" s="59"/>
      <c r="G19" s="34"/>
      <c r="H19" s="1"/>
      <c r="I19" s="63" t="s">
        <v>83</v>
      </c>
      <c r="J19" s="37"/>
      <c r="K19" s="300">
        <f>SUM(K5:K18)</f>
        <v>22905.86</v>
      </c>
      <c r="L19" s="301"/>
      <c r="M19" s="1"/>
      <c r="N19" s="1"/>
      <c r="R19" s="3"/>
    </row>
    <row r="20" spans="1:18" ht="16.5" thickBot="1">
      <c r="A20" s="163">
        <f>SUM(A6:A15)</f>
        <v>219.29999999999995</v>
      </c>
      <c r="B20" s="56">
        <f>SUM(B6:B19)</f>
        <v>804.01</v>
      </c>
      <c r="C20" s="34" t="s">
        <v>66</v>
      </c>
      <c r="D20" s="56">
        <f>SUM(D6:D19)</f>
        <v>0</v>
      </c>
      <c r="E20" s="56">
        <f>SUM(E6:E19)</f>
        <v>484.17</v>
      </c>
      <c r="F20" s="56">
        <f>SUM(F6:F19)</f>
        <v>0</v>
      </c>
      <c r="G20" s="34" t="s">
        <v>66</v>
      </c>
      <c r="H20" s="1"/>
      <c r="I20" s="137" t="s">
        <v>116</v>
      </c>
      <c r="L20" s="140">
        <f>K19-K10-K12</f>
        <v>16013.74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89" t="str">
        <f>'2018'!A21</f>
        <v>Waterloo</v>
      </c>
      <c r="C22" s="290"/>
      <c r="D22" s="290"/>
      <c r="E22" s="290"/>
      <c r="F22" s="290"/>
      <c r="G22" s="291"/>
      <c r="H22" s="1"/>
      <c r="I22" s="302" t="s">
        <v>6</v>
      </c>
      <c r="J22" s="290"/>
      <c r="K22" s="290"/>
      <c r="L22" s="291"/>
      <c r="M22" s="1"/>
      <c r="R22" s="3"/>
    </row>
    <row r="23" spans="1:18" ht="16.149999999999999" customHeight="1" thickBot="1">
      <c r="A23" s="1"/>
      <c r="B23" s="292"/>
      <c r="C23" s="293"/>
      <c r="D23" s="293"/>
      <c r="E23" s="293"/>
      <c r="F23" s="293"/>
      <c r="G23" s="294"/>
      <c r="H23" s="1"/>
      <c r="I23" s="292"/>
      <c r="J23" s="293"/>
      <c r="K23" s="293"/>
      <c r="L23" s="294"/>
      <c r="M23" s="1"/>
      <c r="R23" s="3"/>
    </row>
    <row r="24" spans="1:18" ht="15.75">
      <c r="A24" s="1"/>
      <c r="B24" s="297" t="s">
        <v>10</v>
      </c>
      <c r="C24" s="296"/>
      <c r="D24" s="295" t="s">
        <v>11</v>
      </c>
      <c r="E24" s="295"/>
      <c r="F24" s="295"/>
      <c r="G24" s="296"/>
      <c r="H24" s="1"/>
      <c r="I24" s="88" t="s">
        <v>33</v>
      </c>
      <c r="J24" s="32" t="s">
        <v>133</v>
      </c>
      <c r="K24" s="303" t="s">
        <v>134</v>
      </c>
      <c r="L24" s="304"/>
      <c r="M24" s="1"/>
      <c r="R24" s="3"/>
    </row>
    <row r="25" spans="1:18" ht="15.75">
      <c r="A25" s="1"/>
      <c r="B25" s="52" t="s">
        <v>32</v>
      </c>
      <c r="C25" s="60" t="s">
        <v>33</v>
      </c>
      <c r="D25" s="52" t="s">
        <v>68</v>
      </c>
      <c r="E25" s="53" t="s">
        <v>69</v>
      </c>
      <c r="F25" s="53" t="s">
        <v>32</v>
      </c>
      <c r="G25" s="60" t="s">
        <v>33</v>
      </c>
      <c r="H25" s="1"/>
      <c r="I25" s="150">
        <v>5</v>
      </c>
      <c r="J25" s="3" t="s">
        <v>361</v>
      </c>
      <c r="K25" s="305">
        <v>38.64</v>
      </c>
      <c r="L25" s="306"/>
      <c r="M25" s="1"/>
      <c r="R25" s="3"/>
    </row>
    <row r="26" spans="1:18" ht="15.75">
      <c r="A26" s="1"/>
      <c r="B26" s="54">
        <v>900</v>
      </c>
      <c r="C26" s="66" t="s">
        <v>42</v>
      </c>
      <c r="D26" s="57">
        <v>900</v>
      </c>
      <c r="E26" s="58"/>
      <c r="F26" s="58"/>
      <c r="G26" s="33" t="s">
        <v>42</v>
      </c>
      <c r="H26" s="1"/>
      <c r="I26" s="151">
        <v>2</v>
      </c>
      <c r="J26" s="35" t="s">
        <v>276</v>
      </c>
      <c r="K26" s="298">
        <v>249.22</v>
      </c>
      <c r="L26" s="299"/>
      <c r="M26" s="1"/>
      <c r="R26" s="3"/>
    </row>
    <row r="27" spans="1:18" ht="15.75">
      <c r="A27" s="1"/>
      <c r="B27" s="55">
        <v>200</v>
      </c>
      <c r="C27" s="66" t="s">
        <v>44</v>
      </c>
      <c r="D27" s="57">
        <v>104.38</v>
      </c>
      <c r="E27" s="58"/>
      <c r="F27" s="58"/>
      <c r="G27" s="33" t="s">
        <v>44</v>
      </c>
      <c r="H27" s="1"/>
      <c r="I27" s="151">
        <v>2</v>
      </c>
      <c r="J27" s="35" t="s">
        <v>336</v>
      </c>
      <c r="K27" s="298">
        <v>155.69999999999999</v>
      </c>
      <c r="L27" s="299"/>
      <c r="M27" s="1"/>
      <c r="R27" s="3"/>
    </row>
    <row r="28" spans="1:18" ht="15.75">
      <c r="A28" s="1"/>
      <c r="B28" s="55">
        <v>40</v>
      </c>
      <c r="C28" s="66" t="s">
        <v>45</v>
      </c>
      <c r="D28" s="57"/>
      <c r="E28" s="58"/>
      <c r="F28" s="58"/>
      <c r="G28" s="33" t="s">
        <v>45</v>
      </c>
      <c r="H28" s="1"/>
      <c r="I28" s="151"/>
      <c r="J28" s="35"/>
      <c r="K28" s="298"/>
      <c r="L28" s="299"/>
      <c r="M28" s="1"/>
      <c r="R28" s="3"/>
    </row>
    <row r="29" spans="1:18" ht="15.75">
      <c r="A29" s="1"/>
      <c r="B29" s="55">
        <v>18</v>
      </c>
      <c r="C29" s="66" t="s">
        <v>41</v>
      </c>
      <c r="D29" s="57">
        <v>17.46</v>
      </c>
      <c r="E29" s="58"/>
      <c r="F29" s="58"/>
      <c r="G29" s="33" t="s">
        <v>41</v>
      </c>
      <c r="H29" s="1"/>
      <c r="I29" s="151"/>
      <c r="J29" s="35"/>
      <c r="K29" s="298"/>
      <c r="L29" s="299"/>
      <c r="M29" s="1"/>
      <c r="R29" s="3"/>
    </row>
    <row r="30" spans="1:18" ht="15.75">
      <c r="A30" s="1"/>
      <c r="B30" s="55"/>
      <c r="C30" s="66"/>
      <c r="D30" s="57"/>
      <c r="E30" s="58"/>
      <c r="F30" s="58"/>
      <c r="G30" s="33"/>
      <c r="H30" s="1"/>
      <c r="I30" s="151"/>
      <c r="J30" s="35"/>
      <c r="K30" s="298"/>
      <c r="L30" s="299"/>
      <c r="M30" s="1"/>
      <c r="R30" s="3"/>
    </row>
    <row r="31" spans="1:18" ht="15.75">
      <c r="A31" s="1"/>
      <c r="B31" s="55"/>
      <c r="C31" s="33"/>
      <c r="D31" s="57"/>
      <c r="E31" s="58"/>
      <c r="F31" s="58"/>
      <c r="G31" s="33"/>
      <c r="H31" s="1"/>
      <c r="I31" s="151"/>
      <c r="J31" s="35"/>
      <c r="K31" s="298"/>
      <c r="L31" s="299"/>
      <c r="M31" s="1"/>
      <c r="R31" s="3"/>
    </row>
    <row r="32" spans="1:18" ht="15.75">
      <c r="A32" s="1"/>
      <c r="B32" s="55"/>
      <c r="C32" s="33"/>
      <c r="D32" s="57"/>
      <c r="E32" s="58"/>
      <c r="F32" s="58"/>
      <c r="G32" s="33"/>
      <c r="H32" s="1"/>
      <c r="I32" s="151"/>
      <c r="J32" s="35"/>
      <c r="K32" s="298"/>
      <c r="L32" s="299"/>
      <c r="M32" s="1"/>
      <c r="R32" s="3"/>
    </row>
    <row r="33" spans="1:18" ht="15.75">
      <c r="A33" s="1"/>
      <c r="B33" s="55"/>
      <c r="C33" s="33"/>
      <c r="D33" s="57"/>
      <c r="E33" s="58"/>
      <c r="F33" s="58"/>
      <c r="G33" s="33"/>
      <c r="H33" s="1"/>
      <c r="I33" s="151"/>
      <c r="J33" s="35"/>
      <c r="K33" s="298"/>
      <c r="L33" s="299"/>
      <c r="M33" s="1"/>
      <c r="R33" s="3"/>
    </row>
    <row r="34" spans="1:18" ht="15.75">
      <c r="A34" s="1"/>
      <c r="B34" s="55"/>
      <c r="C34" s="33"/>
      <c r="D34" s="57"/>
      <c r="E34" s="58"/>
      <c r="F34" s="58"/>
      <c r="G34" s="33"/>
      <c r="H34" s="1"/>
      <c r="I34" s="151"/>
      <c r="J34" s="35"/>
      <c r="K34" s="298"/>
      <c r="L34" s="299"/>
      <c r="M34" s="1"/>
      <c r="R34" s="3"/>
    </row>
    <row r="35" spans="1:18" ht="15.75">
      <c r="A35" s="1"/>
      <c r="B35" s="55"/>
      <c r="C35" s="33"/>
      <c r="D35" s="57"/>
      <c r="E35" s="58"/>
      <c r="F35" s="58"/>
      <c r="G35" s="33"/>
      <c r="H35" s="1"/>
      <c r="I35" s="151"/>
      <c r="J35" s="35"/>
      <c r="K35" s="298"/>
      <c r="L35" s="299"/>
      <c r="M35" s="1"/>
      <c r="R35" s="3"/>
    </row>
    <row r="36" spans="1:18" ht="15.75">
      <c r="A36" s="1"/>
      <c r="B36" s="55"/>
      <c r="C36" s="33"/>
      <c r="D36" s="57"/>
      <c r="E36" s="58"/>
      <c r="F36" s="58"/>
      <c r="G36" s="33"/>
      <c r="H36" s="1"/>
      <c r="I36" s="151"/>
      <c r="J36" s="35"/>
      <c r="K36" s="298"/>
      <c r="L36" s="299"/>
      <c r="M36" s="1"/>
      <c r="R36" s="3"/>
    </row>
    <row r="37" spans="1:18" ht="15.75">
      <c r="A37" s="1"/>
      <c r="B37" s="55"/>
      <c r="C37" s="33"/>
      <c r="D37" s="57"/>
      <c r="E37" s="58"/>
      <c r="F37" s="58"/>
      <c r="G37" s="33"/>
      <c r="H37" s="1"/>
      <c r="I37" s="151"/>
      <c r="J37" s="35"/>
      <c r="K37" s="298"/>
      <c r="L37" s="299"/>
      <c r="M37" s="1"/>
      <c r="R37" s="3"/>
    </row>
    <row r="38" spans="1:18" ht="16.5" thickBot="1">
      <c r="A38" s="1"/>
      <c r="B38" s="55"/>
      <c r="C38" s="33"/>
      <c r="D38" s="57"/>
      <c r="E38" s="58"/>
      <c r="F38" s="58"/>
      <c r="G38" s="33"/>
      <c r="H38" s="1"/>
      <c r="I38" s="152"/>
      <c r="J38" s="37"/>
      <c r="K38" s="300"/>
      <c r="L38" s="301"/>
      <c r="M38" s="1"/>
      <c r="R38" s="3"/>
    </row>
    <row r="39" spans="1:18" ht="16.5" thickBot="1">
      <c r="A39" s="1"/>
      <c r="B39" s="56"/>
      <c r="C39" s="34"/>
      <c r="D39" s="56"/>
      <c r="E39" s="59"/>
      <c r="F39" s="59"/>
      <c r="G39" s="34"/>
      <c r="H39" s="1"/>
      <c r="M39" s="1"/>
      <c r="R39" s="3"/>
    </row>
    <row r="40" spans="1:18" ht="16.5" thickBot="1">
      <c r="A40" s="1"/>
      <c r="B40" s="56">
        <f>SUM(B26:B39)</f>
        <v>1158</v>
      </c>
      <c r="C40" s="34" t="s">
        <v>66</v>
      </c>
      <c r="D40" s="56">
        <f>SUM(D26:D39)</f>
        <v>1021.84</v>
      </c>
      <c r="E40" s="56">
        <f>SUM(E26:E39)</f>
        <v>0</v>
      </c>
      <c r="F40" s="56">
        <f>SUM(F26:F39)</f>
        <v>0</v>
      </c>
      <c r="G40" s="34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89" t="str">
        <f>'2018'!A22</f>
        <v>Comida+Limpieza</v>
      </c>
      <c r="C42" s="290"/>
      <c r="D42" s="290"/>
      <c r="E42" s="290"/>
      <c r="F42" s="290"/>
      <c r="G42" s="291"/>
      <c r="H42" s="1"/>
      <c r="M42" s="1"/>
      <c r="R42" s="3"/>
    </row>
    <row r="43" spans="1:18" ht="16.149999999999999" customHeight="1" thickBot="1">
      <c r="A43" s="1"/>
      <c r="B43" s="292"/>
      <c r="C43" s="293"/>
      <c r="D43" s="293"/>
      <c r="E43" s="293"/>
      <c r="F43" s="293"/>
      <c r="G43" s="294"/>
      <c r="H43" s="1"/>
      <c r="M43" s="1"/>
      <c r="R43" s="3"/>
    </row>
    <row r="44" spans="1:18" ht="15.75">
      <c r="A44" s="1"/>
      <c r="B44" s="297" t="s">
        <v>10</v>
      </c>
      <c r="C44" s="296"/>
      <c r="D44" s="295" t="s">
        <v>11</v>
      </c>
      <c r="E44" s="295"/>
      <c r="F44" s="295"/>
      <c r="G44" s="296"/>
      <c r="H44" s="1"/>
      <c r="M44" s="1"/>
      <c r="R44" s="3"/>
    </row>
    <row r="45" spans="1:18" ht="15.75">
      <c r="A45" s="1"/>
      <c r="B45" s="52" t="s">
        <v>32</v>
      </c>
      <c r="C45" s="60" t="s">
        <v>33</v>
      </c>
      <c r="D45" s="52" t="s">
        <v>68</v>
      </c>
      <c r="E45" s="53" t="s">
        <v>69</v>
      </c>
      <c r="F45" s="53" t="s">
        <v>32</v>
      </c>
      <c r="G45" s="60" t="s">
        <v>33</v>
      </c>
      <c r="H45" s="1"/>
      <c r="M45" s="1"/>
      <c r="R45" s="3"/>
    </row>
    <row r="46" spans="1:18" ht="15.75">
      <c r="A46" s="1"/>
      <c r="B46" s="54">
        <v>360</v>
      </c>
      <c r="C46" s="36"/>
      <c r="D46" s="57"/>
      <c r="E46" s="58"/>
      <c r="F46" s="58"/>
      <c r="G46" s="69" t="s">
        <v>47</v>
      </c>
      <c r="H46" s="1"/>
      <c r="M46" s="1"/>
      <c r="R46" s="3"/>
    </row>
    <row r="47" spans="1:18" ht="15.75">
      <c r="A47" s="1"/>
      <c r="B47" s="55">
        <v>20</v>
      </c>
      <c r="C47" s="33" t="s">
        <v>110</v>
      </c>
      <c r="D47" s="57">
        <f>14.36</f>
        <v>14.36</v>
      </c>
      <c r="E47" s="58"/>
      <c r="F47" s="58"/>
      <c r="G47" s="33" t="s">
        <v>48</v>
      </c>
      <c r="H47" s="1"/>
      <c r="M47" s="1"/>
      <c r="R47" s="3"/>
    </row>
    <row r="48" spans="1:18" ht="15.75">
      <c r="A48" s="1"/>
      <c r="B48" s="55"/>
      <c r="C48" s="33"/>
      <c r="D48" s="57">
        <f>31.5+7.61+43.66+0.53</f>
        <v>83.3</v>
      </c>
      <c r="E48" s="58"/>
      <c r="F48" s="58"/>
      <c r="G48" s="33" t="s">
        <v>84</v>
      </c>
      <c r="H48" s="1"/>
      <c r="M48" s="1"/>
      <c r="R48" s="3"/>
    </row>
    <row r="49" spans="1:18" ht="15.75">
      <c r="A49" s="1"/>
      <c r="B49" s="55">
        <v>40</v>
      </c>
      <c r="C49" s="33" t="s">
        <v>335</v>
      </c>
      <c r="D49" s="57">
        <f>8.84+7.49+33.58-4</f>
        <v>45.91</v>
      </c>
      <c r="E49" s="58"/>
      <c r="F49" s="58"/>
      <c r="G49" s="33" t="s">
        <v>49</v>
      </c>
      <c r="H49" s="1"/>
      <c r="M49" s="1"/>
      <c r="R49" s="3"/>
    </row>
    <row r="50" spans="1:18" ht="15.75">
      <c r="A50" s="1"/>
      <c r="B50" s="55"/>
      <c r="C50" s="33"/>
      <c r="D50" s="57"/>
      <c r="E50" s="58"/>
      <c r="F50" s="58"/>
      <c r="G50" s="33" t="s">
        <v>85</v>
      </c>
      <c r="H50" s="1"/>
      <c r="M50" s="1"/>
      <c r="R50" s="3"/>
    </row>
    <row r="51" spans="1:18" ht="15.75">
      <c r="A51" s="1"/>
      <c r="B51" s="55"/>
      <c r="C51" s="33"/>
      <c r="D51" s="57">
        <f>31.71</f>
        <v>31.71</v>
      </c>
      <c r="E51" s="58"/>
      <c r="F51" s="58"/>
      <c r="G51" s="33" t="s">
        <v>86</v>
      </c>
      <c r="H51" s="1"/>
      <c r="M51" s="1"/>
      <c r="R51" s="3"/>
    </row>
    <row r="52" spans="1:18" ht="15.75">
      <c r="A52" s="1"/>
      <c r="B52" s="55"/>
      <c r="C52" s="33"/>
      <c r="D52" s="57">
        <f>1.49</f>
        <v>1.49</v>
      </c>
      <c r="E52" s="58"/>
      <c r="F52" s="58"/>
      <c r="G52" s="33" t="s">
        <v>98</v>
      </c>
      <c r="H52" s="1"/>
      <c r="M52" s="1"/>
      <c r="R52" s="3"/>
    </row>
    <row r="53" spans="1:18" ht="15.75">
      <c r="A53" s="1"/>
      <c r="B53" s="55"/>
      <c r="C53" s="33"/>
      <c r="D53" s="57">
        <f>36.13</f>
        <v>36.130000000000003</v>
      </c>
      <c r="E53" s="58"/>
      <c r="F53" s="58"/>
      <c r="G53" s="33" t="s">
        <v>111</v>
      </c>
      <c r="H53" s="1"/>
      <c r="M53" s="1"/>
      <c r="R53" s="3"/>
    </row>
    <row r="54" spans="1:18" ht="15.75">
      <c r="A54" s="1"/>
      <c r="B54" s="55"/>
      <c r="C54" s="33"/>
      <c r="D54" s="57">
        <v>18.760000000000002</v>
      </c>
      <c r="E54" s="58"/>
      <c r="F54" s="58"/>
      <c r="G54" s="33" t="s">
        <v>98</v>
      </c>
      <c r="H54" s="1"/>
      <c r="M54" s="1"/>
      <c r="R54" s="3"/>
    </row>
    <row r="55" spans="1:18" ht="15.75">
      <c r="A55" s="1"/>
      <c r="B55" s="55"/>
      <c r="C55" s="33"/>
      <c r="D55" s="57">
        <v>7.95</v>
      </c>
      <c r="E55" s="58"/>
      <c r="F55" s="58"/>
      <c r="G55" s="33" t="s">
        <v>98</v>
      </c>
      <c r="H55" s="1"/>
      <c r="M55" s="1"/>
      <c r="R55" s="3"/>
    </row>
    <row r="56" spans="1:18" ht="15.75">
      <c r="A56" s="1"/>
      <c r="B56" s="55"/>
      <c r="C56" s="33"/>
      <c r="D56" s="57"/>
      <c r="E56" s="58"/>
      <c r="F56" s="58"/>
      <c r="G56" s="33"/>
      <c r="H56" s="1"/>
      <c r="M56" s="1"/>
      <c r="R56" s="3"/>
    </row>
    <row r="57" spans="1:18" ht="15.75">
      <c r="A57" s="1"/>
      <c r="B57" s="55"/>
      <c r="C57" s="33"/>
      <c r="D57" s="57"/>
      <c r="E57" s="58"/>
      <c r="F57" s="58"/>
      <c r="G57" s="33"/>
      <c r="H57" s="1"/>
      <c r="M57" s="1"/>
      <c r="R57" s="3"/>
    </row>
    <row r="58" spans="1:18" ht="15.75">
      <c r="A58" s="1"/>
      <c r="B58" s="55"/>
      <c r="C58" s="33"/>
      <c r="D58" s="57"/>
      <c r="E58" s="58"/>
      <c r="F58" s="58"/>
      <c r="G58" s="33"/>
      <c r="H58" s="1"/>
      <c r="M58" s="1"/>
      <c r="R58" s="3"/>
    </row>
    <row r="59" spans="1:18" ht="16.5" thickBot="1">
      <c r="A59" s="1"/>
      <c r="B59" s="56"/>
      <c r="C59" s="34"/>
      <c r="D59" s="56"/>
      <c r="E59" s="59"/>
      <c r="F59" s="59"/>
      <c r="G59" s="34"/>
      <c r="H59" s="1"/>
      <c r="M59" s="1"/>
      <c r="R59" s="3"/>
    </row>
    <row r="60" spans="1:18" ht="16.5" thickBot="1">
      <c r="A60" s="1"/>
      <c r="B60" s="56">
        <f>SUM(B46:B59)</f>
        <v>420</v>
      </c>
      <c r="C60" s="34" t="s">
        <v>66</v>
      </c>
      <c r="D60" s="56">
        <f>SUM(D46:D59)</f>
        <v>239.60999999999999</v>
      </c>
      <c r="E60" s="56">
        <f>SUM(E46:E59)</f>
        <v>0</v>
      </c>
      <c r="F60" s="56">
        <f>SUM(F46:F59)</f>
        <v>0</v>
      </c>
      <c r="G60" s="34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89" t="str">
        <f>'2018'!A23</f>
        <v>Ocio</v>
      </c>
      <c r="C62" s="290"/>
      <c r="D62" s="290"/>
      <c r="E62" s="290"/>
      <c r="F62" s="290"/>
      <c r="G62" s="291"/>
      <c r="H62" s="1"/>
      <c r="M62" s="1"/>
      <c r="R62" s="3"/>
    </row>
    <row r="63" spans="1:18" ht="16.149999999999999" customHeight="1" thickBot="1">
      <c r="A63" s="1"/>
      <c r="B63" s="292"/>
      <c r="C63" s="293"/>
      <c r="D63" s="293"/>
      <c r="E63" s="293"/>
      <c r="F63" s="293"/>
      <c r="G63" s="294"/>
      <c r="H63" s="1"/>
      <c r="M63" s="1"/>
      <c r="R63" s="3"/>
    </row>
    <row r="64" spans="1:18" ht="15.75">
      <c r="A64" s="1"/>
      <c r="B64" s="297" t="s">
        <v>10</v>
      </c>
      <c r="C64" s="296"/>
      <c r="D64" s="295" t="s">
        <v>11</v>
      </c>
      <c r="E64" s="295"/>
      <c r="F64" s="295"/>
      <c r="G64" s="296"/>
      <c r="H64" s="1"/>
      <c r="M64" s="1"/>
      <c r="R64" s="3"/>
    </row>
    <row r="65" spans="1:18" ht="15.75">
      <c r="A65" s="1"/>
      <c r="B65" s="52" t="s">
        <v>32</v>
      </c>
      <c r="C65" s="60" t="s">
        <v>33</v>
      </c>
      <c r="D65" s="52" t="s">
        <v>68</v>
      </c>
      <c r="E65" s="53" t="s">
        <v>69</v>
      </c>
      <c r="F65" s="53" t="s">
        <v>32</v>
      </c>
      <c r="G65" s="60" t="s">
        <v>33</v>
      </c>
      <c r="H65" s="1"/>
      <c r="M65" s="1"/>
      <c r="R65" s="3"/>
    </row>
    <row r="66" spans="1:18" ht="15.75">
      <c r="A66" s="1"/>
      <c r="B66" s="54">
        <v>150</v>
      </c>
      <c r="C66" s="36" t="s">
        <v>36</v>
      </c>
      <c r="D66" s="57">
        <f>31.75</f>
        <v>31.75</v>
      </c>
      <c r="E66" s="58">
        <v>56.4</v>
      </c>
      <c r="F66" s="58"/>
      <c r="G66" s="36" t="s">
        <v>207</v>
      </c>
      <c r="H66" s="1"/>
      <c r="M66" s="1"/>
      <c r="R66" s="3"/>
    </row>
    <row r="67" spans="1:18" ht="15.75">
      <c r="A67" s="1"/>
      <c r="B67" s="55"/>
      <c r="C67" s="33"/>
      <c r="D67" s="57"/>
      <c r="E67" s="58"/>
      <c r="F67" s="58">
        <f>9</f>
        <v>9</v>
      </c>
      <c r="G67" s="70" t="s">
        <v>365</v>
      </c>
      <c r="H67" s="1"/>
      <c r="M67" s="1"/>
      <c r="R67" s="3"/>
    </row>
    <row r="68" spans="1:18" ht="15.75">
      <c r="A68" s="1"/>
      <c r="B68" s="55">
        <f>150+73</f>
        <v>223</v>
      </c>
      <c r="C68" s="33" t="s">
        <v>367</v>
      </c>
      <c r="D68" s="57">
        <f>50+100</f>
        <v>150</v>
      </c>
      <c r="E68" s="58"/>
      <c r="F68" s="58">
        <f>35+38</f>
        <v>73</v>
      </c>
      <c r="G68" s="33" t="s">
        <v>367</v>
      </c>
      <c r="H68" s="1"/>
      <c r="M68" s="1"/>
      <c r="R68" s="3"/>
    </row>
    <row r="69" spans="1:18" ht="15.75">
      <c r="A69" s="1"/>
      <c r="B69" s="55"/>
      <c r="C69" s="33"/>
      <c r="D69" s="57">
        <f>8.25</f>
        <v>8.25</v>
      </c>
      <c r="E69" s="58"/>
      <c r="F69" s="58"/>
      <c r="G69" s="33" t="s">
        <v>368</v>
      </c>
      <c r="H69" s="1"/>
      <c r="M69" s="1"/>
      <c r="R69" s="3"/>
    </row>
    <row r="70" spans="1:18" ht="15.75">
      <c r="A70" s="1"/>
      <c r="B70" s="55"/>
      <c r="C70" s="33"/>
      <c r="D70" s="57"/>
      <c r="E70" s="58"/>
      <c r="F70" s="58">
        <f>6+4.5+8.4+4.1</f>
        <v>23</v>
      </c>
      <c r="G70" s="33" t="s">
        <v>377</v>
      </c>
      <c r="H70" s="1"/>
      <c r="M70" s="1"/>
      <c r="R70" s="3"/>
    </row>
    <row r="71" spans="1:18" ht="15.75">
      <c r="A71" s="1"/>
      <c r="B71" s="55"/>
      <c r="C71" s="33"/>
      <c r="D71" s="57"/>
      <c r="E71" s="58"/>
      <c r="F71" s="58">
        <f>5.58</f>
        <v>5.58</v>
      </c>
      <c r="G71" s="33" t="s">
        <v>338</v>
      </c>
      <c r="H71" s="1"/>
      <c r="M71" s="1"/>
      <c r="R71" s="3"/>
    </row>
    <row r="72" spans="1:18" ht="15.75">
      <c r="A72" s="1"/>
      <c r="B72" s="55"/>
      <c r="C72" s="33"/>
      <c r="D72" s="57">
        <v>17</v>
      </c>
      <c r="E72" s="58"/>
      <c r="F72" s="58"/>
      <c r="G72" s="33" t="s">
        <v>87</v>
      </c>
      <c r="H72" s="1"/>
      <c r="M72" s="1"/>
      <c r="R72" s="3"/>
    </row>
    <row r="73" spans="1:18" ht="15.75">
      <c r="A73" s="1"/>
      <c r="B73" s="55"/>
      <c r="C73" s="33"/>
      <c r="D73" s="57"/>
      <c r="E73" s="58"/>
      <c r="F73" s="58"/>
      <c r="G73" s="33"/>
      <c r="H73" s="1"/>
      <c r="M73" s="1"/>
      <c r="R73" s="3"/>
    </row>
    <row r="74" spans="1:18" ht="15.75">
      <c r="A74" s="1"/>
      <c r="B74" s="55"/>
      <c r="C74" s="33"/>
      <c r="D74" s="57"/>
      <c r="E74" s="58"/>
      <c r="F74" s="58"/>
      <c r="G74" s="33"/>
      <c r="H74" s="1"/>
      <c r="M74" s="1"/>
      <c r="R74" s="3"/>
    </row>
    <row r="75" spans="1:18" ht="15.75">
      <c r="A75" s="1"/>
      <c r="B75" s="55"/>
      <c r="C75" s="33"/>
      <c r="D75" s="57"/>
      <c r="E75" s="58"/>
      <c r="F75" s="58"/>
      <c r="G75" s="33"/>
      <c r="H75" s="1"/>
      <c r="M75" s="1"/>
      <c r="R75" s="3"/>
    </row>
    <row r="76" spans="1:18" ht="15.75">
      <c r="A76" s="1"/>
      <c r="B76" s="55"/>
      <c r="C76" s="33"/>
      <c r="D76" s="57"/>
      <c r="E76" s="58"/>
      <c r="F76" s="58"/>
      <c r="G76" s="33"/>
      <c r="H76" s="1"/>
      <c r="M76" s="1"/>
      <c r="R76" s="3"/>
    </row>
    <row r="77" spans="1:18" ht="15.75">
      <c r="A77" s="1"/>
      <c r="B77" s="55"/>
      <c r="C77" s="33"/>
      <c r="D77" s="57"/>
      <c r="E77" s="58"/>
      <c r="F77" s="58"/>
      <c r="G77" s="33"/>
      <c r="H77" s="1"/>
      <c r="M77" s="1"/>
      <c r="R77" s="3"/>
    </row>
    <row r="78" spans="1:18" ht="15.75">
      <c r="A78" s="1"/>
      <c r="B78" s="55"/>
      <c r="C78" s="33"/>
      <c r="D78" s="57"/>
      <c r="E78" s="58"/>
      <c r="F78" s="58"/>
      <c r="G78" s="33"/>
      <c r="H78" s="1"/>
      <c r="M78" s="1"/>
      <c r="R78" s="3"/>
    </row>
    <row r="79" spans="1:18" ht="16.5" thickBot="1">
      <c r="A79" s="1"/>
      <c r="B79" s="56"/>
      <c r="C79" s="34"/>
      <c r="D79" s="56"/>
      <c r="E79" s="59"/>
      <c r="F79" s="59"/>
      <c r="G79" s="34"/>
      <c r="H79" s="1"/>
      <c r="M79" s="1"/>
      <c r="R79" s="3"/>
    </row>
    <row r="80" spans="1:18" ht="16.5" thickBot="1">
      <c r="A80" s="1"/>
      <c r="B80" s="56">
        <f>SUM(B66:B79)</f>
        <v>373</v>
      </c>
      <c r="C80" s="34" t="s">
        <v>66</v>
      </c>
      <c r="D80" s="56">
        <f>SUM(D66:D79)</f>
        <v>207</v>
      </c>
      <c r="E80" s="56">
        <f>SUM(E66:E79)</f>
        <v>56.4</v>
      </c>
      <c r="F80" s="56">
        <f>SUM(F66:F79)</f>
        <v>110.58</v>
      </c>
      <c r="G80" s="34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89" t="str">
        <f>'2018'!A24</f>
        <v>Transportes</v>
      </c>
      <c r="C82" s="290"/>
      <c r="D82" s="290"/>
      <c r="E82" s="290"/>
      <c r="F82" s="290"/>
      <c r="G82" s="291"/>
      <c r="H82" s="1"/>
      <c r="M82" s="1"/>
      <c r="R82" s="3"/>
    </row>
    <row r="83" spans="1:18" ht="16.149999999999999" customHeight="1" thickBot="1">
      <c r="A83" s="1"/>
      <c r="B83" s="292"/>
      <c r="C83" s="293"/>
      <c r="D83" s="293"/>
      <c r="E83" s="293"/>
      <c r="F83" s="293"/>
      <c r="G83" s="294"/>
      <c r="H83" s="1"/>
      <c r="M83" s="1"/>
      <c r="R83" s="3"/>
    </row>
    <row r="84" spans="1:18" ht="15.75">
      <c r="A84" s="1"/>
      <c r="B84" s="297" t="s">
        <v>10</v>
      </c>
      <c r="C84" s="296"/>
      <c r="D84" s="295" t="s">
        <v>11</v>
      </c>
      <c r="E84" s="295"/>
      <c r="F84" s="295"/>
      <c r="G84" s="296"/>
      <c r="H84" s="1"/>
      <c r="M84" s="1"/>
      <c r="R84" s="3"/>
    </row>
    <row r="85" spans="1:18" ht="15.75">
      <c r="A85" s="1"/>
      <c r="B85" s="52" t="s">
        <v>32</v>
      </c>
      <c r="C85" s="60" t="s">
        <v>33</v>
      </c>
      <c r="D85" s="52" t="s">
        <v>68</v>
      </c>
      <c r="E85" s="53" t="s">
        <v>69</v>
      </c>
      <c r="F85" s="53" t="s">
        <v>32</v>
      </c>
      <c r="G85" s="60" t="s">
        <v>33</v>
      </c>
      <c r="H85" s="1"/>
      <c r="M85" s="1"/>
      <c r="R85" s="3"/>
    </row>
    <row r="86" spans="1:18" ht="15.75">
      <c r="A86" s="1"/>
      <c r="B86" s="54">
        <v>140</v>
      </c>
      <c r="C86" s="36" t="s">
        <v>51</v>
      </c>
      <c r="D86" s="57">
        <f>52.98+43.86+49.88+45.08</f>
        <v>191.8</v>
      </c>
      <c r="E86" s="58"/>
      <c r="F86" s="58"/>
      <c r="G86" s="33" t="s">
        <v>52</v>
      </c>
      <c r="H86" s="1"/>
      <c r="M86" s="1"/>
      <c r="R86" s="3"/>
    </row>
    <row r="87" spans="1:18" ht="15.75">
      <c r="A87" s="1"/>
      <c r="B87" s="55"/>
      <c r="C87" s="33"/>
      <c r="D87" s="57"/>
      <c r="E87" s="58"/>
      <c r="F87" s="58"/>
      <c r="G87" s="33" t="s">
        <v>53</v>
      </c>
      <c r="H87" s="1"/>
      <c r="M87" s="1"/>
      <c r="R87" s="3"/>
    </row>
    <row r="88" spans="1:18" ht="15.75">
      <c r="A88" s="1"/>
      <c r="B88" s="55"/>
      <c r="C88" s="33"/>
      <c r="D88" s="57"/>
      <c r="E88" s="58"/>
      <c r="F88" s="58"/>
      <c r="G88" s="33" t="s">
        <v>54</v>
      </c>
      <c r="H88" s="1"/>
      <c r="M88" s="1"/>
      <c r="R88" s="3"/>
    </row>
    <row r="89" spans="1:18" ht="15.75">
      <c r="A89" s="1"/>
      <c r="B89" s="55"/>
      <c r="C89" s="33"/>
      <c r="D89" s="57"/>
      <c r="E89" s="58"/>
      <c r="F89" s="58"/>
      <c r="G89" s="33" t="s">
        <v>90</v>
      </c>
      <c r="H89" s="1"/>
      <c r="M89" s="1"/>
      <c r="R89" s="3"/>
    </row>
    <row r="90" spans="1:18" ht="15.75">
      <c r="A90" s="1"/>
      <c r="B90" s="55"/>
      <c r="C90" s="33"/>
      <c r="D90" s="57"/>
      <c r="E90" s="58"/>
      <c r="F90" s="58"/>
      <c r="G90" s="33" t="s">
        <v>203</v>
      </c>
      <c r="H90" s="1"/>
      <c r="M90" s="1"/>
      <c r="R90" s="3"/>
    </row>
    <row r="91" spans="1:18" ht="15.75">
      <c r="A91" s="1"/>
      <c r="B91" s="55"/>
      <c r="C91" s="33"/>
      <c r="D91" s="57"/>
      <c r="E91" s="58"/>
      <c r="F91" s="58"/>
      <c r="G91" s="33"/>
      <c r="H91" s="1"/>
      <c r="M91" s="1"/>
      <c r="R91" s="3"/>
    </row>
    <row r="92" spans="1:18" ht="15.75">
      <c r="A92" s="1"/>
      <c r="B92" s="55"/>
      <c r="C92" s="33"/>
      <c r="D92" s="57"/>
      <c r="E92" s="58"/>
      <c r="F92" s="58"/>
      <c r="G92" s="33"/>
      <c r="H92" s="1"/>
      <c r="M92" s="1"/>
      <c r="R92" s="3"/>
    </row>
    <row r="93" spans="1:18" ht="15.75">
      <c r="A93" s="1"/>
      <c r="B93" s="55"/>
      <c r="C93" s="33"/>
      <c r="D93" s="57"/>
      <c r="E93" s="58"/>
      <c r="F93" s="58"/>
      <c r="G93" s="33"/>
      <c r="H93" s="1"/>
      <c r="M93" s="1"/>
      <c r="R93" s="3"/>
    </row>
    <row r="94" spans="1:18" ht="15.75">
      <c r="A94" s="1"/>
      <c r="B94" s="55"/>
      <c r="C94" s="33"/>
      <c r="D94" s="57"/>
      <c r="E94" s="58"/>
      <c r="F94" s="58"/>
      <c r="G94" s="33"/>
      <c r="H94" s="1"/>
      <c r="M94" s="1"/>
      <c r="R94" s="3"/>
    </row>
    <row r="95" spans="1:18" ht="15.75">
      <c r="A95" s="1"/>
      <c r="B95" s="55"/>
      <c r="C95" s="33"/>
      <c r="D95" s="57"/>
      <c r="E95" s="58"/>
      <c r="F95" s="58"/>
      <c r="G95" s="33"/>
      <c r="H95" s="1"/>
      <c r="M95" s="1"/>
      <c r="R95" s="3"/>
    </row>
    <row r="96" spans="1:18" ht="15.75">
      <c r="A96" s="1"/>
      <c r="B96" s="55"/>
      <c r="C96" s="33"/>
      <c r="D96" s="57"/>
      <c r="E96" s="58"/>
      <c r="F96" s="58"/>
      <c r="G96" s="33"/>
      <c r="H96" s="1"/>
      <c r="M96" s="1"/>
      <c r="R96" s="3"/>
    </row>
    <row r="97" spans="1:18" ht="15.75">
      <c r="A97" s="1"/>
      <c r="B97" s="55"/>
      <c r="C97" s="33"/>
      <c r="D97" s="57"/>
      <c r="E97" s="58"/>
      <c r="F97" s="58"/>
      <c r="G97" s="33"/>
      <c r="H97" s="1"/>
      <c r="M97" s="1"/>
      <c r="R97" s="3"/>
    </row>
    <row r="98" spans="1:18" ht="15.75">
      <c r="A98" s="1"/>
      <c r="B98" s="55"/>
      <c r="C98" s="33"/>
      <c r="D98" s="57"/>
      <c r="E98" s="58"/>
      <c r="F98" s="58"/>
      <c r="G98" s="33"/>
      <c r="H98" s="1"/>
      <c r="M98" s="1"/>
      <c r="R98" s="3"/>
    </row>
    <row r="99" spans="1:18" ht="16.5" thickBot="1">
      <c r="A99" s="1"/>
      <c r="B99" s="56"/>
      <c r="C99" s="34"/>
      <c r="D99" s="56"/>
      <c r="E99" s="59"/>
      <c r="F99" s="59"/>
      <c r="G99" s="34"/>
      <c r="H99" s="1"/>
      <c r="M99" s="1"/>
      <c r="R99" s="3"/>
    </row>
    <row r="100" spans="1:18" ht="16.5" thickBot="1">
      <c r="A100" s="1"/>
      <c r="B100" s="56">
        <f>SUM(B86:B99)</f>
        <v>140</v>
      </c>
      <c r="C100" s="34" t="s">
        <v>66</v>
      </c>
      <c r="D100" s="56">
        <f>SUM(D86:D99)</f>
        <v>191.8</v>
      </c>
      <c r="E100" s="56">
        <f>SUM(E86:E99)</f>
        <v>0</v>
      </c>
      <c r="F100" s="56">
        <f>SUM(F86:F99)</f>
        <v>0</v>
      </c>
      <c r="G100" s="34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89" t="str">
        <f>'2018'!A25</f>
        <v>Coche</v>
      </c>
      <c r="C102" s="290"/>
      <c r="D102" s="290"/>
      <c r="E102" s="290"/>
      <c r="F102" s="290"/>
      <c r="G102" s="291"/>
      <c r="H102" s="1"/>
      <c r="M102" s="1"/>
      <c r="R102" s="3"/>
    </row>
    <row r="103" spans="1:18" ht="16.149999999999999" customHeight="1" thickBot="1">
      <c r="A103" s="1"/>
      <c r="B103" s="292"/>
      <c r="C103" s="293"/>
      <c r="D103" s="293"/>
      <c r="E103" s="293"/>
      <c r="F103" s="293"/>
      <c r="G103" s="294"/>
      <c r="H103" s="1"/>
      <c r="M103" s="1"/>
      <c r="R103" s="3"/>
    </row>
    <row r="104" spans="1:18" ht="15.75">
      <c r="A104" s="1"/>
      <c r="B104" s="297" t="s">
        <v>10</v>
      </c>
      <c r="C104" s="296"/>
      <c r="D104" s="295" t="s">
        <v>11</v>
      </c>
      <c r="E104" s="295"/>
      <c r="F104" s="295"/>
      <c r="G104" s="296"/>
      <c r="H104" s="1"/>
      <c r="M104" s="1"/>
      <c r="R104" s="3"/>
    </row>
    <row r="105" spans="1:18" ht="15.75">
      <c r="A105" s="1"/>
      <c r="B105" s="52" t="s">
        <v>32</v>
      </c>
      <c r="C105" s="60" t="s">
        <v>33</v>
      </c>
      <c r="D105" s="52" t="s">
        <v>68</v>
      </c>
      <c r="E105" s="53" t="s">
        <v>69</v>
      </c>
      <c r="F105" s="53" t="s">
        <v>32</v>
      </c>
      <c r="G105" s="60" t="s">
        <v>33</v>
      </c>
      <c r="H105" s="1"/>
      <c r="M105" s="1"/>
      <c r="R105" s="3"/>
    </row>
    <row r="106" spans="1:18" ht="15.75">
      <c r="A106" s="1"/>
      <c r="B106" s="54">
        <v>260</v>
      </c>
      <c r="C106" s="35" t="s">
        <v>55</v>
      </c>
      <c r="D106" s="57">
        <v>258.47000000000003</v>
      </c>
      <c r="E106" s="58"/>
      <c r="F106" s="58"/>
      <c r="G106" s="70" t="s">
        <v>55</v>
      </c>
      <c r="H106" s="1"/>
      <c r="M106" s="1"/>
      <c r="R106" s="3"/>
    </row>
    <row r="107" spans="1:18" ht="15.75">
      <c r="A107" s="1"/>
      <c r="B107" s="55">
        <v>71</v>
      </c>
      <c r="C107" s="35" t="s">
        <v>56</v>
      </c>
      <c r="D107" s="57">
        <v>70.349999999999994</v>
      </c>
      <c r="E107" s="58"/>
      <c r="F107" s="58"/>
      <c r="G107" s="70" t="s">
        <v>56</v>
      </c>
      <c r="H107" s="1"/>
      <c r="M107" s="1"/>
      <c r="R107" s="3"/>
    </row>
    <row r="108" spans="1:18" ht="15.75">
      <c r="A108" s="1"/>
      <c r="B108" s="55">
        <v>69</v>
      </c>
      <c r="C108" s="35" t="s">
        <v>46</v>
      </c>
      <c r="D108" s="57"/>
      <c r="E108" s="58"/>
      <c r="F108" s="58"/>
      <c r="G108" s="73" t="s">
        <v>88</v>
      </c>
      <c r="H108" s="1"/>
      <c r="M108" s="1"/>
      <c r="R108" s="3"/>
    </row>
    <row r="109" spans="1:18" ht="15.75">
      <c r="A109" s="1"/>
      <c r="B109" s="55"/>
      <c r="C109" s="35"/>
      <c r="D109" s="57"/>
      <c r="E109" s="58"/>
      <c r="F109" s="58"/>
      <c r="G109" s="70"/>
      <c r="H109" s="1"/>
      <c r="M109" s="1"/>
      <c r="R109" s="3"/>
    </row>
    <row r="110" spans="1:18" ht="15.75">
      <c r="A110" s="1"/>
      <c r="B110" s="55"/>
      <c r="C110" s="35"/>
      <c r="D110" s="57"/>
      <c r="E110" s="58"/>
      <c r="F110" s="58"/>
      <c r="G110" s="70"/>
      <c r="H110" s="1"/>
      <c r="M110" s="1"/>
      <c r="R110" s="3"/>
    </row>
    <row r="111" spans="1:18" ht="15.75">
      <c r="A111" s="1"/>
      <c r="B111" s="55"/>
      <c r="C111" s="66"/>
      <c r="D111" s="57"/>
      <c r="E111" s="58"/>
      <c r="F111" s="58"/>
      <c r="G111" s="73"/>
      <c r="H111" s="1"/>
      <c r="M111" s="1"/>
      <c r="R111" s="3"/>
    </row>
    <row r="112" spans="1:18" ht="15.75">
      <c r="A112" s="1"/>
      <c r="B112" s="55"/>
      <c r="C112" s="71"/>
      <c r="D112" s="57"/>
      <c r="E112" s="58"/>
      <c r="F112" s="58"/>
      <c r="G112" s="70"/>
      <c r="H112" s="1"/>
      <c r="M112" s="1"/>
      <c r="R112" s="3"/>
    </row>
    <row r="113" spans="1:18" ht="15.75">
      <c r="A113" s="1"/>
      <c r="B113" s="55"/>
      <c r="C113" s="72"/>
      <c r="D113" s="57"/>
      <c r="E113" s="58"/>
      <c r="F113" s="58"/>
      <c r="G113" s="70"/>
      <c r="H113" s="1"/>
      <c r="M113" s="1"/>
      <c r="R113" s="3"/>
    </row>
    <row r="114" spans="1:18" ht="15.75">
      <c r="A114" s="1"/>
      <c r="B114" s="55"/>
      <c r="C114" s="71"/>
      <c r="D114" s="57"/>
      <c r="E114" s="58"/>
      <c r="F114" s="58"/>
      <c r="G114" s="70"/>
      <c r="H114" s="1"/>
      <c r="M114" s="1"/>
      <c r="R114" s="3"/>
    </row>
    <row r="115" spans="1:18" ht="15.75">
      <c r="A115" s="1"/>
      <c r="B115" s="55"/>
      <c r="C115" s="66"/>
      <c r="D115" s="57"/>
      <c r="E115" s="58"/>
      <c r="F115" s="58"/>
      <c r="G115" s="33"/>
      <c r="H115" s="1"/>
      <c r="M115" s="1"/>
      <c r="R115" s="3"/>
    </row>
    <row r="116" spans="1:18" ht="15.75">
      <c r="A116" s="1"/>
      <c r="B116" s="55"/>
      <c r="C116" s="35"/>
      <c r="D116" s="57"/>
      <c r="E116" s="58"/>
      <c r="F116" s="58"/>
      <c r="G116" s="33"/>
      <c r="H116" s="1"/>
      <c r="M116" s="1"/>
      <c r="R116" s="3"/>
    </row>
    <row r="117" spans="1:18" ht="15.75">
      <c r="A117" s="1"/>
      <c r="B117" s="55"/>
      <c r="C117" s="35"/>
      <c r="D117" s="57"/>
      <c r="E117" s="58"/>
      <c r="F117" s="58"/>
      <c r="G117" s="33"/>
      <c r="H117" s="1"/>
      <c r="M117" s="1"/>
      <c r="R117" s="3"/>
    </row>
    <row r="118" spans="1:18" ht="15.75">
      <c r="A118" s="1"/>
      <c r="B118" s="55"/>
      <c r="C118" s="35"/>
      <c r="D118" s="57"/>
      <c r="E118" s="58"/>
      <c r="F118" s="58"/>
      <c r="G118" s="33"/>
      <c r="H118" s="1"/>
      <c r="M118" s="1"/>
      <c r="R118" s="3"/>
    </row>
    <row r="119" spans="1:18" ht="16.5" thickBot="1">
      <c r="A119" s="1"/>
      <c r="B119" s="56"/>
      <c r="C119" s="37"/>
      <c r="D119" s="56"/>
      <c r="E119" s="59"/>
      <c r="F119" s="59"/>
      <c r="G119" s="34"/>
      <c r="H119" s="1"/>
      <c r="M119" s="1"/>
      <c r="R119" s="3"/>
    </row>
    <row r="120" spans="1:18" ht="16.5" thickBot="1">
      <c r="A120" s="1"/>
      <c r="B120" s="56">
        <f>SUM(B106:B119)</f>
        <v>400</v>
      </c>
      <c r="C120" s="34" t="s">
        <v>66</v>
      </c>
      <c r="D120" s="56">
        <f>SUM(D106:D119)</f>
        <v>328.82000000000005</v>
      </c>
      <c r="E120" s="56">
        <f>SUM(E106:E119)</f>
        <v>0</v>
      </c>
      <c r="F120" s="56">
        <f>SUM(F106:F119)</f>
        <v>0</v>
      </c>
      <c r="G120" s="34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89" t="str">
        <f>'2018'!A26</f>
        <v>Teléfono</v>
      </c>
      <c r="C122" s="290"/>
      <c r="D122" s="290"/>
      <c r="E122" s="290"/>
      <c r="F122" s="290"/>
      <c r="G122" s="291"/>
      <c r="H122" s="1"/>
      <c r="M122" s="1"/>
      <c r="R122" s="3"/>
    </row>
    <row r="123" spans="1:18" ht="16.149999999999999" customHeight="1" thickBot="1">
      <c r="A123" s="1"/>
      <c r="B123" s="292"/>
      <c r="C123" s="293"/>
      <c r="D123" s="293"/>
      <c r="E123" s="293"/>
      <c r="F123" s="293"/>
      <c r="G123" s="294"/>
      <c r="H123" s="1"/>
      <c r="M123" s="1"/>
      <c r="R123" s="3"/>
    </row>
    <row r="124" spans="1:18" ht="15.75">
      <c r="A124" s="1"/>
      <c r="B124" s="297" t="s">
        <v>10</v>
      </c>
      <c r="C124" s="296"/>
      <c r="D124" s="295" t="s">
        <v>11</v>
      </c>
      <c r="E124" s="295"/>
      <c r="F124" s="295"/>
      <c r="G124" s="296"/>
      <c r="H124" s="1"/>
      <c r="M124" s="1"/>
      <c r="R124" s="3"/>
    </row>
    <row r="125" spans="1:18" ht="15.75">
      <c r="A125" s="1"/>
      <c r="B125" s="52" t="s">
        <v>32</v>
      </c>
      <c r="C125" s="60" t="s">
        <v>33</v>
      </c>
      <c r="D125" s="52" t="s">
        <v>68</v>
      </c>
      <c r="E125" s="53" t="s">
        <v>69</v>
      </c>
      <c r="F125" s="53" t="s">
        <v>32</v>
      </c>
      <c r="G125" s="60" t="s">
        <v>33</v>
      </c>
      <c r="H125" s="1"/>
      <c r="M125" s="1"/>
      <c r="R125" s="3"/>
    </row>
    <row r="126" spans="1:18" ht="15.75">
      <c r="A126" s="1"/>
      <c r="B126" s="54">
        <v>27.5</v>
      </c>
      <c r="C126" s="36" t="s">
        <v>57</v>
      </c>
      <c r="D126" s="57">
        <v>27.5</v>
      </c>
      <c r="E126" s="58"/>
      <c r="F126" s="58"/>
      <c r="G126" s="33" t="s">
        <v>57</v>
      </c>
      <c r="H126" s="1"/>
      <c r="M126" s="1"/>
      <c r="R126" s="3"/>
    </row>
    <row r="127" spans="1:18" ht="15.75">
      <c r="A127" s="1"/>
      <c r="B127" s="55">
        <v>12.5</v>
      </c>
      <c r="C127" s="33" t="s">
        <v>58</v>
      </c>
      <c r="D127" s="57"/>
      <c r="E127" s="58"/>
      <c r="F127" s="58"/>
      <c r="G127" s="33" t="s">
        <v>58</v>
      </c>
      <c r="H127" s="1"/>
      <c r="M127" s="1"/>
      <c r="R127" s="3"/>
    </row>
    <row r="128" spans="1:18" ht="15.75">
      <c r="A128" s="1"/>
      <c r="B128" s="55">
        <v>8</v>
      </c>
      <c r="C128" s="33" t="s">
        <v>337</v>
      </c>
      <c r="D128" s="57"/>
      <c r="E128" s="58">
        <v>8</v>
      </c>
      <c r="F128" s="58"/>
      <c r="G128" s="33" t="s">
        <v>337</v>
      </c>
      <c r="H128" s="1"/>
      <c r="M128" s="1"/>
      <c r="R128" s="3"/>
    </row>
    <row r="129" spans="1:18" ht="15.75">
      <c r="A129" s="1"/>
      <c r="B129" s="55"/>
      <c r="C129" s="33"/>
      <c r="D129" s="57"/>
      <c r="E129" s="58"/>
      <c r="F129" s="58"/>
      <c r="G129" s="33"/>
      <c r="H129" s="1"/>
      <c r="M129" s="1"/>
      <c r="R129" s="3"/>
    </row>
    <row r="130" spans="1:18" ht="15.75">
      <c r="A130" s="1"/>
      <c r="B130" s="55"/>
      <c r="C130" s="33"/>
      <c r="D130" s="57"/>
      <c r="E130" s="58"/>
      <c r="F130" s="58"/>
      <c r="G130" s="33"/>
      <c r="H130" s="1"/>
      <c r="M130" s="1"/>
      <c r="R130" s="3"/>
    </row>
    <row r="131" spans="1:18" ht="15.75">
      <c r="A131" s="1"/>
      <c r="B131" s="55"/>
      <c r="C131" s="33"/>
      <c r="D131" s="57"/>
      <c r="E131" s="58"/>
      <c r="F131" s="58"/>
      <c r="G131" s="33"/>
      <c r="H131" s="1"/>
      <c r="M131" s="1"/>
      <c r="R131" s="3"/>
    </row>
    <row r="132" spans="1:18" ht="15.75">
      <c r="A132" s="1"/>
      <c r="B132" s="55"/>
      <c r="C132" s="33"/>
      <c r="D132" s="57"/>
      <c r="E132" s="58"/>
      <c r="F132" s="58"/>
      <c r="G132" s="33"/>
      <c r="H132" s="1"/>
      <c r="M132" s="1"/>
      <c r="R132" s="3"/>
    </row>
    <row r="133" spans="1:18" ht="15.75">
      <c r="A133" s="1"/>
      <c r="B133" s="55"/>
      <c r="C133" s="33"/>
      <c r="D133" s="57"/>
      <c r="E133" s="58"/>
      <c r="F133" s="58"/>
      <c r="G133" s="33"/>
      <c r="H133" s="1"/>
      <c r="M133" s="1"/>
      <c r="R133" s="3"/>
    </row>
    <row r="134" spans="1:18" ht="15.75">
      <c r="A134" s="1"/>
      <c r="B134" s="55"/>
      <c r="C134" s="33"/>
      <c r="D134" s="57"/>
      <c r="E134" s="58"/>
      <c r="F134" s="58"/>
      <c r="G134" s="33"/>
      <c r="H134" s="1"/>
      <c r="M134" s="1"/>
      <c r="R134" s="3"/>
    </row>
    <row r="135" spans="1:18" ht="15.75">
      <c r="A135" s="1"/>
      <c r="B135" s="55"/>
      <c r="C135" s="33"/>
      <c r="D135" s="57"/>
      <c r="E135" s="58"/>
      <c r="F135" s="58"/>
      <c r="G135" s="33"/>
      <c r="H135" s="1"/>
      <c r="M135" s="1"/>
      <c r="R135" s="3"/>
    </row>
    <row r="136" spans="1:18" ht="15.75">
      <c r="A136" s="1"/>
      <c r="B136" s="55"/>
      <c r="C136" s="33"/>
      <c r="D136" s="57"/>
      <c r="E136" s="58"/>
      <c r="F136" s="58"/>
      <c r="G136" s="33"/>
      <c r="H136" s="1"/>
      <c r="M136" s="1"/>
      <c r="R136" s="3"/>
    </row>
    <row r="137" spans="1:18" ht="15.75">
      <c r="A137" s="1"/>
      <c r="B137" s="55"/>
      <c r="C137" s="33"/>
      <c r="D137" s="57"/>
      <c r="E137" s="58"/>
      <c r="F137" s="58"/>
      <c r="G137" s="33"/>
      <c r="H137" s="1"/>
      <c r="M137" s="1"/>
      <c r="R137" s="3"/>
    </row>
    <row r="138" spans="1:18" ht="15.75">
      <c r="A138" s="1"/>
      <c r="B138" s="55"/>
      <c r="C138" s="33"/>
      <c r="D138" s="57"/>
      <c r="E138" s="58"/>
      <c r="F138" s="58"/>
      <c r="G138" s="33"/>
      <c r="H138" s="1"/>
      <c r="M138" s="1"/>
      <c r="R138" s="3"/>
    </row>
    <row r="139" spans="1:18" ht="16.5" thickBot="1">
      <c r="A139" s="1"/>
      <c r="B139" s="56"/>
      <c r="C139" s="34"/>
      <c r="D139" s="56"/>
      <c r="E139" s="59"/>
      <c r="F139" s="59"/>
      <c r="G139" s="34"/>
      <c r="H139" s="1"/>
      <c r="M139" s="1"/>
      <c r="R139" s="3"/>
    </row>
    <row r="140" spans="1:18" ht="16.5" thickBot="1">
      <c r="A140" s="1"/>
      <c r="B140" s="56">
        <f>SUM(B126:B139)</f>
        <v>48</v>
      </c>
      <c r="C140" s="34" t="s">
        <v>66</v>
      </c>
      <c r="D140" s="56">
        <f>SUM(D126:D139)</f>
        <v>27.5</v>
      </c>
      <c r="E140" s="56">
        <f>SUM(E126:E139)</f>
        <v>8</v>
      </c>
      <c r="F140" s="56">
        <f>SUM(F126:F139)</f>
        <v>0</v>
      </c>
      <c r="G140" s="34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89" t="str">
        <f>'2018'!A27</f>
        <v>Gatos</v>
      </c>
      <c r="C142" s="290"/>
      <c r="D142" s="290"/>
      <c r="E142" s="290"/>
      <c r="F142" s="290"/>
      <c r="G142" s="291"/>
      <c r="H142" s="1"/>
      <c r="M142" s="1"/>
      <c r="R142" s="3"/>
    </row>
    <row r="143" spans="1:18" ht="16.149999999999999" customHeight="1" thickBot="1">
      <c r="A143" s="1"/>
      <c r="B143" s="292"/>
      <c r="C143" s="293"/>
      <c r="D143" s="293"/>
      <c r="E143" s="293"/>
      <c r="F143" s="293"/>
      <c r="G143" s="294"/>
      <c r="H143" s="1"/>
      <c r="M143" s="1"/>
      <c r="R143" s="3"/>
    </row>
    <row r="144" spans="1:18" ht="15.75">
      <c r="A144" s="1"/>
      <c r="B144" s="297" t="s">
        <v>10</v>
      </c>
      <c r="C144" s="296"/>
      <c r="D144" s="295" t="s">
        <v>11</v>
      </c>
      <c r="E144" s="295"/>
      <c r="F144" s="295"/>
      <c r="G144" s="296"/>
      <c r="H144" s="1"/>
      <c r="M144" s="1"/>
      <c r="R144" s="3"/>
    </row>
    <row r="145" spans="1:22" ht="15.75">
      <c r="A145" s="1"/>
      <c r="B145" s="52" t="s">
        <v>32</v>
      </c>
      <c r="C145" s="60" t="s">
        <v>33</v>
      </c>
      <c r="D145" s="52" t="s">
        <v>68</v>
      </c>
      <c r="E145" s="53" t="s">
        <v>69</v>
      </c>
      <c r="F145" s="53" t="s">
        <v>32</v>
      </c>
      <c r="G145" s="60" t="s">
        <v>33</v>
      </c>
      <c r="H145" s="1"/>
      <c r="M145" s="1"/>
      <c r="R145" s="3"/>
    </row>
    <row r="146" spans="1:22" ht="15.75">
      <c r="A146" s="1"/>
      <c r="B146" s="54">
        <v>50</v>
      </c>
      <c r="C146" s="36" t="s">
        <v>43</v>
      </c>
      <c r="D146" s="57"/>
      <c r="E146" s="58"/>
      <c r="F146" s="58"/>
      <c r="G146" s="33" t="s">
        <v>48</v>
      </c>
      <c r="H146" s="1"/>
      <c r="M146" s="1"/>
      <c r="R146" s="3"/>
    </row>
    <row r="147" spans="1:22" ht="15.75">
      <c r="A147" s="1"/>
      <c r="B147" s="55"/>
      <c r="C147" s="33"/>
      <c r="D147" s="57"/>
      <c r="E147" s="58"/>
      <c r="F147" s="58"/>
      <c r="G147" s="33" t="s">
        <v>61</v>
      </c>
      <c r="H147" s="1"/>
      <c r="M147" s="1"/>
      <c r="R147" s="3"/>
    </row>
    <row r="148" spans="1:22" ht="15.75">
      <c r="A148" s="1"/>
      <c r="B148" s="55"/>
      <c r="C148" s="33"/>
      <c r="D148" s="57"/>
      <c r="E148" s="58"/>
      <c r="F148" s="58"/>
      <c r="G148" s="33" t="s">
        <v>47</v>
      </c>
      <c r="H148" s="1"/>
      <c r="M148" s="1"/>
      <c r="R148" s="3"/>
    </row>
    <row r="149" spans="1:22" ht="15.75">
      <c r="A149" s="1"/>
      <c r="B149" s="55"/>
      <c r="C149" s="33"/>
      <c r="D149" s="57"/>
      <c r="E149" s="58"/>
      <c r="F149" s="58"/>
      <c r="G149" s="33"/>
      <c r="H149" s="1"/>
      <c r="M149" s="1"/>
      <c r="R149" s="3"/>
    </row>
    <row r="150" spans="1:22" ht="15.75">
      <c r="A150" s="1"/>
      <c r="B150" s="55"/>
      <c r="C150" s="33"/>
      <c r="D150" s="57"/>
      <c r="E150" s="58"/>
      <c r="F150" s="58"/>
      <c r="G150" s="33"/>
      <c r="H150" s="1"/>
      <c r="M150" s="1"/>
      <c r="R150" s="3"/>
    </row>
    <row r="151" spans="1:22" ht="15.75">
      <c r="A151" s="1"/>
      <c r="B151" s="55"/>
      <c r="C151" s="33"/>
      <c r="D151" s="57"/>
      <c r="E151" s="58"/>
      <c r="F151" s="58"/>
      <c r="G151" s="33"/>
      <c r="H151" s="1"/>
      <c r="M151" s="1"/>
      <c r="R151" s="3"/>
    </row>
    <row r="152" spans="1:22" ht="15.75">
      <c r="A152" s="1"/>
      <c r="B152" s="55"/>
      <c r="C152" s="33"/>
      <c r="D152" s="57"/>
      <c r="E152" s="58"/>
      <c r="F152" s="58"/>
      <c r="G152" s="33"/>
      <c r="H152" s="1"/>
      <c r="M152" s="1"/>
      <c r="R152" s="3"/>
    </row>
    <row r="153" spans="1:22" ht="15.75">
      <c r="A153" s="1"/>
      <c r="B153" s="55"/>
      <c r="C153" s="33"/>
      <c r="D153" s="57"/>
      <c r="E153" s="58"/>
      <c r="F153" s="58"/>
      <c r="G153" s="33"/>
      <c r="H153" s="1"/>
      <c r="M153" s="1"/>
      <c r="R153" s="3"/>
    </row>
    <row r="154" spans="1:22" ht="15.75">
      <c r="A154" s="1"/>
      <c r="B154" s="55"/>
      <c r="C154" s="33"/>
      <c r="D154" s="57"/>
      <c r="E154" s="58"/>
      <c r="F154" s="58"/>
      <c r="G154" s="33"/>
      <c r="H154" s="1"/>
      <c r="M154" s="1"/>
      <c r="R154" s="3"/>
    </row>
    <row r="155" spans="1:22" ht="15.75">
      <c r="A155" s="1"/>
      <c r="B155" s="55"/>
      <c r="C155" s="33"/>
      <c r="D155" s="57"/>
      <c r="E155" s="58"/>
      <c r="F155" s="58"/>
      <c r="G155" s="33"/>
      <c r="H155" s="1"/>
      <c r="M155" s="1"/>
      <c r="R155" s="3"/>
    </row>
    <row r="156" spans="1:22" ht="15.75">
      <c r="A156" s="1"/>
      <c r="B156" s="55"/>
      <c r="C156" s="33"/>
      <c r="D156" s="57"/>
      <c r="E156" s="58"/>
      <c r="F156" s="58"/>
      <c r="G156" s="33"/>
      <c r="H156" s="1"/>
      <c r="M156" s="1"/>
      <c r="R156" s="3"/>
    </row>
    <row r="157" spans="1:22" ht="15.75">
      <c r="A157" s="1"/>
      <c r="B157" s="55"/>
      <c r="C157" s="33"/>
      <c r="D157" s="57"/>
      <c r="E157" s="58"/>
      <c r="F157" s="58"/>
      <c r="G157" s="33"/>
      <c r="H157" s="1"/>
      <c r="M157" s="1"/>
      <c r="R157" s="3"/>
    </row>
    <row r="158" spans="1:22" ht="15.75">
      <c r="A158" s="1"/>
      <c r="B158" s="55"/>
      <c r="C158" s="33"/>
      <c r="D158" s="57"/>
      <c r="E158" s="58"/>
      <c r="F158" s="58"/>
      <c r="G158" s="33"/>
      <c r="H158" s="1"/>
      <c r="M158" s="1"/>
      <c r="R158" s="3"/>
    </row>
    <row r="159" spans="1:22" ht="16.5" thickBot="1">
      <c r="A159" s="1"/>
      <c r="B159" s="56"/>
      <c r="C159" s="34"/>
      <c r="D159" s="56"/>
      <c r="E159" s="59"/>
      <c r="F159" s="59"/>
      <c r="G159" s="34"/>
      <c r="H159" s="1"/>
      <c r="M159" s="1"/>
      <c r="R159" s="3"/>
    </row>
    <row r="160" spans="1:22" ht="16.5" thickBot="1">
      <c r="A160" s="1"/>
      <c r="B160" s="56">
        <f>SUM(B146:B159)</f>
        <v>50</v>
      </c>
      <c r="C160" s="34" t="s">
        <v>66</v>
      </c>
      <c r="D160" s="56">
        <f>SUM(D146:D159)</f>
        <v>0</v>
      </c>
      <c r="E160" s="56">
        <f>SUM(E146:E159)</f>
        <v>0</v>
      </c>
      <c r="F160" s="56">
        <f>SUM(F146:F159)</f>
        <v>0</v>
      </c>
      <c r="G160" s="34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89" t="str">
        <f>'2018'!A28</f>
        <v>Vacaciones</v>
      </c>
      <c r="C162" s="290"/>
      <c r="D162" s="290"/>
      <c r="E162" s="290"/>
      <c r="F162" s="290"/>
      <c r="G162" s="29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92"/>
      <c r="C163" s="293"/>
      <c r="D163" s="293"/>
      <c r="E163" s="293"/>
      <c r="F163" s="293"/>
      <c r="G163" s="294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97" t="s">
        <v>10</v>
      </c>
      <c r="C164" s="296"/>
      <c r="D164" s="295" t="s">
        <v>11</v>
      </c>
      <c r="E164" s="295"/>
      <c r="F164" s="295"/>
      <c r="G164" s="29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52" t="s">
        <v>32</v>
      </c>
      <c r="C165" s="60" t="s">
        <v>33</v>
      </c>
      <c r="D165" s="52" t="s">
        <v>68</v>
      </c>
      <c r="E165" s="53" t="s">
        <v>69</v>
      </c>
      <c r="F165" s="53" t="s">
        <v>32</v>
      </c>
      <c r="G165" s="60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54">
        <v>200</v>
      </c>
      <c r="C166" s="36" t="s">
        <v>36</v>
      </c>
      <c r="D166" s="57"/>
      <c r="E166" s="58"/>
      <c r="F166" s="58"/>
      <c r="G166" s="33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55"/>
      <c r="C167" s="33"/>
      <c r="D167" s="57"/>
      <c r="E167" s="58"/>
      <c r="F167" s="58"/>
      <c r="G167" s="33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55"/>
      <c r="C168" s="33"/>
      <c r="D168" s="57"/>
      <c r="E168" s="58"/>
      <c r="F168" s="58"/>
      <c r="G168" s="33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55"/>
      <c r="C169" s="33"/>
      <c r="D169" s="57"/>
      <c r="E169" s="58"/>
      <c r="F169" s="58"/>
      <c r="G169" s="33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55"/>
      <c r="C170" s="33"/>
      <c r="D170" s="57"/>
      <c r="E170" s="58"/>
      <c r="F170" s="58"/>
      <c r="G170" s="33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55"/>
      <c r="C171" s="33"/>
      <c r="D171" s="57"/>
      <c r="E171" s="58"/>
      <c r="F171" s="58"/>
      <c r="G171" s="33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55"/>
      <c r="C172" s="33"/>
      <c r="D172" s="57"/>
      <c r="E172" s="58"/>
      <c r="F172" s="58"/>
      <c r="G172" s="33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55"/>
      <c r="C173" s="33"/>
      <c r="D173" s="57"/>
      <c r="E173" s="58"/>
      <c r="F173" s="58"/>
      <c r="G173" s="33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55"/>
      <c r="C174" s="33"/>
      <c r="D174" s="57"/>
      <c r="E174" s="58"/>
      <c r="F174" s="58"/>
      <c r="G174" s="33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55"/>
      <c r="C175" s="33"/>
      <c r="D175" s="57"/>
      <c r="E175" s="58"/>
      <c r="F175" s="58"/>
      <c r="G175" s="33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55"/>
      <c r="C176" s="33"/>
      <c r="D176" s="57"/>
      <c r="E176" s="58"/>
      <c r="F176" s="58"/>
      <c r="G176" s="33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55"/>
      <c r="C177" s="33"/>
      <c r="D177" s="57"/>
      <c r="E177" s="58"/>
      <c r="F177" s="58"/>
      <c r="G177" s="33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55"/>
      <c r="C178" s="33"/>
      <c r="D178" s="57"/>
      <c r="E178" s="58"/>
      <c r="F178" s="58"/>
      <c r="G178" s="33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56"/>
      <c r="C179" s="34"/>
      <c r="D179" s="56"/>
      <c r="E179" s="59"/>
      <c r="F179" s="59"/>
      <c r="G179" s="34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56">
        <f>SUM(B166:B179)</f>
        <v>200</v>
      </c>
      <c r="C180" s="34" t="s">
        <v>66</v>
      </c>
      <c r="D180" s="56">
        <f>SUM(D166:D179)</f>
        <v>0</v>
      </c>
      <c r="E180" s="56">
        <f>SUM(E166:E179)</f>
        <v>0</v>
      </c>
      <c r="F180" s="56">
        <f>SUM(F166:F179)</f>
        <v>0</v>
      </c>
      <c r="G180" s="34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89" t="str">
        <f>'2018'!A29</f>
        <v>Ropa</v>
      </c>
      <c r="C182" s="290"/>
      <c r="D182" s="290"/>
      <c r="E182" s="290"/>
      <c r="F182" s="290"/>
      <c r="G182" s="29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92"/>
      <c r="C183" s="293"/>
      <c r="D183" s="293"/>
      <c r="E183" s="293"/>
      <c r="F183" s="293"/>
      <c r="G183" s="294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97" t="s">
        <v>10</v>
      </c>
      <c r="C184" s="296"/>
      <c r="D184" s="295" t="s">
        <v>11</v>
      </c>
      <c r="E184" s="295"/>
      <c r="F184" s="295"/>
      <c r="G184" s="29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52" t="s">
        <v>32</v>
      </c>
      <c r="C185" s="60" t="s">
        <v>33</v>
      </c>
      <c r="D185" s="52" t="s">
        <v>68</v>
      </c>
      <c r="E185" s="53" t="s">
        <v>69</v>
      </c>
      <c r="F185" s="53" t="s">
        <v>32</v>
      </c>
      <c r="G185" s="60" t="s">
        <v>33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54">
        <v>60</v>
      </c>
      <c r="C186" s="36" t="s">
        <v>43</v>
      </c>
      <c r="D186" s="57">
        <f>52.75-D286</f>
        <v>37.75</v>
      </c>
      <c r="E186" s="58"/>
      <c r="F186" s="58"/>
      <c r="G186" s="33" t="s">
        <v>362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55"/>
      <c r="C187" s="33"/>
      <c r="D187" s="57"/>
      <c r="E187" s="58"/>
      <c r="F187" s="58">
        <f>15</f>
        <v>15</v>
      </c>
      <c r="G187" s="33" t="s">
        <v>366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55"/>
      <c r="C188" s="33"/>
      <c r="D188" s="57">
        <v>37.5</v>
      </c>
      <c r="E188" s="58"/>
      <c r="F188" s="58"/>
      <c r="G188" s="33" t="s">
        <v>389</v>
      </c>
    </row>
    <row r="189" spans="1:22">
      <c r="B189" s="55"/>
      <c r="C189" s="33"/>
      <c r="D189" s="57">
        <v>18</v>
      </c>
      <c r="E189" s="58"/>
      <c r="F189" s="58"/>
      <c r="G189" s="33" t="s">
        <v>390</v>
      </c>
    </row>
    <row r="190" spans="1:22">
      <c r="B190" s="55"/>
      <c r="C190" s="33"/>
      <c r="D190" s="57"/>
      <c r="E190" s="58"/>
      <c r="F190" s="58"/>
      <c r="G190" s="33"/>
    </row>
    <row r="191" spans="1:22">
      <c r="B191" s="55"/>
      <c r="C191" s="33"/>
      <c r="D191" s="57"/>
      <c r="E191" s="58"/>
      <c r="F191" s="58"/>
      <c r="G191" s="33"/>
    </row>
    <row r="192" spans="1:22">
      <c r="B192" s="55"/>
      <c r="C192" s="33"/>
      <c r="D192" s="57"/>
      <c r="E192" s="58"/>
      <c r="F192" s="58"/>
      <c r="G192" s="33"/>
    </row>
    <row r="193" spans="2:7">
      <c r="B193" s="55"/>
      <c r="C193" s="33"/>
      <c r="D193" s="57"/>
      <c r="E193" s="58"/>
      <c r="F193" s="58"/>
      <c r="G193" s="33"/>
    </row>
    <row r="194" spans="2:7">
      <c r="B194" s="55"/>
      <c r="C194" s="33"/>
      <c r="D194" s="57"/>
      <c r="E194" s="58"/>
      <c r="F194" s="58"/>
      <c r="G194" s="33"/>
    </row>
    <row r="195" spans="2:7">
      <c r="B195" s="55"/>
      <c r="C195" s="33"/>
      <c r="D195" s="57"/>
      <c r="E195" s="58"/>
      <c r="F195" s="58"/>
      <c r="G195" s="33"/>
    </row>
    <row r="196" spans="2:7">
      <c r="B196" s="55"/>
      <c r="C196" s="33"/>
      <c r="D196" s="57"/>
      <c r="E196" s="58"/>
      <c r="F196" s="58"/>
      <c r="G196" s="33"/>
    </row>
    <row r="197" spans="2:7">
      <c r="B197" s="55"/>
      <c r="C197" s="33"/>
      <c r="D197" s="57"/>
      <c r="E197" s="58"/>
      <c r="F197" s="58"/>
      <c r="G197" s="33"/>
    </row>
    <row r="198" spans="2:7">
      <c r="B198" s="55"/>
      <c r="C198" s="33"/>
      <c r="D198" s="57"/>
      <c r="E198" s="58"/>
      <c r="F198" s="58"/>
      <c r="G198" s="33"/>
    </row>
    <row r="199" spans="2:7" ht="15.75" thickBot="1">
      <c r="B199" s="56"/>
      <c r="C199" s="34"/>
      <c r="D199" s="56"/>
      <c r="E199" s="59"/>
      <c r="F199" s="59"/>
      <c r="G199" s="34"/>
    </row>
    <row r="200" spans="2:7" ht="15.75" thickBot="1">
      <c r="B200" s="56">
        <f>SUM(B186:B199)</f>
        <v>60</v>
      </c>
      <c r="C200" s="34" t="s">
        <v>66</v>
      </c>
      <c r="D200" s="56">
        <f>SUM(D186:D199)</f>
        <v>93.25</v>
      </c>
      <c r="E200" s="56">
        <f>SUM(E186:E199)</f>
        <v>0</v>
      </c>
      <c r="F200" s="56">
        <f>SUM(F186:F199)</f>
        <v>15</v>
      </c>
      <c r="G200" s="34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89" t="str">
        <f>'2018'!A30</f>
        <v>Belleza</v>
      </c>
      <c r="C202" s="290"/>
      <c r="D202" s="290"/>
      <c r="E202" s="290"/>
      <c r="F202" s="290"/>
      <c r="G202" s="291"/>
    </row>
    <row r="203" spans="2:7" ht="15" customHeight="1" thickBot="1">
      <c r="B203" s="292"/>
      <c r="C203" s="293"/>
      <c r="D203" s="293"/>
      <c r="E203" s="293"/>
      <c r="F203" s="293"/>
      <c r="G203" s="294"/>
    </row>
    <row r="204" spans="2:7">
      <c r="B204" s="297" t="s">
        <v>10</v>
      </c>
      <c r="C204" s="296"/>
      <c r="D204" s="295" t="s">
        <v>11</v>
      </c>
      <c r="E204" s="295"/>
      <c r="F204" s="295"/>
      <c r="G204" s="296"/>
    </row>
    <row r="205" spans="2:7">
      <c r="B205" s="52" t="s">
        <v>32</v>
      </c>
      <c r="C205" s="60" t="s">
        <v>33</v>
      </c>
      <c r="D205" s="52" t="s">
        <v>68</v>
      </c>
      <c r="E205" s="53" t="s">
        <v>69</v>
      </c>
      <c r="F205" s="53" t="s">
        <v>32</v>
      </c>
      <c r="G205" s="60" t="s">
        <v>33</v>
      </c>
    </row>
    <row r="206" spans="2:7">
      <c r="B206" s="54">
        <v>35</v>
      </c>
      <c r="C206" s="36"/>
      <c r="D206" s="57"/>
      <c r="E206" s="58"/>
      <c r="F206" s="58"/>
      <c r="G206" s="33" t="s">
        <v>96</v>
      </c>
    </row>
    <row r="207" spans="2:7">
      <c r="B207" s="55"/>
      <c r="C207" s="33"/>
      <c r="D207" s="57"/>
      <c r="E207" s="58"/>
      <c r="F207" s="58"/>
      <c r="G207" s="33"/>
    </row>
    <row r="208" spans="2:7">
      <c r="B208" s="55"/>
      <c r="C208" s="33"/>
      <c r="D208" s="57"/>
      <c r="E208" s="58"/>
      <c r="F208" s="58"/>
      <c r="G208" s="33"/>
    </row>
    <row r="209" spans="2:7">
      <c r="B209" s="55"/>
      <c r="C209" s="33"/>
      <c r="D209" s="57"/>
      <c r="E209" s="58"/>
      <c r="F209" s="58"/>
      <c r="G209" s="33"/>
    </row>
    <row r="210" spans="2:7">
      <c r="B210" s="55"/>
      <c r="C210" s="33"/>
      <c r="D210" s="57"/>
      <c r="E210" s="58"/>
      <c r="F210" s="58"/>
      <c r="G210" s="33"/>
    </row>
    <row r="211" spans="2:7">
      <c r="B211" s="55"/>
      <c r="C211" s="33"/>
      <c r="D211" s="57"/>
      <c r="E211" s="58"/>
      <c r="F211" s="58"/>
      <c r="G211" s="33"/>
    </row>
    <row r="212" spans="2:7">
      <c r="B212" s="55"/>
      <c r="C212" s="33"/>
      <c r="D212" s="57"/>
      <c r="E212" s="58"/>
      <c r="F212" s="58"/>
      <c r="G212" s="33"/>
    </row>
    <row r="213" spans="2:7">
      <c r="B213" s="55"/>
      <c r="C213" s="33"/>
      <c r="D213" s="57"/>
      <c r="E213" s="58"/>
      <c r="F213" s="58"/>
      <c r="G213" s="33"/>
    </row>
    <row r="214" spans="2:7">
      <c r="B214" s="55"/>
      <c r="C214" s="33"/>
      <c r="D214" s="57"/>
      <c r="E214" s="58"/>
      <c r="F214" s="58"/>
      <c r="G214" s="33"/>
    </row>
    <row r="215" spans="2:7">
      <c r="B215" s="55"/>
      <c r="C215" s="33"/>
      <c r="D215" s="57"/>
      <c r="E215" s="58"/>
      <c r="F215" s="58"/>
      <c r="G215" s="33"/>
    </row>
    <row r="216" spans="2:7">
      <c r="B216" s="55"/>
      <c r="C216" s="33"/>
      <c r="D216" s="57"/>
      <c r="E216" s="58"/>
      <c r="F216" s="58"/>
      <c r="G216" s="33"/>
    </row>
    <row r="217" spans="2:7">
      <c r="B217" s="55"/>
      <c r="C217" s="33"/>
      <c r="D217" s="57"/>
      <c r="E217" s="58"/>
      <c r="F217" s="58"/>
      <c r="G217" s="33"/>
    </row>
    <row r="218" spans="2:7">
      <c r="B218" s="55"/>
      <c r="C218" s="33"/>
      <c r="D218" s="57"/>
      <c r="E218" s="58"/>
      <c r="F218" s="58"/>
      <c r="G218" s="33"/>
    </row>
    <row r="219" spans="2:7" ht="15.75" thickBot="1">
      <c r="B219" s="56"/>
      <c r="C219" s="34"/>
      <c r="D219" s="56"/>
      <c r="E219" s="59"/>
      <c r="F219" s="59"/>
      <c r="G219" s="34"/>
    </row>
    <row r="220" spans="2:7" ht="15.75" thickBot="1">
      <c r="B220" s="56">
        <f>SUM(B206:B219)</f>
        <v>35</v>
      </c>
      <c r="C220" s="34" t="s">
        <v>66</v>
      </c>
      <c r="D220" s="56">
        <f>SUM(D206:D219)</f>
        <v>0</v>
      </c>
      <c r="E220" s="56">
        <f>SUM(E206:E219)</f>
        <v>0</v>
      </c>
      <c r="F220" s="56">
        <f>SUM(F206:F219)</f>
        <v>0</v>
      </c>
      <c r="G220" s="34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89" t="str">
        <f>'2018'!A31</f>
        <v>Deportes</v>
      </c>
      <c r="C222" s="290"/>
      <c r="D222" s="290"/>
      <c r="E222" s="290"/>
      <c r="F222" s="290"/>
      <c r="G222" s="291"/>
    </row>
    <row r="223" spans="2:7" ht="15" customHeight="1" thickBot="1">
      <c r="B223" s="292"/>
      <c r="C223" s="293"/>
      <c r="D223" s="293"/>
      <c r="E223" s="293"/>
      <c r="F223" s="293"/>
      <c r="G223" s="294"/>
    </row>
    <row r="224" spans="2:7">
      <c r="B224" s="297" t="s">
        <v>10</v>
      </c>
      <c r="C224" s="296"/>
      <c r="D224" s="295" t="s">
        <v>11</v>
      </c>
      <c r="E224" s="295"/>
      <c r="F224" s="295"/>
      <c r="G224" s="296"/>
    </row>
    <row r="225" spans="2:7">
      <c r="B225" s="52" t="s">
        <v>32</v>
      </c>
      <c r="C225" s="60" t="s">
        <v>33</v>
      </c>
      <c r="D225" s="52" t="s">
        <v>68</v>
      </c>
      <c r="E225" s="53" t="s">
        <v>69</v>
      </c>
      <c r="F225" s="53" t="s">
        <v>32</v>
      </c>
      <c r="G225" s="60" t="s">
        <v>33</v>
      </c>
    </row>
    <row r="226" spans="2:7">
      <c r="B226" s="54">
        <v>20</v>
      </c>
      <c r="C226" s="36" t="s">
        <v>50</v>
      </c>
      <c r="D226" s="57">
        <v>20</v>
      </c>
      <c r="E226" s="58"/>
      <c r="F226" s="58"/>
      <c r="G226" s="58" t="s">
        <v>50</v>
      </c>
    </row>
    <row r="227" spans="2:7">
      <c r="B227" s="55">
        <v>60</v>
      </c>
      <c r="C227" s="33" t="s">
        <v>102</v>
      </c>
      <c r="D227" s="57"/>
      <c r="E227" s="58"/>
      <c r="F227" s="58"/>
      <c r="G227" s="33"/>
    </row>
    <row r="228" spans="2:7">
      <c r="B228" s="55">
        <v>5</v>
      </c>
      <c r="C228" s="33" t="s">
        <v>46</v>
      </c>
      <c r="D228" s="57"/>
      <c r="E228" s="58"/>
      <c r="F228" s="58"/>
      <c r="G228" s="33"/>
    </row>
    <row r="229" spans="2:7">
      <c r="B229" s="55"/>
      <c r="C229" s="33"/>
      <c r="D229" s="57"/>
      <c r="E229" s="58"/>
      <c r="F229" s="58"/>
      <c r="G229" s="33"/>
    </row>
    <row r="230" spans="2:7">
      <c r="B230" s="55"/>
      <c r="C230" s="33"/>
      <c r="D230" s="57"/>
      <c r="E230" s="58"/>
      <c r="F230" s="58"/>
      <c r="G230" s="33"/>
    </row>
    <row r="231" spans="2:7">
      <c r="B231" s="55"/>
      <c r="C231" s="33"/>
      <c r="D231" s="57"/>
      <c r="E231" s="58"/>
      <c r="F231" s="58"/>
      <c r="G231" s="33"/>
    </row>
    <row r="232" spans="2:7">
      <c r="B232" s="55"/>
      <c r="C232" s="33"/>
      <c r="D232" s="57"/>
      <c r="E232" s="58"/>
      <c r="F232" s="58"/>
      <c r="G232" s="33"/>
    </row>
    <row r="233" spans="2:7">
      <c r="B233" s="55"/>
      <c r="C233" s="33"/>
      <c r="D233" s="57"/>
      <c r="E233" s="58"/>
      <c r="F233" s="58"/>
      <c r="G233" s="33"/>
    </row>
    <row r="234" spans="2:7">
      <c r="B234" s="55"/>
      <c r="C234" s="33"/>
      <c r="D234" s="57"/>
      <c r="E234" s="58"/>
      <c r="F234" s="58"/>
      <c r="G234" s="33"/>
    </row>
    <row r="235" spans="2:7">
      <c r="B235" s="55"/>
      <c r="C235" s="33"/>
      <c r="D235" s="57"/>
      <c r="E235" s="58"/>
      <c r="F235" s="58"/>
      <c r="G235" s="33"/>
    </row>
    <row r="236" spans="2:7">
      <c r="B236" s="55"/>
      <c r="C236" s="33"/>
      <c r="D236" s="57"/>
      <c r="E236" s="58"/>
      <c r="F236" s="58"/>
      <c r="G236" s="33"/>
    </row>
    <row r="237" spans="2:7">
      <c r="B237" s="55"/>
      <c r="C237" s="33"/>
      <c r="D237" s="57"/>
      <c r="E237" s="58"/>
      <c r="F237" s="58"/>
      <c r="G237" s="33"/>
    </row>
    <row r="238" spans="2:7">
      <c r="B238" s="55"/>
      <c r="C238" s="33"/>
      <c r="D238" s="57"/>
      <c r="E238" s="58"/>
      <c r="F238" s="58"/>
      <c r="G238" s="33"/>
    </row>
    <row r="239" spans="2:7" ht="15.75" thickBot="1">
      <c r="B239" s="56"/>
      <c r="C239" s="34"/>
      <c r="D239" s="56"/>
      <c r="E239" s="59"/>
      <c r="F239" s="59"/>
      <c r="G239" s="34"/>
    </row>
    <row r="240" spans="2:7" ht="15.75" thickBot="1">
      <c r="B240" s="56">
        <f>SUM(B226:B239)</f>
        <v>85</v>
      </c>
      <c r="C240" s="34" t="s">
        <v>66</v>
      </c>
      <c r="D240" s="56">
        <f>SUM(D226:D239)</f>
        <v>20</v>
      </c>
      <c r="E240" s="56">
        <f>SUM(E226:E239)</f>
        <v>0</v>
      </c>
      <c r="F240" s="56">
        <f>SUM(F226:F239)</f>
        <v>0</v>
      </c>
      <c r="G240" s="34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89" t="str">
        <f>'2018'!A32</f>
        <v>Hogar</v>
      </c>
      <c r="C242" s="290"/>
      <c r="D242" s="290"/>
      <c r="E242" s="290"/>
      <c r="F242" s="290"/>
      <c r="G242" s="291"/>
    </row>
    <row r="243" spans="2:7" ht="15" customHeight="1" thickBot="1">
      <c r="B243" s="292"/>
      <c r="C243" s="293"/>
      <c r="D243" s="293"/>
      <c r="E243" s="293"/>
      <c r="F243" s="293"/>
      <c r="G243" s="294"/>
    </row>
    <row r="244" spans="2:7" ht="15" customHeight="1">
      <c r="B244" s="297" t="s">
        <v>10</v>
      </c>
      <c r="C244" s="296"/>
      <c r="D244" s="295" t="s">
        <v>11</v>
      </c>
      <c r="E244" s="295"/>
      <c r="F244" s="295"/>
      <c r="G244" s="296"/>
    </row>
    <row r="245" spans="2:7" ht="15" customHeight="1">
      <c r="B245" s="52" t="s">
        <v>32</v>
      </c>
      <c r="C245" s="60" t="s">
        <v>33</v>
      </c>
      <c r="D245" s="52" t="s">
        <v>68</v>
      </c>
      <c r="E245" s="53" t="s">
        <v>69</v>
      </c>
      <c r="F245" s="53" t="s">
        <v>32</v>
      </c>
      <c r="G245" s="60" t="s">
        <v>33</v>
      </c>
    </row>
    <row r="246" spans="2:7" ht="15" customHeight="1">
      <c r="B246" s="55">
        <v>80</v>
      </c>
      <c r="C246" s="66"/>
      <c r="D246" s="57"/>
      <c r="E246" s="58"/>
      <c r="F246" s="58"/>
      <c r="G246" s="33" t="s">
        <v>47</v>
      </c>
    </row>
    <row r="247" spans="2:7" ht="15" customHeight="1">
      <c r="B247" s="55"/>
      <c r="C247" s="33"/>
      <c r="D247" s="57">
        <f>8.54-D52</f>
        <v>7.0499999999999989</v>
      </c>
      <c r="E247" s="58"/>
      <c r="F247" s="58"/>
      <c r="G247" s="33" t="s">
        <v>98</v>
      </c>
    </row>
    <row r="248" spans="2:7">
      <c r="B248" s="55"/>
      <c r="C248" s="33"/>
      <c r="D248" s="57"/>
      <c r="E248" s="58"/>
      <c r="F248" s="58"/>
      <c r="G248" s="33" t="s">
        <v>120</v>
      </c>
    </row>
    <row r="249" spans="2:7">
      <c r="B249" s="55"/>
      <c r="C249" s="33"/>
      <c r="D249" s="57"/>
      <c r="E249" s="58"/>
      <c r="F249" s="58"/>
      <c r="G249" s="33" t="s">
        <v>205</v>
      </c>
    </row>
    <row r="250" spans="2:7">
      <c r="B250" s="55"/>
      <c r="C250" s="33"/>
      <c r="D250" s="57">
        <v>3.99</v>
      </c>
      <c r="E250" s="58"/>
      <c r="F250" s="58"/>
      <c r="G250" s="33" t="s">
        <v>386</v>
      </c>
    </row>
    <row r="251" spans="2:7">
      <c r="B251" s="55"/>
      <c r="C251" s="33"/>
      <c r="D251" s="57">
        <f>84.34-D55</f>
        <v>76.39</v>
      </c>
      <c r="E251" s="58"/>
      <c r="F251" s="58"/>
      <c r="G251" s="33" t="s">
        <v>98</v>
      </c>
    </row>
    <row r="252" spans="2:7">
      <c r="B252" s="55"/>
      <c r="C252" s="33"/>
      <c r="D252" s="57"/>
      <c r="E252" s="58"/>
      <c r="F252" s="58"/>
      <c r="G252" s="33"/>
    </row>
    <row r="253" spans="2:7">
      <c r="B253" s="55"/>
      <c r="C253" s="33"/>
      <c r="D253" s="57"/>
      <c r="E253" s="58"/>
      <c r="F253" s="58"/>
      <c r="G253" s="33"/>
    </row>
    <row r="254" spans="2:7">
      <c r="B254" s="55"/>
      <c r="C254" s="33"/>
      <c r="D254" s="57"/>
      <c r="E254" s="58"/>
      <c r="F254" s="58"/>
      <c r="G254" s="33"/>
    </row>
    <row r="255" spans="2:7">
      <c r="B255" s="55"/>
      <c r="C255" s="33"/>
      <c r="D255" s="57"/>
      <c r="E255" s="58"/>
      <c r="F255" s="58"/>
      <c r="G255" s="33"/>
    </row>
    <row r="256" spans="2:7">
      <c r="B256" s="55"/>
      <c r="C256" s="33"/>
      <c r="D256" s="57"/>
      <c r="E256" s="58"/>
      <c r="F256" s="58"/>
      <c r="G256" s="33"/>
    </row>
    <row r="257" spans="2:7">
      <c r="B257" s="55"/>
      <c r="C257" s="33"/>
      <c r="D257" s="57"/>
      <c r="E257" s="58"/>
      <c r="F257" s="58"/>
      <c r="G257" s="33"/>
    </row>
    <row r="258" spans="2:7">
      <c r="B258" s="55"/>
      <c r="C258" s="33"/>
      <c r="D258" s="57"/>
      <c r="E258" s="58"/>
      <c r="F258" s="58"/>
      <c r="G258" s="33"/>
    </row>
    <row r="259" spans="2:7" ht="15.75" thickBot="1">
      <c r="B259" s="56"/>
      <c r="C259" s="34"/>
      <c r="D259" s="56"/>
      <c r="E259" s="59"/>
      <c r="F259" s="59"/>
      <c r="G259" s="34"/>
    </row>
    <row r="260" spans="2:7" ht="15.75" thickBot="1">
      <c r="B260" s="56">
        <f>SUM(B246:B259)</f>
        <v>80</v>
      </c>
      <c r="C260" s="34" t="s">
        <v>66</v>
      </c>
      <c r="D260" s="56">
        <f>SUM(D246:D259)</f>
        <v>87.43</v>
      </c>
      <c r="E260" s="56">
        <f>SUM(E246:E259)</f>
        <v>0</v>
      </c>
      <c r="F260" s="56">
        <f>SUM(F246:F259)</f>
        <v>0</v>
      </c>
      <c r="G260" s="34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89" t="str">
        <f>'2018'!A33</f>
        <v>Formación</v>
      </c>
      <c r="C262" s="290"/>
      <c r="D262" s="290"/>
      <c r="E262" s="290"/>
      <c r="F262" s="290"/>
      <c r="G262" s="291"/>
    </row>
    <row r="263" spans="2:7" ht="15" customHeight="1" thickBot="1">
      <c r="B263" s="292"/>
      <c r="C263" s="293"/>
      <c r="D263" s="293"/>
      <c r="E263" s="293"/>
      <c r="F263" s="293"/>
      <c r="G263" s="294"/>
    </row>
    <row r="264" spans="2:7">
      <c r="B264" s="297" t="s">
        <v>10</v>
      </c>
      <c r="C264" s="296"/>
      <c r="D264" s="295" t="s">
        <v>11</v>
      </c>
      <c r="E264" s="295"/>
      <c r="F264" s="295"/>
      <c r="G264" s="296"/>
    </row>
    <row r="265" spans="2:7">
      <c r="B265" s="52" t="s">
        <v>32</v>
      </c>
      <c r="C265" s="60" t="s">
        <v>33</v>
      </c>
      <c r="D265" s="52" t="s">
        <v>68</v>
      </c>
      <c r="E265" s="53" t="s">
        <v>69</v>
      </c>
      <c r="F265" s="53" t="s">
        <v>32</v>
      </c>
      <c r="G265" s="60" t="s">
        <v>33</v>
      </c>
    </row>
    <row r="266" spans="2:7">
      <c r="B266" s="54">
        <v>10</v>
      </c>
      <c r="C266" s="36"/>
      <c r="D266" s="57"/>
      <c r="E266" s="58"/>
      <c r="F266" s="58"/>
      <c r="G266" s="33"/>
    </row>
    <row r="267" spans="2:7">
      <c r="B267" s="55">
        <v>1.54</v>
      </c>
      <c r="C267" s="33"/>
      <c r="D267" s="57"/>
      <c r="E267" s="58"/>
      <c r="F267" s="58"/>
      <c r="G267" s="33"/>
    </row>
    <row r="268" spans="2:7">
      <c r="B268" s="55"/>
      <c r="C268" s="33"/>
      <c r="D268" s="57"/>
      <c r="E268" s="58"/>
      <c r="F268" s="58"/>
      <c r="G268" s="33"/>
    </row>
    <row r="269" spans="2:7">
      <c r="B269" s="55"/>
      <c r="C269" s="33"/>
      <c r="D269" s="57"/>
      <c r="E269" s="58"/>
      <c r="F269" s="58"/>
      <c r="G269" s="33"/>
    </row>
    <row r="270" spans="2:7">
      <c r="B270" s="55"/>
      <c r="C270" s="33"/>
      <c r="D270" s="57"/>
      <c r="E270" s="58"/>
      <c r="F270" s="58"/>
      <c r="G270" s="33"/>
    </row>
    <row r="271" spans="2:7">
      <c r="B271" s="55"/>
      <c r="C271" s="33"/>
      <c r="D271" s="57"/>
      <c r="E271" s="58"/>
      <c r="F271" s="58"/>
      <c r="G271" s="33"/>
    </row>
    <row r="272" spans="2:7">
      <c r="B272" s="55"/>
      <c r="C272" s="33"/>
      <c r="D272" s="57"/>
      <c r="E272" s="58"/>
      <c r="F272" s="58"/>
      <c r="G272" s="33"/>
    </row>
    <row r="273" spans="2:7">
      <c r="B273" s="55"/>
      <c r="C273" s="33"/>
      <c r="D273" s="57"/>
      <c r="E273" s="58"/>
      <c r="F273" s="58"/>
      <c r="G273" s="33"/>
    </row>
    <row r="274" spans="2:7">
      <c r="B274" s="55"/>
      <c r="C274" s="33"/>
      <c r="D274" s="57"/>
      <c r="E274" s="58"/>
      <c r="F274" s="58"/>
      <c r="G274" s="33"/>
    </row>
    <row r="275" spans="2:7">
      <c r="B275" s="55"/>
      <c r="C275" s="33"/>
      <c r="D275" s="57"/>
      <c r="E275" s="58"/>
      <c r="F275" s="58"/>
      <c r="G275" s="33"/>
    </row>
    <row r="276" spans="2:7">
      <c r="B276" s="55"/>
      <c r="C276" s="33"/>
      <c r="D276" s="57"/>
      <c r="E276" s="58"/>
      <c r="F276" s="58"/>
      <c r="G276" s="33"/>
    </row>
    <row r="277" spans="2:7">
      <c r="B277" s="55"/>
      <c r="C277" s="33"/>
      <c r="D277" s="57"/>
      <c r="E277" s="58"/>
      <c r="F277" s="58"/>
      <c r="G277" s="33"/>
    </row>
    <row r="278" spans="2:7">
      <c r="B278" s="55"/>
      <c r="C278" s="33"/>
      <c r="D278" s="57"/>
      <c r="E278" s="58"/>
      <c r="F278" s="58"/>
      <c r="G278" s="33"/>
    </row>
    <row r="279" spans="2:7" ht="15.75" thickBot="1">
      <c r="B279" s="56"/>
      <c r="C279" s="34"/>
      <c r="D279" s="56"/>
      <c r="E279" s="59"/>
      <c r="F279" s="59"/>
      <c r="G279" s="34"/>
    </row>
    <row r="280" spans="2:7" ht="15.75" thickBot="1">
      <c r="B280" s="56">
        <f>SUM(B266:B279)</f>
        <v>11.54</v>
      </c>
      <c r="C280" s="34" t="s">
        <v>66</v>
      </c>
      <c r="D280" s="56">
        <f>SUM(D266:D279)</f>
        <v>0</v>
      </c>
      <c r="E280" s="56">
        <f>SUM(E266:E279)</f>
        <v>0</v>
      </c>
      <c r="F280" s="56">
        <f>SUM(F266:F279)</f>
        <v>0</v>
      </c>
      <c r="G280" s="34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289" t="str">
        <f>'2018'!A34</f>
        <v>Regalos</v>
      </c>
      <c r="C282" s="290"/>
      <c r="D282" s="290"/>
      <c r="E282" s="290"/>
      <c r="F282" s="290"/>
      <c r="G282" s="291"/>
    </row>
    <row r="283" spans="2:7" ht="15" customHeight="1" thickBot="1">
      <c r="B283" s="292"/>
      <c r="C283" s="293"/>
      <c r="D283" s="293"/>
      <c r="E283" s="293"/>
      <c r="F283" s="293"/>
      <c r="G283" s="294"/>
    </row>
    <row r="284" spans="2:7">
      <c r="B284" s="297" t="s">
        <v>10</v>
      </c>
      <c r="C284" s="296"/>
      <c r="D284" s="295" t="s">
        <v>11</v>
      </c>
      <c r="E284" s="295"/>
      <c r="F284" s="295"/>
      <c r="G284" s="296"/>
    </row>
    <row r="285" spans="2:7">
      <c r="B285" s="52" t="s">
        <v>32</v>
      </c>
      <c r="C285" s="60" t="s">
        <v>33</v>
      </c>
      <c r="D285" s="52" t="s">
        <v>68</v>
      </c>
      <c r="E285" s="53" t="s">
        <v>69</v>
      </c>
      <c r="F285" s="53" t="s">
        <v>32</v>
      </c>
      <c r="G285" s="60" t="s">
        <v>33</v>
      </c>
    </row>
    <row r="286" spans="2:7">
      <c r="B286" s="54">
        <v>150</v>
      </c>
      <c r="C286" s="36" t="s">
        <v>36</v>
      </c>
      <c r="D286" s="57">
        <f>15</f>
        <v>15</v>
      </c>
      <c r="E286" s="58"/>
      <c r="F286" s="58"/>
      <c r="G286" s="33" t="s">
        <v>363</v>
      </c>
    </row>
    <row r="287" spans="2:7">
      <c r="B287" s="55"/>
      <c r="C287" s="33"/>
      <c r="D287" s="57">
        <f>38.95+53</f>
        <v>91.95</v>
      </c>
      <c r="E287" s="58"/>
      <c r="F287" s="58"/>
      <c r="G287" s="33" t="s">
        <v>364</v>
      </c>
    </row>
    <row r="288" spans="2:7">
      <c r="B288" s="55"/>
      <c r="C288" s="33"/>
      <c r="D288" s="57"/>
      <c r="E288" s="58">
        <v>66.59</v>
      </c>
      <c r="F288" s="58"/>
      <c r="G288" s="33" t="s">
        <v>373</v>
      </c>
    </row>
    <row r="289" spans="2:7">
      <c r="B289" s="55"/>
      <c r="C289" s="33"/>
      <c r="D289" s="57"/>
      <c r="E289" s="58"/>
      <c r="F289" s="58"/>
      <c r="G289" s="33"/>
    </row>
    <row r="290" spans="2:7">
      <c r="B290" s="55"/>
      <c r="C290" s="33"/>
      <c r="D290" s="57"/>
      <c r="E290" s="58"/>
      <c r="F290" s="58"/>
      <c r="G290" s="33"/>
    </row>
    <row r="291" spans="2:7">
      <c r="B291" s="55"/>
      <c r="C291" s="33"/>
      <c r="D291" s="57"/>
      <c r="E291" s="58"/>
      <c r="F291" s="58"/>
      <c r="G291" s="33"/>
    </row>
    <row r="292" spans="2:7">
      <c r="B292" s="55"/>
      <c r="C292" s="33"/>
      <c r="D292" s="57"/>
      <c r="E292" s="58"/>
      <c r="F292" s="58"/>
      <c r="G292" s="33"/>
    </row>
    <row r="293" spans="2:7">
      <c r="B293" s="55"/>
      <c r="C293" s="33"/>
      <c r="D293" s="57"/>
      <c r="E293" s="58"/>
      <c r="F293" s="58"/>
      <c r="G293" s="33"/>
    </row>
    <row r="294" spans="2:7">
      <c r="B294" s="55"/>
      <c r="C294" s="33"/>
      <c r="D294" s="57"/>
      <c r="E294" s="58"/>
      <c r="F294" s="58"/>
      <c r="G294" s="33"/>
    </row>
    <row r="295" spans="2:7">
      <c r="B295" s="55"/>
      <c r="C295" s="33"/>
      <c r="D295" s="57"/>
      <c r="E295" s="58"/>
      <c r="F295" s="58"/>
      <c r="G295" s="33"/>
    </row>
    <row r="296" spans="2:7">
      <c r="B296" s="55"/>
      <c r="C296" s="33"/>
      <c r="D296" s="57"/>
      <c r="E296" s="58"/>
      <c r="F296" s="58"/>
      <c r="G296" s="33"/>
    </row>
    <row r="297" spans="2:7">
      <c r="B297" s="55"/>
      <c r="C297" s="33"/>
      <c r="D297" s="57"/>
      <c r="E297" s="58"/>
      <c r="F297" s="58"/>
      <c r="G297" s="33"/>
    </row>
    <row r="298" spans="2:7">
      <c r="B298" s="55"/>
      <c r="C298" s="33"/>
      <c r="D298" s="57"/>
      <c r="E298" s="58"/>
      <c r="F298" s="58"/>
      <c r="G298" s="33"/>
    </row>
    <row r="299" spans="2:7" ht="15.75" thickBot="1">
      <c r="B299" s="56"/>
      <c r="C299" s="34"/>
      <c r="D299" s="56"/>
      <c r="E299" s="59"/>
      <c r="F299" s="59"/>
      <c r="G299" s="34"/>
    </row>
    <row r="300" spans="2:7" ht="15.75" thickBot="1">
      <c r="B300" s="56">
        <f>SUM(B286:B299)</f>
        <v>150</v>
      </c>
      <c r="C300" s="34" t="s">
        <v>66</v>
      </c>
      <c r="D300" s="56">
        <f>SUM(D286:D299)</f>
        <v>106.95</v>
      </c>
      <c r="E300" s="56">
        <f>SUM(E286:E299)</f>
        <v>66.59</v>
      </c>
      <c r="F300" s="56">
        <f>SUM(F286:F299)</f>
        <v>0</v>
      </c>
      <c r="G300" s="34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89" t="str">
        <f>'2018'!A35</f>
        <v>Salud</v>
      </c>
      <c r="C302" s="290"/>
      <c r="D302" s="290"/>
      <c r="E302" s="290"/>
      <c r="F302" s="290"/>
      <c r="G302" s="291"/>
    </row>
    <row r="303" spans="2:7" ht="15" customHeight="1" thickBot="1">
      <c r="B303" s="292"/>
      <c r="C303" s="293"/>
      <c r="D303" s="293"/>
      <c r="E303" s="293"/>
      <c r="F303" s="293"/>
      <c r="G303" s="294"/>
    </row>
    <row r="304" spans="2:7">
      <c r="B304" s="297" t="s">
        <v>10</v>
      </c>
      <c r="C304" s="296"/>
      <c r="D304" s="295" t="s">
        <v>11</v>
      </c>
      <c r="E304" s="295"/>
      <c r="F304" s="295"/>
      <c r="G304" s="296"/>
    </row>
    <row r="305" spans="2:7">
      <c r="B305" s="52" t="s">
        <v>32</v>
      </c>
      <c r="C305" s="60" t="s">
        <v>33</v>
      </c>
      <c r="D305" s="52" t="s">
        <v>68</v>
      </c>
      <c r="E305" s="53" t="s">
        <v>69</v>
      </c>
      <c r="F305" s="53" t="s">
        <v>32</v>
      </c>
      <c r="G305" s="60" t="s">
        <v>33</v>
      </c>
    </row>
    <row r="306" spans="2:7">
      <c r="B306" s="54">
        <v>100</v>
      </c>
      <c r="C306" s="36" t="s">
        <v>60</v>
      </c>
      <c r="D306" s="57"/>
      <c r="E306" s="58"/>
      <c r="F306" s="58"/>
      <c r="G306" s="33" t="s">
        <v>101</v>
      </c>
    </row>
    <row r="307" spans="2:7">
      <c r="B307" s="84"/>
      <c r="C307" s="66"/>
      <c r="D307" s="57">
        <f>134.93</f>
        <v>134.93</v>
      </c>
      <c r="E307" s="58"/>
      <c r="F307" s="58"/>
      <c r="G307" s="33" t="s">
        <v>97</v>
      </c>
    </row>
    <row r="308" spans="2:7">
      <c r="B308" s="84"/>
      <c r="C308" s="66"/>
      <c r="D308" s="57"/>
      <c r="E308" s="58"/>
      <c r="F308" s="58"/>
      <c r="G308" s="33"/>
    </row>
    <row r="309" spans="2:7">
      <c r="B309" s="55"/>
      <c r="C309" s="33"/>
      <c r="D309" s="57"/>
      <c r="E309" s="58"/>
      <c r="F309" s="58"/>
      <c r="G309" s="33"/>
    </row>
    <row r="310" spans="2:7">
      <c r="B310" s="55"/>
      <c r="C310" s="33"/>
      <c r="D310" s="57"/>
      <c r="E310" s="58"/>
      <c r="F310" s="58"/>
      <c r="G310" s="33"/>
    </row>
    <row r="311" spans="2:7">
      <c r="B311" s="55"/>
      <c r="C311" s="33"/>
      <c r="D311" s="57"/>
      <c r="E311" s="58"/>
      <c r="F311" s="58"/>
      <c r="G311" s="33"/>
    </row>
    <row r="312" spans="2:7">
      <c r="B312" s="55"/>
      <c r="C312" s="33"/>
      <c r="D312" s="57"/>
      <c r="E312" s="58"/>
      <c r="F312" s="58"/>
      <c r="G312" s="33"/>
    </row>
    <row r="313" spans="2:7">
      <c r="B313" s="55"/>
      <c r="C313" s="33"/>
      <c r="D313" s="57"/>
      <c r="E313" s="58"/>
      <c r="F313" s="58"/>
      <c r="G313" s="33"/>
    </row>
    <row r="314" spans="2:7">
      <c r="B314" s="55"/>
      <c r="C314" s="33"/>
      <c r="D314" s="57"/>
      <c r="E314" s="58"/>
      <c r="F314" s="58"/>
      <c r="G314" s="33"/>
    </row>
    <row r="315" spans="2:7">
      <c r="B315" s="55"/>
      <c r="C315" s="33"/>
      <c r="D315" s="57"/>
      <c r="E315" s="58"/>
      <c r="F315" s="58"/>
      <c r="G315" s="33"/>
    </row>
    <row r="316" spans="2:7">
      <c r="B316" s="55"/>
      <c r="C316" s="33"/>
      <c r="D316" s="57"/>
      <c r="E316" s="58"/>
      <c r="F316" s="58"/>
      <c r="G316" s="33"/>
    </row>
    <row r="317" spans="2:7">
      <c r="B317" s="55"/>
      <c r="C317" s="33"/>
      <c r="D317" s="57"/>
      <c r="E317" s="58"/>
      <c r="F317" s="58"/>
      <c r="G317" s="33"/>
    </row>
    <row r="318" spans="2:7">
      <c r="B318" s="55"/>
      <c r="C318" s="33"/>
      <c r="D318" s="57"/>
      <c r="E318" s="58"/>
      <c r="F318" s="58"/>
      <c r="G318" s="33"/>
    </row>
    <row r="319" spans="2:7" ht="15.75" thickBot="1">
      <c r="B319" s="56"/>
      <c r="C319" s="34"/>
      <c r="D319" s="56"/>
      <c r="E319" s="59"/>
      <c r="F319" s="59"/>
      <c r="G319" s="34"/>
    </row>
    <row r="320" spans="2:7" ht="15.75" thickBot="1">
      <c r="B320" s="56">
        <f>SUM(B306:B319)</f>
        <v>100</v>
      </c>
      <c r="C320" s="34" t="s">
        <v>66</v>
      </c>
      <c r="D320" s="56">
        <f>SUM(D306:D319)</f>
        <v>134.93</v>
      </c>
      <c r="E320" s="56">
        <f>SUM(E306:E319)</f>
        <v>0</v>
      </c>
      <c r="F320" s="56">
        <f>SUM(F306:F319)</f>
        <v>0</v>
      </c>
      <c r="G320" s="34" t="s">
        <v>66</v>
      </c>
    </row>
    <row r="321" spans="2:7" ht="15.75" thickBot="1"/>
    <row r="322" spans="2:7" ht="14.45" customHeight="1">
      <c r="B322" s="289" t="str">
        <f>'2018'!A36</f>
        <v>Martina</v>
      </c>
      <c r="C322" s="290"/>
      <c r="D322" s="290"/>
      <c r="E322" s="290"/>
      <c r="F322" s="290"/>
      <c r="G322" s="291"/>
    </row>
    <row r="323" spans="2:7" ht="15" customHeight="1" thickBot="1">
      <c r="B323" s="292"/>
      <c r="C323" s="293"/>
      <c r="D323" s="293"/>
      <c r="E323" s="293"/>
      <c r="F323" s="293"/>
      <c r="G323" s="294"/>
    </row>
    <row r="324" spans="2:7">
      <c r="B324" s="297" t="s">
        <v>10</v>
      </c>
      <c r="C324" s="296"/>
      <c r="D324" s="295" t="s">
        <v>11</v>
      </c>
      <c r="E324" s="295"/>
      <c r="F324" s="295"/>
      <c r="G324" s="296"/>
    </row>
    <row r="325" spans="2:7">
      <c r="B325" s="52" t="s">
        <v>32</v>
      </c>
      <c r="C325" s="60" t="s">
        <v>33</v>
      </c>
      <c r="D325" s="52" t="s">
        <v>68</v>
      </c>
      <c r="E325" s="53" t="s">
        <v>69</v>
      </c>
      <c r="F325" s="53" t="s">
        <v>32</v>
      </c>
      <c r="G325" s="60" t="s">
        <v>33</v>
      </c>
    </row>
    <row r="326" spans="2:7">
      <c r="B326" s="54">
        <v>4</v>
      </c>
      <c r="C326" s="36"/>
      <c r="D326" s="57">
        <v>4</v>
      </c>
      <c r="E326" s="58"/>
      <c r="F326" s="58"/>
      <c r="G326" s="33" t="s">
        <v>388</v>
      </c>
    </row>
    <row r="327" spans="2:7">
      <c r="B327" s="55"/>
      <c r="C327" s="33"/>
      <c r="D327" s="57"/>
      <c r="E327" s="58"/>
      <c r="F327" s="58"/>
      <c r="G327" s="33"/>
    </row>
    <row r="328" spans="2:7">
      <c r="B328" s="55"/>
      <c r="C328" s="33"/>
      <c r="D328" s="57"/>
      <c r="E328" s="58"/>
      <c r="F328" s="58"/>
      <c r="G328" s="33"/>
    </row>
    <row r="329" spans="2:7">
      <c r="B329" s="55"/>
      <c r="C329" s="33"/>
      <c r="D329" s="57"/>
      <c r="E329" s="58"/>
      <c r="F329" s="58"/>
      <c r="G329" s="33"/>
    </row>
    <row r="330" spans="2:7">
      <c r="B330" s="55"/>
      <c r="C330" s="33"/>
      <c r="D330" s="57"/>
      <c r="E330" s="58"/>
      <c r="F330" s="58"/>
      <c r="G330" s="33"/>
    </row>
    <row r="331" spans="2:7">
      <c r="B331" s="55"/>
      <c r="C331" s="33"/>
      <c r="D331" s="57"/>
      <c r="E331" s="58"/>
      <c r="F331" s="58"/>
      <c r="G331" s="33"/>
    </row>
    <row r="332" spans="2:7">
      <c r="B332" s="55"/>
      <c r="C332" s="33"/>
      <c r="D332" s="57"/>
      <c r="E332" s="58"/>
      <c r="F332" s="58"/>
      <c r="G332" s="33"/>
    </row>
    <row r="333" spans="2:7">
      <c r="B333" s="55"/>
      <c r="C333" s="33"/>
      <c r="D333" s="57"/>
      <c r="E333" s="58"/>
      <c r="F333" s="58"/>
      <c r="G333" s="33"/>
    </row>
    <row r="334" spans="2:7">
      <c r="B334" s="55"/>
      <c r="C334" s="33"/>
      <c r="D334" s="57"/>
      <c r="E334" s="58"/>
      <c r="F334" s="58"/>
      <c r="G334" s="33"/>
    </row>
    <row r="335" spans="2:7">
      <c r="B335" s="55"/>
      <c r="C335" s="33"/>
      <c r="D335" s="57"/>
      <c r="E335" s="58"/>
      <c r="F335" s="58"/>
      <c r="G335" s="33"/>
    </row>
    <row r="336" spans="2:7">
      <c r="B336" s="55"/>
      <c r="C336" s="33"/>
      <c r="D336" s="57"/>
      <c r="E336" s="58"/>
      <c r="F336" s="58"/>
      <c r="G336" s="33"/>
    </row>
    <row r="337" spans="2:7">
      <c r="B337" s="55"/>
      <c r="C337" s="33"/>
      <c r="D337" s="57"/>
      <c r="E337" s="58"/>
      <c r="F337" s="58"/>
      <c r="G337" s="33"/>
    </row>
    <row r="338" spans="2:7">
      <c r="B338" s="55"/>
      <c r="C338" s="33"/>
      <c r="D338" s="57"/>
      <c r="E338" s="58"/>
      <c r="F338" s="58"/>
      <c r="G338" s="33"/>
    </row>
    <row r="339" spans="2:7" ht="15.75" thickBot="1">
      <c r="B339" s="56"/>
      <c r="C339" s="34"/>
      <c r="D339" s="56"/>
      <c r="E339" s="59"/>
      <c r="F339" s="59"/>
      <c r="G339" s="34"/>
    </row>
    <row r="340" spans="2:7" ht="15.75" thickBot="1">
      <c r="B340" s="56">
        <f>SUM(B326:B339)</f>
        <v>4</v>
      </c>
      <c r="C340" s="34" t="s">
        <v>66</v>
      </c>
      <c r="D340" s="56">
        <f>SUM(D326:D339)</f>
        <v>4</v>
      </c>
      <c r="E340" s="56">
        <f>SUM(E326:E339)</f>
        <v>0</v>
      </c>
      <c r="F340" s="56">
        <f>SUM(F326:F339)</f>
        <v>0</v>
      </c>
      <c r="G340" s="34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89" t="str">
        <f>'2018'!A37</f>
        <v>Impuestos</v>
      </c>
      <c r="C342" s="290"/>
      <c r="D342" s="290"/>
      <c r="E342" s="290"/>
      <c r="F342" s="290"/>
      <c r="G342" s="291"/>
    </row>
    <row r="343" spans="2:7" ht="15" customHeight="1" thickBot="1">
      <c r="B343" s="292"/>
      <c r="C343" s="293"/>
      <c r="D343" s="293"/>
      <c r="E343" s="293"/>
      <c r="F343" s="293"/>
      <c r="G343" s="294"/>
    </row>
    <row r="344" spans="2:7">
      <c r="B344" s="297" t="s">
        <v>10</v>
      </c>
      <c r="C344" s="296"/>
      <c r="D344" s="295" t="s">
        <v>11</v>
      </c>
      <c r="E344" s="295"/>
      <c r="F344" s="295"/>
      <c r="G344" s="296"/>
    </row>
    <row r="345" spans="2:7">
      <c r="B345" s="52" t="s">
        <v>32</v>
      </c>
      <c r="C345" s="60" t="s">
        <v>33</v>
      </c>
      <c r="D345" s="52" t="s">
        <v>68</v>
      </c>
      <c r="E345" s="53" t="s">
        <v>69</v>
      </c>
      <c r="F345" s="53" t="s">
        <v>32</v>
      </c>
      <c r="G345" s="60" t="s">
        <v>33</v>
      </c>
    </row>
    <row r="346" spans="2:7">
      <c r="B346" s="54">
        <v>30</v>
      </c>
      <c r="C346" s="36" t="s">
        <v>119</v>
      </c>
      <c r="D346" s="57"/>
      <c r="E346" s="58"/>
      <c r="F346" s="58"/>
      <c r="G346" s="33"/>
    </row>
    <row r="347" spans="2:7">
      <c r="B347" s="55"/>
      <c r="C347" s="33"/>
      <c r="D347" s="57"/>
      <c r="E347" s="58"/>
      <c r="F347" s="58"/>
      <c r="G347" s="33"/>
    </row>
    <row r="348" spans="2:7">
      <c r="B348" s="55"/>
      <c r="C348" s="33"/>
      <c r="D348" s="57"/>
      <c r="E348" s="58"/>
      <c r="F348" s="58"/>
      <c r="G348" s="33"/>
    </row>
    <row r="349" spans="2:7">
      <c r="B349" s="55"/>
      <c r="C349" s="33"/>
      <c r="D349" s="57"/>
      <c r="E349" s="58"/>
      <c r="F349" s="58"/>
      <c r="G349" s="33"/>
    </row>
    <row r="350" spans="2:7">
      <c r="B350" s="55"/>
      <c r="C350" s="33"/>
      <c r="D350" s="57"/>
      <c r="E350" s="58"/>
      <c r="F350" s="58"/>
      <c r="G350" s="33"/>
    </row>
    <row r="351" spans="2:7">
      <c r="B351" s="55"/>
      <c r="C351" s="33"/>
      <c r="D351" s="57"/>
      <c r="E351" s="58"/>
      <c r="F351" s="58"/>
      <c r="G351" s="33"/>
    </row>
    <row r="352" spans="2:7">
      <c r="B352" s="55"/>
      <c r="C352" s="33"/>
      <c r="D352" s="57"/>
      <c r="E352" s="58"/>
      <c r="F352" s="58"/>
      <c r="G352" s="33"/>
    </row>
    <row r="353" spans="2:7">
      <c r="B353" s="55"/>
      <c r="C353" s="33"/>
      <c r="D353" s="57"/>
      <c r="E353" s="58"/>
      <c r="F353" s="58"/>
      <c r="G353" s="33"/>
    </row>
    <row r="354" spans="2:7">
      <c r="B354" s="55"/>
      <c r="C354" s="33"/>
      <c r="D354" s="57"/>
      <c r="E354" s="58"/>
      <c r="F354" s="58"/>
      <c r="G354" s="33"/>
    </row>
    <row r="355" spans="2:7">
      <c r="B355" s="55"/>
      <c r="C355" s="33"/>
      <c r="D355" s="57"/>
      <c r="E355" s="58"/>
      <c r="F355" s="58"/>
      <c r="G355" s="33"/>
    </row>
    <row r="356" spans="2:7">
      <c r="B356" s="55"/>
      <c r="C356" s="33"/>
      <c r="D356" s="57"/>
      <c r="E356" s="58"/>
      <c r="F356" s="58"/>
      <c r="G356" s="33"/>
    </row>
    <row r="357" spans="2:7">
      <c r="B357" s="55"/>
      <c r="C357" s="33"/>
      <c r="D357" s="57"/>
      <c r="E357" s="58"/>
      <c r="F357" s="58"/>
      <c r="G357" s="33"/>
    </row>
    <row r="358" spans="2:7">
      <c r="B358" s="55"/>
      <c r="C358" s="33"/>
      <c r="D358" s="57"/>
      <c r="E358" s="58"/>
      <c r="F358" s="58"/>
      <c r="G358" s="33"/>
    </row>
    <row r="359" spans="2:7" ht="15.75" thickBot="1">
      <c r="B359" s="56"/>
      <c r="C359" s="34"/>
      <c r="D359" s="56"/>
      <c r="E359" s="59"/>
      <c r="F359" s="59"/>
      <c r="G359" s="34"/>
    </row>
    <row r="360" spans="2:7" ht="15.75" thickBot="1">
      <c r="B360" s="56">
        <f>SUM(B346:B359)</f>
        <v>30</v>
      </c>
      <c r="C360" s="34" t="s">
        <v>66</v>
      </c>
      <c r="D360" s="56">
        <f>SUM(D346:D359)</f>
        <v>0</v>
      </c>
      <c r="E360" s="56">
        <f>SUM(E346:E359)</f>
        <v>0</v>
      </c>
      <c r="F360" s="56">
        <f>SUM(F346:F359)</f>
        <v>0</v>
      </c>
      <c r="G360" s="34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89" t="str">
        <f>'2018'!A38</f>
        <v>Gastos Curros</v>
      </c>
      <c r="C362" s="290"/>
      <c r="D362" s="290"/>
      <c r="E362" s="290"/>
      <c r="F362" s="290"/>
      <c r="G362" s="291"/>
    </row>
    <row r="363" spans="2:7" ht="15" customHeight="1" thickBot="1">
      <c r="B363" s="292"/>
      <c r="C363" s="293"/>
      <c r="D363" s="293"/>
      <c r="E363" s="293"/>
      <c r="F363" s="293"/>
      <c r="G363" s="294"/>
    </row>
    <row r="364" spans="2:7">
      <c r="B364" s="297" t="s">
        <v>10</v>
      </c>
      <c r="C364" s="296"/>
      <c r="D364" s="295" t="s">
        <v>11</v>
      </c>
      <c r="E364" s="295"/>
      <c r="F364" s="295"/>
      <c r="G364" s="296"/>
    </row>
    <row r="365" spans="2:7">
      <c r="B365" s="52" t="s">
        <v>32</v>
      </c>
      <c r="C365" s="60" t="s">
        <v>33</v>
      </c>
      <c r="D365" s="52" t="s">
        <v>68</v>
      </c>
      <c r="E365" s="53" t="s">
        <v>69</v>
      </c>
      <c r="F365" s="53" t="s">
        <v>32</v>
      </c>
      <c r="G365" s="60" t="s">
        <v>33</v>
      </c>
    </row>
    <row r="366" spans="2:7">
      <c r="B366" s="54">
        <v>50</v>
      </c>
      <c r="C366" s="36" t="s">
        <v>36</v>
      </c>
      <c r="D366" s="57">
        <f>3.2</f>
        <v>3.2</v>
      </c>
      <c r="E366" s="58"/>
      <c r="F366" s="58">
        <f>4.45+3.4+3.4+3.7+4.45+4.5+4.5+3.4+4</f>
        <v>35.799999999999997</v>
      </c>
      <c r="G366" s="70" t="s">
        <v>91</v>
      </c>
    </row>
    <row r="367" spans="2:7">
      <c r="B367" s="55"/>
      <c r="C367" s="33"/>
      <c r="D367" s="57"/>
      <c r="E367" s="58"/>
      <c r="F367" s="58">
        <f>6.5</f>
        <v>6.5</v>
      </c>
      <c r="G367" s="70" t="s">
        <v>92</v>
      </c>
    </row>
    <row r="368" spans="2:7">
      <c r="B368" s="55"/>
      <c r="C368" s="33"/>
      <c r="D368" s="57"/>
      <c r="E368" s="58">
        <f>24.54</f>
        <v>24.54</v>
      </c>
      <c r="F368" s="58"/>
      <c r="G368" s="33" t="s">
        <v>382</v>
      </c>
    </row>
    <row r="369" spans="2:7">
      <c r="B369" s="55"/>
      <c r="C369" s="33"/>
      <c r="D369" s="57"/>
      <c r="E369" s="58">
        <v>6.48</v>
      </c>
      <c r="F369" s="58"/>
      <c r="G369" s="33" t="s">
        <v>391</v>
      </c>
    </row>
    <row r="370" spans="2:7">
      <c r="B370" s="55"/>
      <c r="C370" s="33"/>
      <c r="D370" s="57"/>
      <c r="E370" s="58"/>
      <c r="F370" s="58"/>
      <c r="G370" s="33"/>
    </row>
    <row r="371" spans="2:7">
      <c r="B371" s="55"/>
      <c r="C371" s="33"/>
      <c r="D371" s="57"/>
      <c r="E371" s="58"/>
      <c r="F371" s="58"/>
      <c r="G371" s="33"/>
    </row>
    <row r="372" spans="2:7">
      <c r="B372" s="55"/>
      <c r="C372" s="33"/>
      <c r="D372" s="57"/>
      <c r="E372" s="58"/>
      <c r="F372" s="58"/>
      <c r="G372" s="33"/>
    </row>
    <row r="373" spans="2:7">
      <c r="B373" s="55"/>
      <c r="C373" s="33"/>
      <c r="D373" s="57"/>
      <c r="E373" s="58"/>
      <c r="F373" s="58"/>
      <c r="G373" s="33"/>
    </row>
    <row r="374" spans="2:7">
      <c r="B374" s="55"/>
      <c r="C374" s="33"/>
      <c r="D374" s="57"/>
      <c r="E374" s="58"/>
      <c r="F374" s="58"/>
      <c r="G374" s="33"/>
    </row>
    <row r="375" spans="2:7">
      <c r="B375" s="55"/>
      <c r="C375" s="33"/>
      <c r="D375" s="57"/>
      <c r="E375" s="58"/>
      <c r="F375" s="58"/>
      <c r="G375" s="33"/>
    </row>
    <row r="376" spans="2:7">
      <c r="B376" s="55"/>
      <c r="C376" s="33"/>
      <c r="D376" s="57"/>
      <c r="E376" s="58"/>
      <c r="F376" s="58"/>
      <c r="G376" s="33"/>
    </row>
    <row r="377" spans="2:7">
      <c r="B377" s="55"/>
      <c r="C377" s="33"/>
      <c r="D377" s="57"/>
      <c r="E377" s="58"/>
      <c r="F377" s="58"/>
      <c r="G377" s="33"/>
    </row>
    <row r="378" spans="2:7">
      <c r="B378" s="55"/>
      <c r="C378" s="33"/>
      <c r="D378" s="57"/>
      <c r="E378" s="58"/>
      <c r="F378" s="58"/>
      <c r="G378" s="33"/>
    </row>
    <row r="379" spans="2:7" ht="15.75" thickBot="1">
      <c r="B379" s="56"/>
      <c r="C379" s="34"/>
      <c r="D379" s="56"/>
      <c r="E379" s="59"/>
      <c r="F379" s="59"/>
      <c r="G379" s="34"/>
    </row>
    <row r="380" spans="2:7" ht="15.75" thickBot="1">
      <c r="B380" s="56">
        <f>SUM(B366:B379)</f>
        <v>50</v>
      </c>
      <c r="C380" s="34" t="s">
        <v>66</v>
      </c>
      <c r="D380" s="56">
        <f>SUM(D366:D379)</f>
        <v>3.2</v>
      </c>
      <c r="E380" s="56">
        <f>SUM(E366:E379)</f>
        <v>31.02</v>
      </c>
      <c r="F380" s="56">
        <f>SUM(F366:F379)</f>
        <v>42.3</v>
      </c>
      <c r="G380" s="34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89" t="str">
        <f>'2018'!A39</f>
        <v>Dreamed Holidays</v>
      </c>
      <c r="C382" s="290"/>
      <c r="D382" s="290"/>
      <c r="E382" s="290"/>
      <c r="F382" s="290"/>
      <c r="G382" s="291"/>
    </row>
    <row r="383" spans="2:7" ht="15" customHeight="1" thickBot="1">
      <c r="B383" s="292"/>
      <c r="C383" s="293"/>
      <c r="D383" s="293"/>
      <c r="E383" s="293"/>
      <c r="F383" s="293"/>
      <c r="G383" s="294"/>
    </row>
    <row r="384" spans="2:7">
      <c r="B384" s="297" t="s">
        <v>10</v>
      </c>
      <c r="C384" s="296"/>
      <c r="D384" s="295" t="s">
        <v>11</v>
      </c>
      <c r="E384" s="295"/>
      <c r="F384" s="295"/>
      <c r="G384" s="296"/>
    </row>
    <row r="385" spans="2:7">
      <c r="B385" s="52" t="s">
        <v>32</v>
      </c>
      <c r="C385" s="60" t="s">
        <v>33</v>
      </c>
      <c r="D385" s="52" t="s">
        <v>68</v>
      </c>
      <c r="E385" s="53" t="s">
        <v>69</v>
      </c>
      <c r="F385" s="53" t="s">
        <v>32</v>
      </c>
      <c r="G385" s="60" t="s">
        <v>33</v>
      </c>
    </row>
    <row r="386" spans="2:7">
      <c r="B386" s="54">
        <v>10</v>
      </c>
      <c r="C386" s="36"/>
      <c r="D386" s="57"/>
      <c r="E386" s="58"/>
      <c r="F386" s="58"/>
      <c r="G386" s="33"/>
    </row>
    <row r="387" spans="2:7">
      <c r="B387" s="55"/>
      <c r="C387" s="33"/>
      <c r="D387" s="57"/>
      <c r="E387" s="58"/>
      <c r="F387" s="58"/>
      <c r="G387" s="33"/>
    </row>
    <row r="388" spans="2:7">
      <c r="B388" s="55"/>
      <c r="C388" s="33"/>
      <c r="D388" s="57"/>
      <c r="E388" s="58"/>
      <c r="F388" s="58"/>
      <c r="G388" s="33"/>
    </row>
    <row r="389" spans="2:7">
      <c r="B389" s="55"/>
      <c r="C389" s="33"/>
      <c r="D389" s="57"/>
      <c r="E389" s="58"/>
      <c r="F389" s="58"/>
      <c r="G389" s="33"/>
    </row>
    <row r="390" spans="2:7">
      <c r="B390" s="55"/>
      <c r="C390" s="33"/>
      <c r="D390" s="57"/>
      <c r="E390" s="58"/>
      <c r="F390" s="58"/>
      <c r="G390" s="33"/>
    </row>
    <row r="391" spans="2:7">
      <c r="B391" s="55"/>
      <c r="C391" s="33"/>
      <c r="D391" s="57"/>
      <c r="E391" s="58"/>
      <c r="F391" s="58"/>
      <c r="G391" s="33"/>
    </row>
    <row r="392" spans="2:7">
      <c r="B392" s="55"/>
      <c r="C392" s="33"/>
      <c r="D392" s="57"/>
      <c r="E392" s="58"/>
      <c r="F392" s="58"/>
      <c r="G392" s="33"/>
    </row>
    <row r="393" spans="2:7">
      <c r="B393" s="55"/>
      <c r="C393" s="33"/>
      <c r="D393" s="57"/>
      <c r="E393" s="58"/>
      <c r="F393" s="58"/>
      <c r="G393" s="33"/>
    </row>
    <row r="394" spans="2:7">
      <c r="B394" s="55"/>
      <c r="C394" s="33"/>
      <c r="D394" s="57"/>
      <c r="E394" s="58"/>
      <c r="F394" s="58"/>
      <c r="G394" s="33"/>
    </row>
    <row r="395" spans="2:7">
      <c r="B395" s="55"/>
      <c r="C395" s="33"/>
      <c r="D395" s="57"/>
      <c r="E395" s="58"/>
      <c r="F395" s="58"/>
      <c r="G395" s="33"/>
    </row>
    <row r="396" spans="2:7">
      <c r="B396" s="55"/>
      <c r="C396" s="33"/>
      <c r="D396" s="57"/>
      <c r="E396" s="58"/>
      <c r="F396" s="58"/>
      <c r="G396" s="33"/>
    </row>
    <row r="397" spans="2:7">
      <c r="B397" s="55"/>
      <c r="C397" s="33"/>
      <c r="D397" s="57"/>
      <c r="E397" s="58"/>
      <c r="F397" s="58"/>
      <c r="G397" s="33"/>
    </row>
    <row r="398" spans="2:7">
      <c r="B398" s="55"/>
      <c r="C398" s="33"/>
      <c r="D398" s="57"/>
      <c r="E398" s="58"/>
      <c r="F398" s="58"/>
      <c r="G398" s="33"/>
    </row>
    <row r="399" spans="2:7" ht="15.75" thickBot="1">
      <c r="B399" s="56"/>
      <c r="C399" s="34"/>
      <c r="D399" s="56"/>
      <c r="E399" s="59"/>
      <c r="F399" s="59"/>
      <c r="G399" s="34"/>
    </row>
    <row r="400" spans="2:7" ht="15.75" thickBot="1">
      <c r="B400" s="56">
        <f>SUM(B386:B399)</f>
        <v>10</v>
      </c>
      <c r="C400" s="34" t="s">
        <v>66</v>
      </c>
      <c r="D400" s="56">
        <f>SUM(D386:D399)</f>
        <v>0</v>
      </c>
      <c r="E400" s="56">
        <f>SUM(E386:E399)</f>
        <v>0</v>
      </c>
      <c r="F400" s="56">
        <f>SUM(F386:F399)</f>
        <v>0</v>
      </c>
      <c r="G400" s="34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89" t="str">
        <f>'2018'!A40</f>
        <v>Financieros</v>
      </c>
      <c r="C402" s="290"/>
      <c r="D402" s="290"/>
      <c r="E402" s="290"/>
      <c r="F402" s="290"/>
      <c r="G402" s="291"/>
    </row>
    <row r="403" spans="2:7" ht="15" customHeight="1" thickBot="1">
      <c r="B403" s="292"/>
      <c r="C403" s="293"/>
      <c r="D403" s="293"/>
      <c r="E403" s="293"/>
      <c r="F403" s="293"/>
      <c r="G403" s="294"/>
    </row>
    <row r="404" spans="2:7">
      <c r="B404" s="297" t="s">
        <v>10</v>
      </c>
      <c r="C404" s="296"/>
      <c r="D404" s="295" t="s">
        <v>11</v>
      </c>
      <c r="E404" s="295"/>
      <c r="F404" s="295"/>
      <c r="G404" s="296"/>
    </row>
    <row r="405" spans="2:7">
      <c r="B405" s="52" t="s">
        <v>32</v>
      </c>
      <c r="C405" s="60" t="s">
        <v>33</v>
      </c>
      <c r="D405" s="52" t="s">
        <v>68</v>
      </c>
      <c r="E405" s="53" t="s">
        <v>69</v>
      </c>
      <c r="F405" s="53" t="s">
        <v>32</v>
      </c>
      <c r="G405" s="60" t="s">
        <v>33</v>
      </c>
    </row>
    <row r="406" spans="2:7">
      <c r="B406" s="54">
        <v>38.64</v>
      </c>
      <c r="C406" s="36" t="s">
        <v>361</v>
      </c>
      <c r="D406" s="57"/>
      <c r="E406" s="58"/>
      <c r="F406" s="58"/>
      <c r="G406" s="33"/>
    </row>
    <row r="407" spans="2:7">
      <c r="B407" s="55"/>
      <c r="C407" s="33"/>
      <c r="D407" s="57"/>
      <c r="E407" s="58"/>
      <c r="F407" s="58"/>
      <c r="G407" s="33"/>
    </row>
    <row r="408" spans="2:7">
      <c r="B408" s="55"/>
      <c r="C408" s="33"/>
      <c r="D408" s="57"/>
      <c r="E408" s="58"/>
      <c r="F408" s="58"/>
      <c r="G408" s="33"/>
    </row>
    <row r="409" spans="2:7">
      <c r="B409" s="55"/>
      <c r="C409" s="33"/>
      <c r="D409" s="57"/>
      <c r="E409" s="58"/>
      <c r="F409" s="58"/>
      <c r="G409" s="33"/>
    </row>
    <row r="410" spans="2:7">
      <c r="B410" s="55"/>
      <c r="C410" s="33"/>
      <c r="D410" s="57"/>
      <c r="E410" s="58"/>
      <c r="F410" s="58"/>
      <c r="G410" s="33"/>
    </row>
    <row r="411" spans="2:7">
      <c r="B411" s="55"/>
      <c r="C411" s="33"/>
      <c r="D411" s="57"/>
      <c r="E411" s="58"/>
      <c r="F411" s="58"/>
      <c r="G411" s="33"/>
    </row>
    <row r="412" spans="2:7">
      <c r="B412" s="55"/>
      <c r="C412" s="33"/>
      <c r="D412" s="57"/>
      <c r="E412" s="58"/>
      <c r="F412" s="58"/>
      <c r="G412" s="33"/>
    </row>
    <row r="413" spans="2:7">
      <c r="B413" s="55"/>
      <c r="C413" s="33"/>
      <c r="D413" s="57"/>
      <c r="E413" s="58"/>
      <c r="F413" s="58"/>
      <c r="G413" s="33"/>
    </row>
    <row r="414" spans="2:7">
      <c r="B414" s="55"/>
      <c r="C414" s="33"/>
      <c r="D414" s="57"/>
      <c r="E414" s="58"/>
      <c r="F414" s="58"/>
      <c r="G414" s="33"/>
    </row>
    <row r="415" spans="2:7">
      <c r="B415" s="55"/>
      <c r="C415" s="33"/>
      <c r="D415" s="57"/>
      <c r="E415" s="58"/>
      <c r="F415" s="58"/>
      <c r="G415" s="33"/>
    </row>
    <row r="416" spans="2:7">
      <c r="B416" s="55"/>
      <c r="C416" s="33"/>
      <c r="D416" s="57"/>
      <c r="E416" s="58"/>
      <c r="F416" s="58"/>
      <c r="G416" s="33"/>
    </row>
    <row r="417" spans="2:7">
      <c r="B417" s="55"/>
      <c r="C417" s="33"/>
      <c r="D417" s="57"/>
      <c r="E417" s="58"/>
      <c r="F417" s="58"/>
      <c r="G417" s="33"/>
    </row>
    <row r="418" spans="2:7">
      <c r="B418" s="55"/>
      <c r="C418" s="33"/>
      <c r="D418" s="57"/>
      <c r="E418" s="58"/>
      <c r="F418" s="58"/>
      <c r="G418" s="33"/>
    </row>
    <row r="419" spans="2:7" ht="15.75" thickBot="1">
      <c r="B419" s="56"/>
      <c r="C419" s="34"/>
      <c r="D419" s="56"/>
      <c r="E419" s="59"/>
      <c r="F419" s="59"/>
      <c r="G419" s="34"/>
    </row>
    <row r="420" spans="2:7" ht="15.75" thickBot="1">
      <c r="B420" s="56">
        <f>SUM(B406:B419)</f>
        <v>38.64</v>
      </c>
      <c r="C420" s="34" t="s">
        <v>66</v>
      </c>
      <c r="D420" s="56">
        <f>SUM(D406:D419)</f>
        <v>0</v>
      </c>
      <c r="E420" s="56">
        <f>SUM(E406:E419)</f>
        <v>0</v>
      </c>
      <c r="F420" s="56">
        <f>SUM(F406:F419)</f>
        <v>0</v>
      </c>
      <c r="G420" s="34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89" t="str">
        <f>'2018'!A41</f>
        <v>Ahorros Colchón</v>
      </c>
      <c r="C422" s="307"/>
      <c r="D422" s="307"/>
      <c r="E422" s="307"/>
      <c r="F422" s="307"/>
      <c r="G422" s="308"/>
    </row>
    <row r="423" spans="2:7" ht="15" customHeight="1" thickBot="1">
      <c r="B423" s="309"/>
      <c r="C423" s="310"/>
      <c r="D423" s="310"/>
      <c r="E423" s="310"/>
      <c r="F423" s="310"/>
      <c r="G423" s="311"/>
    </row>
    <row r="424" spans="2:7">
      <c r="B424" s="297" t="s">
        <v>10</v>
      </c>
      <c r="C424" s="296"/>
      <c r="D424" s="295" t="s">
        <v>11</v>
      </c>
      <c r="E424" s="295"/>
      <c r="F424" s="295"/>
      <c r="G424" s="296"/>
    </row>
    <row r="425" spans="2:7">
      <c r="B425" s="52" t="s">
        <v>32</v>
      </c>
      <c r="C425" s="60" t="s">
        <v>33</v>
      </c>
      <c r="D425" s="52" t="s">
        <v>68</v>
      </c>
      <c r="E425" s="53" t="s">
        <v>69</v>
      </c>
      <c r="F425" s="53" t="s">
        <v>32</v>
      </c>
      <c r="G425" s="60" t="s">
        <v>33</v>
      </c>
    </row>
    <row r="426" spans="2:7">
      <c r="B426" s="54">
        <v>-223</v>
      </c>
      <c r="C426" s="36" t="s">
        <v>369</v>
      </c>
      <c r="D426" s="57"/>
      <c r="E426" s="58"/>
      <c r="F426" s="58"/>
      <c r="G426" s="33"/>
    </row>
    <row r="427" spans="2:7">
      <c r="B427" s="55">
        <v>-27.52</v>
      </c>
      <c r="C427" s="33" t="s">
        <v>392</v>
      </c>
      <c r="D427" s="57"/>
      <c r="E427" s="58"/>
      <c r="F427" s="58"/>
      <c r="G427" s="33"/>
    </row>
    <row r="428" spans="2:7">
      <c r="B428" s="55"/>
      <c r="C428" s="33"/>
      <c r="D428" s="57"/>
      <c r="E428" s="58"/>
      <c r="F428" s="58"/>
      <c r="G428" s="33"/>
    </row>
    <row r="429" spans="2:7">
      <c r="B429" s="55"/>
      <c r="C429" s="33"/>
      <c r="D429" s="57"/>
      <c r="E429" s="58"/>
      <c r="F429" s="58"/>
      <c r="G429" s="33"/>
    </row>
    <row r="430" spans="2:7">
      <c r="B430" s="55"/>
      <c r="C430" s="33"/>
      <c r="D430" s="57"/>
      <c r="E430" s="58"/>
      <c r="F430" s="58"/>
      <c r="G430" s="33"/>
    </row>
    <row r="431" spans="2:7">
      <c r="B431" s="55"/>
      <c r="C431" s="33"/>
      <c r="D431" s="57"/>
      <c r="E431" s="58"/>
      <c r="F431" s="58"/>
      <c r="G431" s="33"/>
    </row>
    <row r="432" spans="2:7">
      <c r="B432" s="55"/>
      <c r="C432" s="33"/>
      <c r="D432" s="57"/>
      <c r="E432" s="58"/>
      <c r="F432" s="58"/>
      <c r="G432" s="33"/>
    </row>
    <row r="433" spans="2:7">
      <c r="B433" s="55"/>
      <c r="C433" s="33"/>
      <c r="D433" s="57"/>
      <c r="E433" s="58"/>
      <c r="F433" s="58"/>
      <c r="G433" s="33"/>
    </row>
    <row r="434" spans="2:7">
      <c r="B434" s="55"/>
      <c r="C434" s="33"/>
      <c r="D434" s="57"/>
      <c r="E434" s="58"/>
      <c r="F434" s="58"/>
      <c r="G434" s="33"/>
    </row>
    <row r="435" spans="2:7">
      <c r="B435" s="55"/>
      <c r="C435" s="33"/>
      <c r="D435" s="57"/>
      <c r="E435" s="58"/>
      <c r="F435" s="58"/>
      <c r="G435" s="33"/>
    </row>
    <row r="436" spans="2:7">
      <c r="B436" s="55"/>
      <c r="C436" s="33"/>
      <c r="D436" s="57"/>
      <c r="E436" s="58"/>
      <c r="F436" s="58"/>
      <c r="G436" s="33"/>
    </row>
    <row r="437" spans="2:7">
      <c r="B437" s="55"/>
      <c r="C437" s="33"/>
      <c r="D437" s="57"/>
      <c r="E437" s="58"/>
      <c r="F437" s="58"/>
      <c r="G437" s="33"/>
    </row>
    <row r="438" spans="2:7">
      <c r="B438" s="55"/>
      <c r="C438" s="33"/>
      <c r="D438" s="57"/>
      <c r="E438" s="58"/>
      <c r="F438" s="58"/>
      <c r="G438" s="33"/>
    </row>
    <row r="439" spans="2:7" ht="15.75" thickBot="1">
      <c r="B439" s="56"/>
      <c r="C439" s="34"/>
      <c r="D439" s="56"/>
      <c r="E439" s="59"/>
      <c r="F439" s="59"/>
      <c r="G439" s="34"/>
    </row>
    <row r="440" spans="2:7" ht="15.75" thickBot="1">
      <c r="B440" s="56">
        <f>SUM(B426:B439)</f>
        <v>-250.52</v>
      </c>
      <c r="C440" s="34" t="s">
        <v>66</v>
      </c>
      <c r="D440" s="56">
        <f>SUM(D426:D439)</f>
        <v>0</v>
      </c>
      <c r="E440" s="56">
        <f>SUM(E426:E439)</f>
        <v>0</v>
      </c>
      <c r="F440" s="56">
        <f>SUM(F426:F439)</f>
        <v>0</v>
      </c>
      <c r="G440" s="34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89" t="str">
        <f>'2018'!A42</f>
        <v>Dinero Bloqueado</v>
      </c>
      <c r="C442" s="307"/>
      <c r="D442" s="307"/>
      <c r="E442" s="307"/>
      <c r="F442" s="307"/>
      <c r="G442" s="308"/>
    </row>
    <row r="443" spans="2:7" ht="15" customHeight="1" thickBot="1">
      <c r="B443" s="309"/>
      <c r="C443" s="310"/>
      <c r="D443" s="310"/>
      <c r="E443" s="310"/>
      <c r="F443" s="310"/>
      <c r="G443" s="311"/>
    </row>
    <row r="444" spans="2:7">
      <c r="B444" s="297" t="s">
        <v>10</v>
      </c>
      <c r="C444" s="296"/>
      <c r="D444" s="295" t="s">
        <v>11</v>
      </c>
      <c r="E444" s="295"/>
      <c r="F444" s="295"/>
      <c r="G444" s="296"/>
    </row>
    <row r="445" spans="2:7">
      <c r="B445" s="52" t="s">
        <v>32</v>
      </c>
      <c r="C445" s="60" t="s">
        <v>33</v>
      </c>
      <c r="D445" s="52" t="s">
        <v>68</v>
      </c>
      <c r="E445" s="53" t="s">
        <v>69</v>
      </c>
      <c r="F445" s="53" t="s">
        <v>32</v>
      </c>
      <c r="G445" s="60" t="s">
        <v>33</v>
      </c>
    </row>
    <row r="446" spans="2:7">
      <c r="B446" s="54"/>
      <c r="C446" s="36"/>
      <c r="D446" s="57"/>
      <c r="E446" s="58"/>
      <c r="F446" s="58"/>
      <c r="G446" s="33"/>
    </row>
    <row r="447" spans="2:7">
      <c r="B447" s="55"/>
      <c r="C447" s="33"/>
      <c r="D447" s="57"/>
      <c r="E447" s="58"/>
      <c r="F447" s="58"/>
      <c r="G447" s="33"/>
    </row>
    <row r="448" spans="2:7">
      <c r="B448" s="55"/>
      <c r="C448" s="33"/>
      <c r="D448" s="57"/>
      <c r="E448" s="58"/>
      <c r="F448" s="58"/>
      <c r="G448" s="33"/>
    </row>
    <row r="449" spans="2:7">
      <c r="B449" s="55"/>
      <c r="C449" s="33"/>
      <c r="D449" s="57"/>
      <c r="E449" s="58"/>
      <c r="F449" s="58"/>
      <c r="G449" s="33"/>
    </row>
    <row r="450" spans="2:7">
      <c r="B450" s="55"/>
      <c r="C450" s="33"/>
      <c r="D450" s="57"/>
      <c r="E450" s="58"/>
      <c r="F450" s="58"/>
      <c r="G450" s="33"/>
    </row>
    <row r="451" spans="2:7">
      <c r="B451" s="55"/>
      <c r="C451" s="33"/>
      <c r="D451" s="57"/>
      <c r="E451" s="58"/>
      <c r="F451" s="58"/>
      <c r="G451" s="33"/>
    </row>
    <row r="452" spans="2:7">
      <c r="B452" s="55"/>
      <c r="C452" s="33"/>
      <c r="D452" s="57"/>
      <c r="E452" s="58"/>
      <c r="F452" s="58"/>
      <c r="G452" s="33"/>
    </row>
    <row r="453" spans="2:7">
      <c r="B453" s="55"/>
      <c r="C453" s="33"/>
      <c r="D453" s="57"/>
      <c r="E453" s="58"/>
      <c r="F453" s="58"/>
      <c r="G453" s="33"/>
    </row>
    <row r="454" spans="2:7">
      <c r="B454" s="55"/>
      <c r="C454" s="33"/>
      <c r="D454" s="57"/>
      <c r="E454" s="58"/>
      <c r="F454" s="58"/>
      <c r="G454" s="33"/>
    </row>
    <row r="455" spans="2:7">
      <c r="B455" s="55"/>
      <c r="C455" s="33"/>
      <c r="D455" s="57"/>
      <c r="E455" s="58"/>
      <c r="F455" s="58"/>
      <c r="G455" s="33"/>
    </row>
    <row r="456" spans="2:7">
      <c r="B456" s="55"/>
      <c r="C456" s="33"/>
      <c r="D456" s="57"/>
      <c r="E456" s="58"/>
      <c r="F456" s="58"/>
      <c r="G456" s="33"/>
    </row>
    <row r="457" spans="2:7">
      <c r="B457" s="55"/>
      <c r="C457" s="33"/>
      <c r="D457" s="57"/>
      <c r="E457" s="58"/>
      <c r="F457" s="58"/>
      <c r="G457" s="33"/>
    </row>
    <row r="458" spans="2:7">
      <c r="B458" s="55"/>
      <c r="C458" s="33"/>
      <c r="D458" s="57"/>
      <c r="E458" s="58"/>
      <c r="F458" s="58"/>
      <c r="G458" s="33"/>
    </row>
    <row r="459" spans="2:7" ht="15.75" thickBot="1">
      <c r="B459" s="56"/>
      <c r="C459" s="34"/>
      <c r="D459" s="56"/>
      <c r="E459" s="59"/>
      <c r="F459" s="59"/>
      <c r="G459" s="34"/>
    </row>
    <row r="460" spans="2:7" ht="15.75" thickBot="1">
      <c r="B460" s="56">
        <f>SUM(B446:B459)</f>
        <v>0</v>
      </c>
      <c r="C460" s="34" t="s">
        <v>66</v>
      </c>
      <c r="D460" s="56">
        <f>SUM(D446:D459)</f>
        <v>0</v>
      </c>
      <c r="E460" s="56">
        <f>SUM(E446:E459)</f>
        <v>0</v>
      </c>
      <c r="F460" s="56">
        <f>SUM(F446:F459)</f>
        <v>0</v>
      </c>
      <c r="G460" s="34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89" t="str">
        <f>'2018'!A43</f>
        <v>Cartama Finanazas</v>
      </c>
      <c r="C462" s="307"/>
      <c r="D462" s="307"/>
      <c r="E462" s="307"/>
      <c r="F462" s="307"/>
      <c r="G462" s="308"/>
    </row>
    <row r="463" spans="2:7" ht="15" customHeight="1" thickBot="1">
      <c r="B463" s="309"/>
      <c r="C463" s="310"/>
      <c r="D463" s="310"/>
      <c r="E463" s="310"/>
      <c r="F463" s="310"/>
      <c r="G463" s="311"/>
    </row>
    <row r="464" spans="2:7">
      <c r="B464" s="297" t="s">
        <v>10</v>
      </c>
      <c r="C464" s="296"/>
      <c r="D464" s="295" t="s">
        <v>11</v>
      </c>
      <c r="E464" s="295"/>
      <c r="F464" s="295"/>
      <c r="G464" s="296"/>
    </row>
    <row r="465" spans="2:7">
      <c r="B465" s="52" t="s">
        <v>32</v>
      </c>
      <c r="C465" s="60" t="s">
        <v>33</v>
      </c>
      <c r="D465" s="52" t="s">
        <v>68</v>
      </c>
      <c r="E465" s="53" t="s">
        <v>69</v>
      </c>
      <c r="F465" s="53" t="s">
        <v>32</v>
      </c>
      <c r="G465" s="60" t="s">
        <v>33</v>
      </c>
    </row>
    <row r="466" spans="2:7">
      <c r="B466" s="54"/>
      <c r="C466" s="36"/>
      <c r="D466" s="57"/>
      <c r="E466" s="58"/>
      <c r="F466" s="58"/>
      <c r="G466" s="33"/>
    </row>
    <row r="467" spans="2:7">
      <c r="B467" s="55"/>
      <c r="C467" s="33"/>
      <c r="D467" s="57"/>
      <c r="E467" s="58"/>
      <c r="F467" s="58"/>
      <c r="G467" s="33"/>
    </row>
    <row r="468" spans="2:7">
      <c r="B468" s="55"/>
      <c r="C468" s="33"/>
      <c r="D468" s="57"/>
      <c r="E468" s="58"/>
      <c r="F468" s="58"/>
      <c r="G468" s="33"/>
    </row>
    <row r="469" spans="2:7">
      <c r="B469" s="55"/>
      <c r="C469" s="33"/>
      <c r="D469" s="57"/>
      <c r="E469" s="58"/>
      <c r="F469" s="58"/>
      <c r="G469" s="33"/>
    </row>
    <row r="470" spans="2:7">
      <c r="B470" s="55"/>
      <c r="C470" s="33"/>
      <c r="D470" s="57"/>
      <c r="E470" s="58"/>
      <c r="F470" s="58"/>
      <c r="G470" s="33"/>
    </row>
    <row r="471" spans="2:7">
      <c r="B471" s="55"/>
      <c r="C471" s="33"/>
      <c r="D471" s="57"/>
      <c r="E471" s="58"/>
      <c r="F471" s="58"/>
      <c r="G471" s="33"/>
    </row>
    <row r="472" spans="2:7">
      <c r="B472" s="55"/>
      <c r="C472" s="33"/>
      <c r="D472" s="57"/>
      <c r="E472" s="58"/>
      <c r="F472" s="58"/>
      <c r="G472" s="33"/>
    </row>
    <row r="473" spans="2:7">
      <c r="B473" s="55"/>
      <c r="C473" s="33"/>
      <c r="D473" s="57"/>
      <c r="E473" s="58"/>
      <c r="F473" s="58"/>
      <c r="G473" s="33"/>
    </row>
    <row r="474" spans="2:7">
      <c r="B474" s="55"/>
      <c r="C474" s="33"/>
      <c r="D474" s="57"/>
      <c r="E474" s="58"/>
      <c r="F474" s="58"/>
      <c r="G474" s="33"/>
    </row>
    <row r="475" spans="2:7">
      <c r="B475" s="55"/>
      <c r="C475" s="33"/>
      <c r="D475" s="57"/>
      <c r="E475" s="58"/>
      <c r="F475" s="58"/>
      <c r="G475" s="33"/>
    </row>
    <row r="476" spans="2:7">
      <c r="B476" s="55"/>
      <c r="C476" s="33"/>
      <c r="D476" s="57"/>
      <c r="E476" s="58"/>
      <c r="F476" s="58"/>
      <c r="G476" s="33"/>
    </row>
    <row r="477" spans="2:7">
      <c r="B477" s="55"/>
      <c r="C477" s="33"/>
      <c r="D477" s="57"/>
      <c r="E477" s="58"/>
      <c r="F477" s="58"/>
      <c r="G477" s="33"/>
    </row>
    <row r="478" spans="2:7">
      <c r="B478" s="55"/>
      <c r="C478" s="33"/>
      <c r="D478" s="57"/>
      <c r="E478" s="58"/>
      <c r="F478" s="58"/>
      <c r="G478" s="33"/>
    </row>
    <row r="479" spans="2:7" ht="15.75" thickBot="1">
      <c r="B479" s="56"/>
      <c r="C479" s="34"/>
      <c r="D479" s="56"/>
      <c r="E479" s="59"/>
      <c r="F479" s="59"/>
      <c r="G479" s="34"/>
    </row>
    <row r="480" spans="2:7" ht="15.75" thickBot="1">
      <c r="B480" s="56">
        <f>SUM(B466:B479)</f>
        <v>0</v>
      </c>
      <c r="C480" s="34" t="s">
        <v>66</v>
      </c>
      <c r="D480" s="56">
        <f>SUM(D466:D479)</f>
        <v>0</v>
      </c>
      <c r="E480" s="56">
        <f>SUM(E466:E479)</f>
        <v>0</v>
      </c>
      <c r="F480" s="56">
        <f>SUM(F466:F479)</f>
        <v>0</v>
      </c>
      <c r="G480" s="34" t="s">
        <v>66</v>
      </c>
    </row>
    <row r="481" spans="2:7" ht="15.75" thickBot="1"/>
    <row r="482" spans="2:7" ht="14.45" customHeight="1">
      <c r="B482" s="289" t="str">
        <f>'2018'!A44</f>
        <v>NULO</v>
      </c>
      <c r="C482" s="307"/>
      <c r="D482" s="307"/>
      <c r="E482" s="307"/>
      <c r="F482" s="307"/>
      <c r="G482" s="308"/>
    </row>
    <row r="483" spans="2:7" ht="15" customHeight="1" thickBot="1">
      <c r="B483" s="309"/>
      <c r="C483" s="310"/>
      <c r="D483" s="310"/>
      <c r="E483" s="310"/>
      <c r="F483" s="310"/>
      <c r="G483" s="311"/>
    </row>
    <row r="484" spans="2:7">
      <c r="B484" s="297" t="s">
        <v>10</v>
      </c>
      <c r="C484" s="296"/>
      <c r="D484" s="295" t="s">
        <v>11</v>
      </c>
      <c r="E484" s="295"/>
      <c r="F484" s="295"/>
      <c r="G484" s="296"/>
    </row>
    <row r="485" spans="2:7">
      <c r="B485" s="52" t="s">
        <v>32</v>
      </c>
      <c r="C485" s="60" t="s">
        <v>33</v>
      </c>
      <c r="D485" s="52" t="s">
        <v>68</v>
      </c>
      <c r="E485" s="53" t="s">
        <v>69</v>
      </c>
      <c r="F485" s="53" t="s">
        <v>32</v>
      </c>
      <c r="G485" s="60" t="s">
        <v>33</v>
      </c>
    </row>
    <row r="486" spans="2:7">
      <c r="B486" s="54"/>
      <c r="C486" s="36"/>
      <c r="D486" s="57"/>
      <c r="E486" s="58"/>
      <c r="F486" s="58"/>
      <c r="G486" s="33"/>
    </row>
    <row r="487" spans="2:7">
      <c r="B487" s="55"/>
      <c r="C487" s="33"/>
      <c r="D487" s="57"/>
      <c r="E487" s="58"/>
      <c r="F487" s="58"/>
      <c r="G487" s="33"/>
    </row>
    <row r="488" spans="2:7">
      <c r="B488" s="55"/>
      <c r="C488" s="33"/>
      <c r="D488" s="57"/>
      <c r="E488" s="58"/>
      <c r="F488" s="58"/>
      <c r="G488" s="33"/>
    </row>
    <row r="489" spans="2:7">
      <c r="B489" s="55"/>
      <c r="C489" s="33"/>
      <c r="D489" s="57"/>
      <c r="E489" s="58"/>
      <c r="F489" s="58"/>
      <c r="G489" s="33"/>
    </row>
    <row r="490" spans="2:7">
      <c r="B490" s="55"/>
      <c r="C490" s="33"/>
      <c r="D490" s="57"/>
      <c r="E490" s="58"/>
      <c r="F490" s="58"/>
      <c r="G490" s="33"/>
    </row>
    <row r="491" spans="2:7">
      <c r="B491" s="55"/>
      <c r="C491" s="33"/>
      <c r="D491" s="57"/>
      <c r="E491" s="58"/>
      <c r="F491" s="58"/>
      <c r="G491" s="33"/>
    </row>
    <row r="492" spans="2:7">
      <c r="B492" s="55"/>
      <c r="C492" s="33"/>
      <c r="D492" s="57"/>
      <c r="E492" s="58"/>
      <c r="F492" s="58"/>
      <c r="G492" s="33"/>
    </row>
    <row r="493" spans="2:7">
      <c r="B493" s="55"/>
      <c r="C493" s="33"/>
      <c r="D493" s="57"/>
      <c r="E493" s="58"/>
      <c r="F493" s="58"/>
      <c r="G493" s="33"/>
    </row>
    <row r="494" spans="2:7">
      <c r="B494" s="55"/>
      <c r="C494" s="33"/>
      <c r="D494" s="57"/>
      <c r="E494" s="58"/>
      <c r="F494" s="58"/>
      <c r="G494" s="33"/>
    </row>
    <row r="495" spans="2:7">
      <c r="B495" s="55"/>
      <c r="C495" s="33"/>
      <c r="D495" s="57"/>
      <c r="E495" s="58"/>
      <c r="F495" s="58"/>
      <c r="G495" s="33"/>
    </row>
    <row r="496" spans="2:7">
      <c r="B496" s="55"/>
      <c r="C496" s="33"/>
      <c r="D496" s="57"/>
      <c r="E496" s="58"/>
      <c r="F496" s="58"/>
      <c r="G496" s="33"/>
    </row>
    <row r="497" spans="2:7">
      <c r="B497" s="55"/>
      <c r="C497" s="33"/>
      <c r="D497" s="57"/>
      <c r="E497" s="58"/>
      <c r="F497" s="58"/>
      <c r="G497" s="33"/>
    </row>
    <row r="498" spans="2:7">
      <c r="B498" s="55"/>
      <c r="C498" s="33"/>
      <c r="D498" s="57"/>
      <c r="E498" s="58"/>
      <c r="F498" s="58"/>
      <c r="G498" s="33"/>
    </row>
    <row r="499" spans="2:7" ht="15.75" thickBot="1">
      <c r="B499" s="56"/>
      <c r="C499" s="34"/>
      <c r="D499" s="56"/>
      <c r="E499" s="59"/>
      <c r="F499" s="59"/>
      <c r="G499" s="34"/>
    </row>
    <row r="500" spans="2:7" ht="15.75" thickBot="1">
      <c r="B500" s="56">
        <f>SUM(B486:B499)</f>
        <v>0</v>
      </c>
      <c r="C500" s="34" t="s">
        <v>66</v>
      </c>
      <c r="D500" s="56">
        <f>SUM(D486:D499)</f>
        <v>0</v>
      </c>
      <c r="E500" s="56">
        <f>SUM(E486:E499)</f>
        <v>0</v>
      </c>
      <c r="F500" s="56">
        <f>SUM(F486:F499)</f>
        <v>0</v>
      </c>
      <c r="G500" s="34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89" t="str">
        <f>'2018'!A45</f>
        <v>OTROS</v>
      </c>
      <c r="C502" s="307"/>
      <c r="D502" s="307"/>
      <c r="E502" s="307"/>
      <c r="F502" s="307"/>
      <c r="G502" s="308"/>
    </row>
    <row r="503" spans="2:7" ht="15" customHeight="1" thickBot="1">
      <c r="B503" s="309"/>
      <c r="C503" s="310"/>
      <c r="D503" s="310"/>
      <c r="E503" s="310"/>
      <c r="F503" s="310"/>
      <c r="G503" s="311"/>
    </row>
    <row r="504" spans="2:7">
      <c r="B504" s="297" t="s">
        <v>10</v>
      </c>
      <c r="C504" s="296"/>
      <c r="D504" s="295" t="s">
        <v>11</v>
      </c>
      <c r="E504" s="295"/>
      <c r="F504" s="295"/>
      <c r="G504" s="296"/>
    </row>
    <row r="505" spans="2:7">
      <c r="B505" s="52" t="s">
        <v>32</v>
      </c>
      <c r="C505" s="60" t="s">
        <v>33</v>
      </c>
      <c r="D505" s="52" t="s">
        <v>68</v>
      </c>
      <c r="E505" s="53" t="s">
        <v>69</v>
      </c>
      <c r="F505" s="53" t="s">
        <v>32</v>
      </c>
      <c r="G505" s="60" t="s">
        <v>33</v>
      </c>
    </row>
    <row r="506" spans="2:7">
      <c r="B506" s="54"/>
      <c r="C506" s="36"/>
      <c r="D506" s="57"/>
      <c r="E506" s="58"/>
      <c r="F506" s="58"/>
      <c r="G506" s="33"/>
    </row>
    <row r="507" spans="2:7">
      <c r="B507" s="55"/>
      <c r="C507" s="33"/>
      <c r="D507" s="57"/>
      <c r="E507" s="58"/>
      <c r="F507" s="58"/>
      <c r="G507" s="33"/>
    </row>
    <row r="508" spans="2:7">
      <c r="B508" s="55"/>
      <c r="C508" s="33"/>
      <c r="D508" s="57"/>
      <c r="E508" s="58"/>
      <c r="F508" s="58"/>
      <c r="G508" s="33"/>
    </row>
    <row r="509" spans="2:7">
      <c r="B509" s="55"/>
      <c r="C509" s="33"/>
      <c r="D509" s="57"/>
      <c r="E509" s="58"/>
      <c r="F509" s="58"/>
      <c r="G509" s="33"/>
    </row>
    <row r="510" spans="2:7">
      <c r="B510" s="55"/>
      <c r="C510" s="33"/>
      <c r="D510" s="57"/>
      <c r="E510" s="58"/>
      <c r="F510" s="58"/>
      <c r="G510" s="33"/>
    </row>
    <row r="511" spans="2:7">
      <c r="B511" s="55"/>
      <c r="C511" s="33"/>
      <c r="D511" s="57"/>
      <c r="E511" s="58"/>
      <c r="F511" s="58"/>
      <c r="G511" s="33"/>
    </row>
    <row r="512" spans="2:7">
      <c r="B512" s="55"/>
      <c r="C512" s="33"/>
      <c r="D512" s="57"/>
      <c r="E512" s="58"/>
      <c r="F512" s="58"/>
      <c r="G512" s="33"/>
    </row>
    <row r="513" spans="2:7">
      <c r="B513" s="55"/>
      <c r="C513" s="33"/>
      <c r="D513" s="57"/>
      <c r="E513" s="58"/>
      <c r="F513" s="58"/>
      <c r="G513" s="33"/>
    </row>
    <row r="514" spans="2:7">
      <c r="B514" s="55"/>
      <c r="C514" s="33"/>
      <c r="D514" s="57"/>
      <c r="E514" s="58"/>
      <c r="F514" s="58"/>
      <c r="G514" s="33"/>
    </row>
    <row r="515" spans="2:7">
      <c r="B515" s="55"/>
      <c r="C515" s="33"/>
      <c r="D515" s="57"/>
      <c r="E515" s="58"/>
      <c r="F515" s="58"/>
      <c r="G515" s="33"/>
    </row>
    <row r="516" spans="2:7">
      <c r="B516" s="55"/>
      <c r="C516" s="33"/>
      <c r="D516" s="57"/>
      <c r="E516" s="58"/>
      <c r="F516" s="58"/>
      <c r="G516" s="33"/>
    </row>
    <row r="517" spans="2:7">
      <c r="B517" s="55"/>
      <c r="C517" s="33"/>
      <c r="D517" s="57"/>
      <c r="E517" s="58"/>
      <c r="F517" s="58"/>
      <c r="G517" s="33"/>
    </row>
    <row r="518" spans="2:7">
      <c r="B518" s="55"/>
      <c r="C518" s="33"/>
      <c r="D518" s="57"/>
      <c r="E518" s="58"/>
      <c r="F518" s="58"/>
      <c r="G518" s="33"/>
    </row>
    <row r="519" spans="2:7" ht="15.75" thickBot="1">
      <c r="B519" s="56"/>
      <c r="C519" s="34"/>
      <c r="D519" s="56"/>
      <c r="E519" s="59"/>
      <c r="F519" s="59"/>
      <c r="G519" s="34"/>
    </row>
    <row r="520" spans="2:7" ht="15.75" thickBot="1">
      <c r="B520" s="56">
        <f>SUM(B506:B519)</f>
        <v>0</v>
      </c>
      <c r="C520" s="34" t="s">
        <v>66</v>
      </c>
      <c r="D520" s="56">
        <f>SUM(D506:D519)</f>
        <v>0</v>
      </c>
      <c r="E520" s="56">
        <f>SUM(E506:E519)</f>
        <v>0</v>
      </c>
      <c r="F520" s="56">
        <f>SUM(F506:F519)</f>
        <v>0</v>
      </c>
      <c r="G520" s="34" t="s">
        <v>66</v>
      </c>
    </row>
  </sheetData>
  <mergeCells count="111"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500-000000000000}"/>
    <hyperlink ref="I2:L3" location="'2018'!S4:V4" display="SALDO REAL" xr:uid="{00000000-0004-0000-0500-000001000000}"/>
    <hyperlink ref="I22" location="Trimestre!C39:F40" display="TELÉFONO" xr:uid="{00000000-0004-0000-0500-000002000000}"/>
    <hyperlink ref="I22:L23" location="'2018'!S7:V7" display="INGRESOS" xr:uid="{00000000-0004-0000-0500-000003000000}"/>
    <hyperlink ref="B2" location="Trimestre!C25:F26" display="HIPOTECA" xr:uid="{00000000-0004-0000-0500-000004000000}"/>
    <hyperlink ref="B2:G3" location="'2018'!S20:V20" display="'2018'!S20:V20" xr:uid="{00000000-0004-0000-0500-000005000000}"/>
    <hyperlink ref="B22" location="Trimestre!C25:F26" display="HIPOTECA" xr:uid="{00000000-0004-0000-0500-000006000000}"/>
    <hyperlink ref="B22:G23" location="'2018'!S21:V21" display="'2018'!S21:V21" xr:uid="{00000000-0004-0000-0500-000007000000}"/>
    <hyperlink ref="B42" location="Trimestre!C25:F26" display="HIPOTECA" xr:uid="{00000000-0004-0000-0500-000008000000}"/>
    <hyperlink ref="B42:G43" location="'2018'!S22:V22" display="'2018'!S22:V22" xr:uid="{00000000-0004-0000-0500-000009000000}"/>
    <hyperlink ref="B62" location="Trimestre!C25:F26" display="HIPOTECA" xr:uid="{00000000-0004-0000-0500-00000A000000}"/>
    <hyperlink ref="B62:G63" location="'2018'!S23:V23" display="'2018'!S23:V23" xr:uid="{00000000-0004-0000-0500-00000B000000}"/>
    <hyperlink ref="B82" location="Trimestre!C25:F26" display="HIPOTECA" xr:uid="{00000000-0004-0000-0500-00000C000000}"/>
    <hyperlink ref="B82:G83" location="'2018'!S24:V24" display="'2018'!S24:V24" xr:uid="{00000000-0004-0000-0500-00000D000000}"/>
    <hyperlink ref="B102" location="Trimestre!C25:F26" display="HIPOTECA" xr:uid="{00000000-0004-0000-0500-00000E000000}"/>
    <hyperlink ref="B102:G103" location="'2018'!S25:V25" display="'2018'!S25:V25" xr:uid="{00000000-0004-0000-0500-00000F000000}"/>
    <hyperlink ref="B122" location="Trimestre!C25:F26" display="HIPOTECA" xr:uid="{00000000-0004-0000-0500-000010000000}"/>
    <hyperlink ref="B122:G123" location="'2018'!S26:V26" display="'2018'!S26:V26" xr:uid="{00000000-0004-0000-0500-000011000000}"/>
    <hyperlink ref="B142" location="Trimestre!C25:F26" display="HIPOTECA" xr:uid="{00000000-0004-0000-0500-000012000000}"/>
    <hyperlink ref="B142:G143" location="'2018'!S27:V27" display="'2018'!S27:V27" xr:uid="{00000000-0004-0000-0500-000013000000}"/>
    <hyperlink ref="B162" location="Trimestre!C25:F26" display="HIPOTECA" xr:uid="{00000000-0004-0000-0500-000014000000}"/>
    <hyperlink ref="B162:G163" location="'2018'!S28:V28" display="'2018'!S28:V28" xr:uid="{00000000-0004-0000-0500-000015000000}"/>
    <hyperlink ref="B182" location="Trimestre!C25:F26" display="HIPOTECA" xr:uid="{00000000-0004-0000-0500-000016000000}"/>
    <hyperlink ref="B182:G183" location="'2018'!S29:V29" display="'2018'!S29:V29" xr:uid="{00000000-0004-0000-0500-000017000000}"/>
    <hyperlink ref="B202" location="Trimestre!C25:F26" display="HIPOTECA" xr:uid="{00000000-0004-0000-0500-000018000000}"/>
    <hyperlink ref="B202:G203" location="'2018'!S30:V30" display="'2018'!S30:V30" xr:uid="{00000000-0004-0000-0500-000019000000}"/>
    <hyperlink ref="B222" location="Trimestre!C25:F26" display="HIPOTECA" xr:uid="{00000000-0004-0000-0500-00001A000000}"/>
    <hyperlink ref="B222:G223" location="'2018'!S31:V31" display="'2018'!S31:V31" xr:uid="{00000000-0004-0000-0500-00001B000000}"/>
    <hyperlink ref="B242" location="Trimestre!C25:F26" display="HIPOTECA" xr:uid="{00000000-0004-0000-0500-00001C000000}"/>
    <hyperlink ref="B242:G243" location="'2018'!S32:V32" display="'2018'!S32:V32" xr:uid="{00000000-0004-0000-0500-00001D000000}"/>
    <hyperlink ref="B262" location="Trimestre!C25:F26" display="HIPOTECA" xr:uid="{00000000-0004-0000-0500-00001E000000}"/>
    <hyperlink ref="B262:G263" location="'2018'!S33:V33" display="'2018'!S33:V33" xr:uid="{00000000-0004-0000-0500-00001F000000}"/>
    <hyperlink ref="B282" location="Trimestre!C25:F26" display="HIPOTECA" xr:uid="{00000000-0004-0000-0500-000020000000}"/>
    <hyperlink ref="B282:G283" location="'2018'!S34:V34" display="'2018'!S34:V34" xr:uid="{00000000-0004-0000-0500-000021000000}"/>
    <hyperlink ref="B302" location="Trimestre!C25:F26" display="HIPOTECA" xr:uid="{00000000-0004-0000-0500-000022000000}"/>
    <hyperlink ref="B302:G303" location="'2018'!S35:V35" display="'2018'!S35:V35" xr:uid="{00000000-0004-0000-0500-000023000000}"/>
    <hyperlink ref="B322" location="Trimestre!C25:F26" display="HIPOTECA" xr:uid="{00000000-0004-0000-0500-000024000000}"/>
    <hyperlink ref="B322:G323" location="'2018'!S36:V36" display="'2018'!S36:V36" xr:uid="{00000000-0004-0000-0500-000025000000}"/>
    <hyperlink ref="B342" location="Trimestre!C25:F26" display="HIPOTECA" xr:uid="{00000000-0004-0000-0500-000026000000}"/>
    <hyperlink ref="B342:G343" location="'2018'!S37:V37" display="'2018'!S37:V37" xr:uid="{00000000-0004-0000-0500-000027000000}"/>
    <hyperlink ref="B362" location="Trimestre!C25:F26" display="HIPOTECA" xr:uid="{00000000-0004-0000-0500-000028000000}"/>
    <hyperlink ref="B362:G363" location="'2018'!S38:V38" display="'2018'!S38:V38" xr:uid="{00000000-0004-0000-0500-000029000000}"/>
    <hyperlink ref="B382" location="Trimestre!C25:F26" display="HIPOTECA" xr:uid="{00000000-0004-0000-0500-00002A000000}"/>
    <hyperlink ref="B382:G383" location="'2018'!S39:V39" display="'2018'!S39:V39" xr:uid="{00000000-0004-0000-0500-00002B000000}"/>
    <hyperlink ref="B402" location="Trimestre!C25:F26" display="HIPOTECA" xr:uid="{00000000-0004-0000-0500-00002C000000}"/>
    <hyperlink ref="B402:G403" location="'2018'!S40:V40" display="'2018'!S40:V40" xr:uid="{00000000-0004-0000-0500-00002D000000}"/>
    <hyperlink ref="B422" location="Trimestre!C25:F26" display="HIPOTECA" xr:uid="{00000000-0004-0000-0500-00002E000000}"/>
    <hyperlink ref="B422:G423" location="'2018'!S41:V41" display="'2018'!S41:V41" xr:uid="{00000000-0004-0000-0500-00002F000000}"/>
    <hyperlink ref="B442" location="Trimestre!C25:F26" display="HIPOTECA" xr:uid="{00000000-0004-0000-0500-000030000000}"/>
    <hyperlink ref="B442:G443" location="'2018'!S42:V42" display="'2018'!S42:V42" xr:uid="{00000000-0004-0000-0500-000031000000}"/>
    <hyperlink ref="B462" location="Trimestre!C25:F26" display="HIPOTECA" xr:uid="{00000000-0004-0000-0500-000032000000}"/>
    <hyperlink ref="B462:G463" location="'2018'!S43:V43" display="'2018'!S43:V43" xr:uid="{00000000-0004-0000-0500-000033000000}"/>
    <hyperlink ref="B482" location="Trimestre!C25:F26" display="HIPOTECA" xr:uid="{00000000-0004-0000-0500-000034000000}"/>
    <hyperlink ref="B482:G483" location="'2018'!S44:V44" display="'2018'!S44:V44" xr:uid="{00000000-0004-0000-0500-000035000000}"/>
    <hyperlink ref="B502" location="Trimestre!C25:F26" display="HIPOTECA" xr:uid="{00000000-0004-0000-0500-000036000000}"/>
    <hyperlink ref="B502:G503" location="'2018'!S45:V45" display="'2018'!S45:V45" xr:uid="{00000000-0004-0000-0500-000037000000}"/>
  </hyperlink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V520"/>
  <sheetViews>
    <sheetView topLeftCell="A157" workbookViewId="0">
      <selection activeCell="B162" sqref="B162:G163"/>
    </sheetView>
  </sheetViews>
  <sheetFormatPr defaultColWidth="11.42578125" defaultRowHeight="15"/>
  <cols>
    <col min="1" max="1" width="11.42578125" style="137"/>
    <col min="2" max="2" width="10" style="137" customWidth="1"/>
    <col min="3" max="3" width="33.28515625" style="137" customWidth="1"/>
    <col min="4" max="6" width="10" style="137" customWidth="1"/>
    <col min="7" max="7" width="33.28515625" style="137" customWidth="1"/>
    <col min="8" max="9" width="11.42578125" style="137"/>
    <col min="10" max="10" width="31.28515625" style="137" customWidth="1"/>
    <col min="11" max="16384" width="11.42578125" style="137"/>
  </cols>
  <sheetData>
    <row r="1" spans="1:22" ht="16.5" thickBot="1">
      <c r="A1" s="1"/>
      <c r="B1" s="1"/>
      <c r="C1" s="1"/>
      <c r="D1" s="1"/>
      <c r="E1" s="1"/>
      <c r="F1" s="1"/>
      <c r="G1" s="1"/>
      <c r="H1" s="30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89" t="str">
        <f>'2018'!A20</f>
        <v>Cártama Gastos</v>
      </c>
      <c r="C2" s="290"/>
      <c r="D2" s="290"/>
      <c r="E2" s="290"/>
      <c r="F2" s="290"/>
      <c r="G2" s="291"/>
      <c r="H2" s="1"/>
      <c r="I2" s="302" t="s">
        <v>4</v>
      </c>
      <c r="J2" s="290"/>
      <c r="K2" s="290"/>
      <c r="L2" s="291"/>
      <c r="M2" s="1"/>
      <c r="N2" s="1"/>
      <c r="R2" s="3"/>
    </row>
    <row r="3" spans="1:22" ht="16.5" thickBot="1">
      <c r="A3" s="1"/>
      <c r="B3" s="292"/>
      <c r="C3" s="293"/>
      <c r="D3" s="293"/>
      <c r="E3" s="293"/>
      <c r="F3" s="293"/>
      <c r="G3" s="294"/>
      <c r="H3" s="1"/>
      <c r="I3" s="292"/>
      <c r="J3" s="293"/>
      <c r="K3" s="293"/>
      <c r="L3" s="294"/>
      <c r="M3" s="1"/>
      <c r="N3" s="1"/>
      <c r="R3" s="3"/>
    </row>
    <row r="4" spans="1:22" ht="15.75">
      <c r="A4" s="1"/>
      <c r="B4" s="297" t="s">
        <v>10</v>
      </c>
      <c r="C4" s="296"/>
      <c r="D4" s="295" t="s">
        <v>11</v>
      </c>
      <c r="E4" s="295"/>
      <c r="F4" s="295"/>
      <c r="G4" s="296"/>
      <c r="H4" s="1"/>
      <c r="I4" s="88" t="s">
        <v>70</v>
      </c>
      <c r="J4" s="156" t="s">
        <v>71</v>
      </c>
      <c r="K4" s="303" t="s">
        <v>72</v>
      </c>
      <c r="L4" s="304"/>
      <c r="M4" s="1"/>
      <c r="N4" s="1"/>
      <c r="R4" s="3"/>
    </row>
    <row r="5" spans="1:22" ht="15.75">
      <c r="A5" s="1" t="s">
        <v>608</v>
      </c>
      <c r="B5" s="52" t="s">
        <v>32</v>
      </c>
      <c r="C5" s="60" t="s">
        <v>33</v>
      </c>
      <c r="D5" s="52" t="s">
        <v>68</v>
      </c>
      <c r="E5" s="53" t="s">
        <v>69</v>
      </c>
      <c r="F5" s="53" t="s">
        <v>32</v>
      </c>
      <c r="G5" s="60" t="s">
        <v>33</v>
      </c>
      <c r="H5" s="1"/>
      <c r="I5" s="157" t="s">
        <v>73</v>
      </c>
      <c r="J5" s="158" t="s">
        <v>74</v>
      </c>
      <c r="K5" s="305">
        <v>2311.09</v>
      </c>
      <c r="L5" s="306"/>
      <c r="M5" s="1" t="s">
        <v>394</v>
      </c>
      <c r="N5" s="1"/>
      <c r="R5" s="3"/>
    </row>
    <row r="6" spans="1:22" ht="15.75">
      <c r="A6" s="163">
        <f>'05'!A6+B6-E6</f>
        <v>3.9300000000000068</v>
      </c>
      <c r="B6" s="54">
        <v>399</v>
      </c>
      <c r="C6" s="36" t="s">
        <v>311</v>
      </c>
      <c r="D6" s="57"/>
      <c r="E6" s="58">
        <v>398.31</v>
      </c>
      <c r="F6" s="58"/>
      <c r="G6" s="33" t="s">
        <v>35</v>
      </c>
      <c r="H6" s="1"/>
      <c r="I6" s="159" t="s">
        <v>73</v>
      </c>
      <c r="J6" s="158" t="s">
        <v>75</v>
      </c>
      <c r="K6" s="298">
        <v>205.16</v>
      </c>
      <c r="L6" s="299"/>
      <c r="M6" s="1"/>
      <c r="N6" s="1"/>
      <c r="R6" s="3"/>
    </row>
    <row r="7" spans="1:22" ht="15.75">
      <c r="A7" s="163">
        <f>'05'!A7+B7-E7</f>
        <v>-329.3</v>
      </c>
      <c r="B7" s="55">
        <v>60</v>
      </c>
      <c r="C7" s="33" t="s">
        <v>325</v>
      </c>
      <c r="D7" s="57"/>
      <c r="E7" s="58"/>
      <c r="F7" s="58"/>
      <c r="G7" s="33" t="s">
        <v>106</v>
      </c>
      <c r="H7" s="82"/>
      <c r="I7" s="159" t="s">
        <v>76</v>
      </c>
      <c r="J7" s="158" t="s">
        <v>77</v>
      </c>
      <c r="K7" s="298">
        <v>6999</v>
      </c>
      <c r="L7" s="299"/>
      <c r="M7" s="1"/>
      <c r="N7" s="1"/>
      <c r="R7" s="3"/>
    </row>
    <row r="8" spans="1:22" ht="15.75">
      <c r="A8" s="163">
        <f>'05'!A8+B8-E8</f>
        <v>-202.17000000000002</v>
      </c>
      <c r="B8" s="55">
        <v>0</v>
      </c>
      <c r="C8" s="33" t="s">
        <v>38</v>
      </c>
      <c r="D8" s="57"/>
      <c r="E8" s="137">
        <v>82.76</v>
      </c>
      <c r="F8" s="58"/>
      <c r="G8" s="33" t="s">
        <v>38</v>
      </c>
      <c r="H8" s="1"/>
      <c r="I8" s="159" t="s">
        <v>76</v>
      </c>
      <c r="J8" s="158" t="s">
        <v>78</v>
      </c>
      <c r="K8" s="298">
        <v>6000</v>
      </c>
      <c r="L8" s="299"/>
      <c r="M8" s="1"/>
      <c r="N8" s="1"/>
      <c r="R8" s="3"/>
    </row>
    <row r="9" spans="1:22" ht="15.75">
      <c r="A9" s="163">
        <f>'05'!A9+B9-E9</f>
        <v>0</v>
      </c>
      <c r="B9" s="55">
        <v>18.34</v>
      </c>
      <c r="C9" s="33" t="s">
        <v>40</v>
      </c>
      <c r="D9" s="57"/>
      <c r="E9" s="58">
        <v>18.34</v>
      </c>
      <c r="F9" s="58"/>
      <c r="G9" s="33" t="s">
        <v>40</v>
      </c>
      <c r="H9" s="1"/>
      <c r="I9" s="159" t="s">
        <v>76</v>
      </c>
      <c r="J9" s="158" t="s">
        <v>267</v>
      </c>
      <c r="K9" s="298">
        <v>659.77</v>
      </c>
      <c r="L9" s="299"/>
      <c r="M9" s="1"/>
      <c r="N9" s="1"/>
      <c r="R9" s="3"/>
    </row>
    <row r="10" spans="1:22" ht="15.75">
      <c r="A10" s="163">
        <f>'05'!A10+B10-E10</f>
        <v>3</v>
      </c>
      <c r="B10" s="55">
        <v>12</v>
      </c>
      <c r="C10" s="33" t="s">
        <v>39</v>
      </c>
      <c r="D10" s="57"/>
      <c r="E10" s="58">
        <v>12</v>
      </c>
      <c r="F10" s="58"/>
      <c r="G10" s="33" t="s">
        <v>39</v>
      </c>
      <c r="H10" s="1"/>
      <c r="I10" s="159" t="s">
        <v>76</v>
      </c>
      <c r="J10" s="158" t="s">
        <v>115</v>
      </c>
      <c r="K10" s="298">
        <v>1800.04</v>
      </c>
      <c r="L10" s="299"/>
      <c r="M10" s="1" t="s">
        <v>265</v>
      </c>
      <c r="N10" s="1"/>
      <c r="R10" s="3"/>
    </row>
    <row r="11" spans="1:22" ht="15.75">
      <c r="A11" s="163">
        <f>'05'!A11+B11-E11</f>
        <v>4.5600000000000129</v>
      </c>
      <c r="B11" s="55">
        <v>31</v>
      </c>
      <c r="C11" s="33" t="s">
        <v>37</v>
      </c>
      <c r="D11" s="57"/>
      <c r="E11" s="58">
        <v>30.24</v>
      </c>
      <c r="F11" s="58"/>
      <c r="G11" s="33" t="s">
        <v>37</v>
      </c>
      <c r="H11" s="1"/>
      <c r="I11" s="159" t="s">
        <v>93</v>
      </c>
      <c r="J11" s="158" t="s">
        <v>94</v>
      </c>
      <c r="K11" s="298">
        <f>465+90</f>
        <v>555</v>
      </c>
      <c r="L11" s="299"/>
      <c r="M11" s="1"/>
      <c r="N11" s="1"/>
      <c r="R11" s="3"/>
    </row>
    <row r="12" spans="1:22" ht="15.75">
      <c r="A12" s="163">
        <f>'05'!A12+B12-E12</f>
        <v>538.28</v>
      </c>
      <c r="B12" s="55">
        <v>120</v>
      </c>
      <c r="C12" s="33" t="s">
        <v>195</v>
      </c>
      <c r="D12" s="57"/>
      <c r="E12" s="58">
        <v>43.62</v>
      </c>
      <c r="F12" s="58"/>
      <c r="G12" s="33" t="s">
        <v>224</v>
      </c>
      <c r="H12" s="1"/>
      <c r="I12" s="159" t="s">
        <v>303</v>
      </c>
      <c r="J12" s="158" t="s">
        <v>304</v>
      </c>
      <c r="K12" s="298">
        <v>5092.08</v>
      </c>
      <c r="L12" s="299"/>
      <c r="M12" s="140"/>
      <c r="N12" s="1"/>
      <c r="R12" s="3"/>
    </row>
    <row r="13" spans="1:22" ht="15.75">
      <c r="A13" s="163">
        <f>'05'!A13+B13-E13</f>
        <v>167.07</v>
      </c>
      <c r="B13" s="55">
        <v>50</v>
      </c>
      <c r="C13" s="33" t="s">
        <v>196</v>
      </c>
      <c r="D13" s="57"/>
      <c r="E13" s="58"/>
      <c r="F13" s="58"/>
      <c r="G13" s="33"/>
      <c r="H13" s="1"/>
      <c r="I13" s="159"/>
      <c r="J13" s="158"/>
      <c r="K13" s="298"/>
      <c r="L13" s="299"/>
      <c r="M13" s="1"/>
      <c r="N13" s="1"/>
      <c r="R13" s="3"/>
    </row>
    <row r="14" spans="1:22" ht="15.75">
      <c r="A14" s="163">
        <f>'05'!A14+B14-E14</f>
        <v>150</v>
      </c>
      <c r="B14" s="55">
        <v>25</v>
      </c>
      <c r="C14" s="33" t="s">
        <v>206</v>
      </c>
      <c r="D14" s="57"/>
      <c r="E14" s="58"/>
      <c r="F14" s="58"/>
      <c r="G14" s="33"/>
      <c r="H14" s="1"/>
      <c r="I14" s="159"/>
      <c r="J14" s="158"/>
      <c r="K14" s="298"/>
      <c r="L14" s="299"/>
      <c r="M14" s="1"/>
      <c r="N14" s="1"/>
      <c r="R14" s="3"/>
    </row>
    <row r="15" spans="1:22" ht="15.75">
      <c r="A15" s="163">
        <f>'05'!A15+B15-E15</f>
        <v>21</v>
      </c>
      <c r="B15" s="55">
        <v>7</v>
      </c>
      <c r="C15" s="33" t="s">
        <v>352</v>
      </c>
      <c r="D15" s="57"/>
      <c r="E15" s="58"/>
      <c r="F15" s="58"/>
      <c r="G15" s="33"/>
      <c r="H15" s="1"/>
      <c r="I15" s="159"/>
      <c r="J15" s="158"/>
      <c r="K15" s="298"/>
      <c r="L15" s="299"/>
      <c r="M15" s="1"/>
      <c r="N15" s="1"/>
      <c r="R15" s="3"/>
    </row>
    <row r="16" spans="1:22" ht="15.75">
      <c r="A16" s="163">
        <f>'05'!A16+B16-E16</f>
        <v>0</v>
      </c>
      <c r="B16" s="55"/>
      <c r="C16" s="33"/>
      <c r="D16" s="57"/>
      <c r="E16" s="58"/>
      <c r="F16" s="58"/>
      <c r="G16" s="33"/>
      <c r="H16" s="1"/>
      <c r="I16" s="159"/>
      <c r="J16" s="158"/>
      <c r="K16" s="298"/>
      <c r="L16" s="299"/>
      <c r="M16" s="1"/>
      <c r="N16" s="1"/>
      <c r="R16" s="3"/>
    </row>
    <row r="17" spans="1:18" ht="15.75">
      <c r="A17" s="1"/>
      <c r="B17" s="55"/>
      <c r="C17" s="33"/>
      <c r="D17" s="57"/>
      <c r="E17" s="58"/>
      <c r="F17" s="58"/>
      <c r="G17" s="33"/>
      <c r="H17" s="1"/>
      <c r="I17" s="159"/>
      <c r="J17" s="158"/>
      <c r="K17" s="298"/>
      <c r="L17" s="299"/>
      <c r="M17" s="1"/>
      <c r="N17" s="1"/>
      <c r="R17" s="3"/>
    </row>
    <row r="18" spans="1:18" ht="16.5" thickBot="1">
      <c r="A18" s="1"/>
      <c r="B18" s="55"/>
      <c r="C18" s="33"/>
      <c r="D18" s="57"/>
      <c r="E18" s="58"/>
      <c r="F18" s="58"/>
      <c r="G18" s="33"/>
      <c r="H18" s="1"/>
      <c r="I18" s="160"/>
      <c r="J18" s="161"/>
      <c r="K18" s="300"/>
      <c r="L18" s="301"/>
      <c r="M18" s="1"/>
      <c r="N18" s="1"/>
      <c r="R18" s="3"/>
    </row>
    <row r="19" spans="1:18" ht="16.5" thickBot="1">
      <c r="A19" s="1"/>
      <c r="B19" s="56"/>
      <c r="C19" s="34"/>
      <c r="D19" s="56"/>
      <c r="E19" s="59"/>
      <c r="F19" s="59"/>
      <c r="G19" s="34"/>
      <c r="H19" s="1"/>
      <c r="I19" s="63" t="s">
        <v>83</v>
      </c>
      <c r="J19" s="37"/>
      <c r="K19" s="300">
        <f>SUM(K5:K18)</f>
        <v>23622.14</v>
      </c>
      <c r="L19" s="301"/>
      <c r="M19" s="1"/>
      <c r="N19" s="1"/>
      <c r="R19" s="3"/>
    </row>
    <row r="20" spans="1:18" ht="16.5" thickBot="1">
      <c r="A20" s="163">
        <f>SUM(A6:A15)</f>
        <v>356.37000000000006</v>
      </c>
      <c r="B20" s="56">
        <f>SUM(B6:B19)</f>
        <v>722.33999999999992</v>
      </c>
      <c r="C20" s="34" t="s">
        <v>66</v>
      </c>
      <c r="D20" s="56">
        <f>SUM(D6:D19)</f>
        <v>0</v>
      </c>
      <c r="E20" s="56">
        <f>SUM(E6:E19)</f>
        <v>585.27</v>
      </c>
      <c r="F20" s="56">
        <f>SUM(F6:F19)</f>
        <v>0</v>
      </c>
      <c r="G20" s="34" t="s">
        <v>66</v>
      </c>
      <c r="H20" s="1"/>
      <c r="I20" s="137" t="s">
        <v>116</v>
      </c>
      <c r="L20" s="140">
        <f>K19-K10-K12</f>
        <v>16730.019999999997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89" t="str">
        <f>'2018'!A21</f>
        <v>Waterloo</v>
      </c>
      <c r="C22" s="290"/>
      <c r="D22" s="290"/>
      <c r="E22" s="290"/>
      <c r="F22" s="290"/>
      <c r="G22" s="291"/>
      <c r="H22" s="1"/>
      <c r="I22" s="302" t="s">
        <v>6</v>
      </c>
      <c r="J22" s="290"/>
      <c r="K22" s="290"/>
      <c r="L22" s="291"/>
      <c r="M22" s="1"/>
      <c r="R22" s="3"/>
    </row>
    <row r="23" spans="1:18" ht="16.149999999999999" customHeight="1" thickBot="1">
      <c r="A23" s="1"/>
      <c r="B23" s="292"/>
      <c r="C23" s="293"/>
      <c r="D23" s="293"/>
      <c r="E23" s="293"/>
      <c r="F23" s="293"/>
      <c r="G23" s="294"/>
      <c r="H23" s="1"/>
      <c r="I23" s="292"/>
      <c r="J23" s="293"/>
      <c r="K23" s="293"/>
      <c r="L23" s="294"/>
      <c r="M23" s="1"/>
      <c r="R23" s="3"/>
    </row>
    <row r="24" spans="1:18" ht="15.75">
      <c r="A24" s="1"/>
      <c r="B24" s="297" t="s">
        <v>10</v>
      </c>
      <c r="C24" s="296"/>
      <c r="D24" s="295" t="s">
        <v>11</v>
      </c>
      <c r="E24" s="295"/>
      <c r="F24" s="295"/>
      <c r="G24" s="296"/>
      <c r="H24" s="1"/>
      <c r="I24" s="88" t="s">
        <v>33</v>
      </c>
      <c r="J24" s="32" t="s">
        <v>133</v>
      </c>
      <c r="K24" s="303" t="s">
        <v>134</v>
      </c>
      <c r="L24" s="304"/>
      <c r="M24" s="1"/>
      <c r="R24" s="3"/>
    </row>
    <row r="25" spans="1:18" ht="15.75">
      <c r="A25" s="1"/>
      <c r="B25" s="52" t="s">
        <v>32</v>
      </c>
      <c r="C25" s="60" t="s">
        <v>33</v>
      </c>
      <c r="D25" s="52" t="s">
        <v>68</v>
      </c>
      <c r="E25" s="53" t="s">
        <v>69</v>
      </c>
      <c r="F25" s="53" t="s">
        <v>32</v>
      </c>
      <c r="G25" s="60" t="s">
        <v>33</v>
      </c>
      <c r="H25" s="1"/>
      <c r="I25" s="150">
        <v>2</v>
      </c>
      <c r="J25" s="3" t="s">
        <v>336</v>
      </c>
      <c r="K25" s="305">
        <v>197.22</v>
      </c>
      <c r="L25" s="306"/>
      <c r="M25" s="1"/>
      <c r="R25" s="3"/>
    </row>
    <row r="26" spans="1:18" ht="15.75">
      <c r="A26" s="1"/>
      <c r="B26" s="54">
        <v>900</v>
      </c>
      <c r="C26" s="66" t="s">
        <v>42</v>
      </c>
      <c r="D26" s="57">
        <v>900</v>
      </c>
      <c r="E26" s="58"/>
      <c r="F26" s="58"/>
      <c r="G26" s="33" t="s">
        <v>42</v>
      </c>
      <c r="H26" s="1"/>
      <c r="I26" s="151">
        <v>5</v>
      </c>
      <c r="J26" s="35" t="s">
        <v>426</v>
      </c>
      <c r="K26" s="298">
        <v>200</v>
      </c>
      <c r="L26" s="299"/>
      <c r="M26" s="1"/>
      <c r="R26" s="3"/>
    </row>
    <row r="27" spans="1:18" ht="15.75">
      <c r="A27" s="1"/>
      <c r="B27" s="55">
        <v>170</v>
      </c>
      <c r="C27" s="66" t="s">
        <v>44</v>
      </c>
      <c r="D27" s="57">
        <v>104.38</v>
      </c>
      <c r="E27" s="58"/>
      <c r="F27" s="58"/>
      <c r="G27" s="33" t="s">
        <v>44</v>
      </c>
      <c r="H27" s="1"/>
      <c r="I27" s="151"/>
      <c r="J27" s="35"/>
      <c r="K27" s="298"/>
      <c r="L27" s="299"/>
      <c r="M27" s="1"/>
      <c r="R27" s="3"/>
    </row>
    <row r="28" spans="1:18" ht="15.75">
      <c r="A28" s="1"/>
      <c r="B28" s="55">
        <v>40</v>
      </c>
      <c r="C28" s="66" t="s">
        <v>45</v>
      </c>
      <c r="D28" s="57">
        <v>96.94</v>
      </c>
      <c r="E28" s="58"/>
      <c r="F28" s="58"/>
      <c r="G28" s="33" t="s">
        <v>45</v>
      </c>
      <c r="H28" s="1"/>
      <c r="I28" s="151"/>
      <c r="J28" s="35"/>
      <c r="K28" s="298"/>
      <c r="L28" s="299"/>
      <c r="M28" s="1"/>
      <c r="R28" s="3"/>
    </row>
    <row r="29" spans="1:18" ht="15.75">
      <c r="A29" s="1"/>
      <c r="B29" s="55">
        <v>18</v>
      </c>
      <c r="C29" s="66" t="s">
        <v>41</v>
      </c>
      <c r="D29" s="57">
        <v>17.46</v>
      </c>
      <c r="E29" s="58"/>
      <c r="F29" s="58"/>
      <c r="G29" s="33" t="s">
        <v>41</v>
      </c>
      <c r="H29" s="1"/>
      <c r="I29" s="151"/>
      <c r="J29" s="35"/>
      <c r="K29" s="298"/>
      <c r="L29" s="299"/>
      <c r="M29" s="1"/>
      <c r="R29" s="3"/>
    </row>
    <row r="30" spans="1:18" ht="15.75">
      <c r="A30" s="1"/>
      <c r="B30" s="55"/>
      <c r="C30" s="66"/>
      <c r="D30" s="57"/>
      <c r="E30" s="58"/>
      <c r="F30" s="58"/>
      <c r="G30" s="33"/>
      <c r="H30" s="1"/>
      <c r="I30" s="151"/>
      <c r="J30" s="35"/>
      <c r="K30" s="298"/>
      <c r="L30" s="299"/>
      <c r="M30" s="1"/>
      <c r="R30" s="3"/>
    </row>
    <row r="31" spans="1:18" ht="15.75">
      <c r="A31" s="1"/>
      <c r="B31" s="55"/>
      <c r="C31" s="33"/>
      <c r="D31" s="57"/>
      <c r="E31" s="58"/>
      <c r="F31" s="58"/>
      <c r="G31" s="33"/>
      <c r="H31" s="1"/>
      <c r="I31" s="151"/>
      <c r="J31" s="35"/>
      <c r="K31" s="298"/>
      <c r="L31" s="299"/>
      <c r="M31" s="1"/>
      <c r="R31" s="3"/>
    </row>
    <row r="32" spans="1:18" ht="15.75">
      <c r="A32" s="1"/>
      <c r="B32" s="55"/>
      <c r="C32" s="33"/>
      <c r="D32" s="57"/>
      <c r="E32" s="58"/>
      <c r="F32" s="58"/>
      <c r="G32" s="33"/>
      <c r="H32" s="1"/>
      <c r="I32" s="151"/>
      <c r="J32" s="35"/>
      <c r="K32" s="298"/>
      <c r="L32" s="299"/>
      <c r="M32" s="1"/>
      <c r="R32" s="3"/>
    </row>
    <row r="33" spans="1:18" ht="15.75">
      <c r="A33" s="1"/>
      <c r="B33" s="55"/>
      <c r="C33" s="33"/>
      <c r="D33" s="57"/>
      <c r="E33" s="58"/>
      <c r="F33" s="58"/>
      <c r="G33" s="33"/>
      <c r="H33" s="1"/>
      <c r="I33" s="151"/>
      <c r="J33" s="35"/>
      <c r="K33" s="298"/>
      <c r="L33" s="299"/>
      <c r="M33" s="1"/>
      <c r="R33" s="3"/>
    </row>
    <row r="34" spans="1:18" ht="15.75">
      <c r="A34" s="1"/>
      <c r="B34" s="55"/>
      <c r="C34" s="33"/>
      <c r="D34" s="57"/>
      <c r="E34" s="58"/>
      <c r="F34" s="58"/>
      <c r="G34" s="33"/>
      <c r="H34" s="1"/>
      <c r="I34" s="151"/>
      <c r="J34" s="35"/>
      <c r="K34" s="298"/>
      <c r="L34" s="299"/>
      <c r="M34" s="1"/>
      <c r="R34" s="3"/>
    </row>
    <row r="35" spans="1:18" ht="15.75">
      <c r="A35" s="1"/>
      <c r="B35" s="55"/>
      <c r="C35" s="33"/>
      <c r="D35" s="57"/>
      <c r="E35" s="58"/>
      <c r="F35" s="58"/>
      <c r="G35" s="33"/>
      <c r="H35" s="1"/>
      <c r="I35" s="151"/>
      <c r="J35" s="35"/>
      <c r="K35" s="298"/>
      <c r="L35" s="299"/>
      <c r="M35" s="1"/>
      <c r="R35" s="3"/>
    </row>
    <row r="36" spans="1:18" ht="15.75">
      <c r="A36" s="1"/>
      <c r="B36" s="55"/>
      <c r="C36" s="33"/>
      <c r="D36" s="57"/>
      <c r="E36" s="58"/>
      <c r="F36" s="58"/>
      <c r="G36" s="33"/>
      <c r="H36" s="1"/>
      <c r="I36" s="151"/>
      <c r="J36" s="35"/>
      <c r="K36" s="298"/>
      <c r="L36" s="299"/>
      <c r="M36" s="1"/>
      <c r="R36" s="3"/>
    </row>
    <row r="37" spans="1:18" ht="15.75">
      <c r="A37" s="1"/>
      <c r="B37" s="55"/>
      <c r="C37" s="33"/>
      <c r="D37" s="57"/>
      <c r="E37" s="58"/>
      <c r="F37" s="58"/>
      <c r="G37" s="33"/>
      <c r="H37" s="1"/>
      <c r="I37" s="151"/>
      <c r="J37" s="35"/>
      <c r="K37" s="298"/>
      <c r="L37" s="299"/>
      <c r="M37" s="1"/>
      <c r="R37" s="3"/>
    </row>
    <row r="38" spans="1:18" ht="16.5" thickBot="1">
      <c r="A38" s="1"/>
      <c r="B38" s="55"/>
      <c r="C38" s="33"/>
      <c r="D38" s="57"/>
      <c r="E38" s="58"/>
      <c r="F38" s="58"/>
      <c r="G38" s="33"/>
      <c r="H38" s="1"/>
      <c r="I38" s="152"/>
      <c r="J38" s="37"/>
      <c r="K38" s="300"/>
      <c r="L38" s="301"/>
      <c r="M38" s="1"/>
      <c r="R38" s="3"/>
    </row>
    <row r="39" spans="1:18" ht="16.5" thickBot="1">
      <c r="A39" s="1"/>
      <c r="B39" s="56"/>
      <c r="C39" s="34"/>
      <c r="D39" s="56"/>
      <c r="E39" s="59"/>
      <c r="F39" s="59"/>
      <c r="G39" s="34"/>
      <c r="H39" s="1"/>
      <c r="M39" s="1"/>
      <c r="R39" s="3"/>
    </row>
    <row r="40" spans="1:18" ht="16.5" thickBot="1">
      <c r="A40" s="1"/>
      <c r="B40" s="56">
        <f>SUM(B26:B39)</f>
        <v>1128</v>
      </c>
      <c r="C40" s="34" t="s">
        <v>66</v>
      </c>
      <c r="D40" s="56">
        <f>SUM(D26:D39)</f>
        <v>1118.78</v>
      </c>
      <c r="E40" s="56">
        <f>SUM(E26:E39)</f>
        <v>0</v>
      </c>
      <c r="F40" s="56">
        <f>SUM(F26:F39)</f>
        <v>0</v>
      </c>
      <c r="G40" s="34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89" t="str">
        <f>'2018'!A22</f>
        <v>Comida+Limpieza</v>
      </c>
      <c r="C42" s="290"/>
      <c r="D42" s="290"/>
      <c r="E42" s="290"/>
      <c r="F42" s="290"/>
      <c r="G42" s="291"/>
      <c r="H42" s="1"/>
      <c r="M42" s="1"/>
      <c r="R42" s="3"/>
    </row>
    <row r="43" spans="1:18" ht="16.149999999999999" customHeight="1" thickBot="1">
      <c r="A43" s="1"/>
      <c r="B43" s="292"/>
      <c r="C43" s="293"/>
      <c r="D43" s="293"/>
      <c r="E43" s="293"/>
      <c r="F43" s="293"/>
      <c r="G43" s="294"/>
      <c r="H43" s="1"/>
      <c r="M43" s="1"/>
      <c r="R43" s="3"/>
    </row>
    <row r="44" spans="1:18" ht="15.75">
      <c r="A44" s="1"/>
      <c r="B44" s="297" t="s">
        <v>10</v>
      </c>
      <c r="C44" s="296"/>
      <c r="D44" s="295" t="s">
        <v>11</v>
      </c>
      <c r="E44" s="295"/>
      <c r="F44" s="295"/>
      <c r="G44" s="296"/>
      <c r="H44" s="1"/>
      <c r="M44" s="1"/>
      <c r="R44" s="3"/>
    </row>
    <row r="45" spans="1:18" ht="15.75">
      <c r="A45" s="1"/>
      <c r="B45" s="52" t="s">
        <v>32</v>
      </c>
      <c r="C45" s="60" t="s">
        <v>33</v>
      </c>
      <c r="D45" s="52" t="s">
        <v>68</v>
      </c>
      <c r="E45" s="53" t="s">
        <v>69</v>
      </c>
      <c r="F45" s="53" t="s">
        <v>32</v>
      </c>
      <c r="G45" s="60" t="s">
        <v>393</v>
      </c>
      <c r="H45" s="1"/>
      <c r="M45" s="1"/>
      <c r="R45" s="3"/>
    </row>
    <row r="46" spans="1:18" ht="15.75">
      <c r="A46" s="1"/>
      <c r="B46" s="54">
        <v>450</v>
      </c>
      <c r="C46" s="36"/>
      <c r="D46" s="57">
        <f>62.36+5.24</f>
        <v>67.599999999999994</v>
      </c>
      <c r="E46" s="58"/>
      <c r="F46" s="58"/>
      <c r="G46" s="69" t="s">
        <v>397</v>
      </c>
      <c r="H46" s="1"/>
      <c r="M46" s="1"/>
      <c r="R46" s="3"/>
    </row>
    <row r="47" spans="1:18" ht="15.75">
      <c r="A47" s="1"/>
      <c r="B47" s="55">
        <v>28</v>
      </c>
      <c r="C47" s="33" t="s">
        <v>110</v>
      </c>
      <c r="D47" s="57">
        <f>61.31+15.03</f>
        <v>76.34</v>
      </c>
      <c r="E47" s="58"/>
      <c r="F47" s="58"/>
      <c r="G47" s="33" t="s">
        <v>406</v>
      </c>
      <c r="H47" s="1"/>
      <c r="M47" s="1"/>
      <c r="R47" s="3"/>
    </row>
    <row r="48" spans="1:18" ht="15.75">
      <c r="A48" s="1"/>
      <c r="B48" s="55"/>
      <c r="C48" s="33"/>
      <c r="D48" s="57">
        <f>17.55</f>
        <v>17.55</v>
      </c>
      <c r="E48" s="58"/>
      <c r="F48" s="58"/>
      <c r="G48" s="33" t="s">
        <v>398</v>
      </c>
      <c r="H48" s="1"/>
      <c r="M48" s="1"/>
      <c r="R48" s="3"/>
    </row>
    <row r="49" spans="1:18" ht="15.75">
      <c r="A49" s="1"/>
      <c r="B49" s="55"/>
      <c r="C49" s="33"/>
      <c r="D49" s="57">
        <f>44.91+25.05+22.11</f>
        <v>92.07</v>
      </c>
      <c r="E49" s="58"/>
      <c r="F49" s="58"/>
      <c r="G49" s="33" t="s">
        <v>446</v>
      </c>
      <c r="H49" s="1"/>
      <c r="M49" s="1"/>
      <c r="R49" s="3"/>
    </row>
    <row r="50" spans="1:18" ht="15.75">
      <c r="A50" s="1"/>
      <c r="B50" s="55"/>
      <c r="C50" s="33"/>
      <c r="D50" s="57">
        <f>17.96</f>
        <v>17.96</v>
      </c>
      <c r="E50" s="58"/>
      <c r="F50" s="58"/>
      <c r="G50" s="33" t="s">
        <v>402</v>
      </c>
      <c r="H50" s="1"/>
      <c r="M50" s="1"/>
      <c r="R50" s="3"/>
    </row>
    <row r="51" spans="1:18" ht="15.75">
      <c r="A51" s="1"/>
      <c r="B51" s="55"/>
      <c r="C51" s="33"/>
      <c r="D51" s="57">
        <v>97.8</v>
      </c>
      <c r="E51" s="58"/>
      <c r="F51" s="58"/>
      <c r="G51" s="33" t="s">
        <v>403</v>
      </c>
      <c r="H51" s="1"/>
      <c r="M51" s="1"/>
      <c r="R51" s="3"/>
    </row>
    <row r="52" spans="1:18" ht="15.75">
      <c r="A52" s="1"/>
      <c r="B52" s="55"/>
      <c r="C52" s="33"/>
      <c r="D52" s="57">
        <f>7.88</f>
        <v>7.88</v>
      </c>
      <c r="E52" s="58"/>
      <c r="F52" s="58"/>
      <c r="G52" s="33" t="s">
        <v>405</v>
      </c>
      <c r="H52" s="1"/>
      <c r="M52" s="1"/>
      <c r="R52" s="3"/>
    </row>
    <row r="53" spans="1:18" ht="15.75">
      <c r="A53" s="1"/>
      <c r="B53" s="55"/>
      <c r="C53" s="33"/>
      <c r="D53" s="57">
        <v>42.68</v>
      </c>
      <c r="E53" s="58"/>
      <c r="F53" s="58"/>
      <c r="G53" s="33" t="s">
        <v>417</v>
      </c>
      <c r="H53" s="1"/>
      <c r="M53" s="1"/>
      <c r="R53" s="3"/>
    </row>
    <row r="54" spans="1:18" ht="15.75">
      <c r="A54" s="1"/>
      <c r="B54" s="55"/>
      <c r="C54" s="33"/>
      <c r="D54" s="57">
        <v>6.5</v>
      </c>
      <c r="E54" s="58"/>
      <c r="F54" s="58"/>
      <c r="G54" s="33" t="s">
        <v>423</v>
      </c>
      <c r="H54" s="1"/>
      <c r="M54" s="1"/>
      <c r="R54" s="3"/>
    </row>
    <row r="55" spans="1:18" ht="15.75">
      <c r="A55" s="1"/>
      <c r="B55" s="55"/>
      <c r="C55" s="33"/>
      <c r="D55" s="57">
        <f>53.42-D327</f>
        <v>44.42</v>
      </c>
      <c r="E55" s="58"/>
      <c r="F55" s="58"/>
      <c r="G55" s="33" t="s">
        <v>425</v>
      </c>
      <c r="H55" s="1"/>
      <c r="M55" s="1"/>
      <c r="R55" s="3"/>
    </row>
    <row r="56" spans="1:18" ht="15.75">
      <c r="A56" s="1"/>
      <c r="B56" s="55"/>
      <c r="C56" s="33"/>
      <c r="D56" s="57">
        <f>39.35+23.77+5.21-9</f>
        <v>59.33</v>
      </c>
      <c r="E56" s="58"/>
      <c r="F56" s="58"/>
      <c r="G56" s="33" t="s">
        <v>430</v>
      </c>
      <c r="H56" s="1"/>
      <c r="M56" s="1"/>
      <c r="R56" s="3"/>
    </row>
    <row r="57" spans="1:18" ht="15.75">
      <c r="A57" s="1"/>
      <c r="B57" s="55"/>
      <c r="C57" s="33"/>
      <c r="D57" s="57">
        <v>1.98</v>
      </c>
      <c r="E57" s="58"/>
      <c r="F57" s="58"/>
      <c r="G57" s="33" t="s">
        <v>438</v>
      </c>
      <c r="H57" s="1"/>
      <c r="M57" s="1"/>
      <c r="R57" s="3"/>
    </row>
    <row r="58" spans="1:18" ht="15.75">
      <c r="A58" s="1"/>
      <c r="B58" s="55"/>
      <c r="C58" s="33"/>
      <c r="D58" s="57">
        <v>6.98</v>
      </c>
      <c r="E58" s="58"/>
      <c r="F58" s="58"/>
      <c r="G58" s="33" t="s">
        <v>441</v>
      </c>
      <c r="H58" s="1"/>
      <c r="M58" s="1"/>
      <c r="R58" s="3"/>
    </row>
    <row r="59" spans="1:18" ht="16.5" thickBot="1">
      <c r="A59" s="1"/>
      <c r="B59" s="56"/>
      <c r="C59" s="34"/>
      <c r="D59" s="56">
        <v>14.98</v>
      </c>
      <c r="E59" s="59"/>
      <c r="F59" s="59"/>
      <c r="G59" s="34" t="s">
        <v>442</v>
      </c>
      <c r="H59" s="1"/>
      <c r="M59" s="1"/>
      <c r="R59" s="3"/>
    </row>
    <row r="60" spans="1:18" ht="16.5" thickBot="1">
      <c r="A60" s="1"/>
      <c r="B60" s="56">
        <f>SUM(B46:B59)</f>
        <v>478</v>
      </c>
      <c r="C60" s="34" t="s">
        <v>66</v>
      </c>
      <c r="D60" s="56">
        <f>SUM(D46:D59)</f>
        <v>554.07000000000005</v>
      </c>
      <c r="E60" s="56">
        <f>SUM(E46:E59)</f>
        <v>0</v>
      </c>
      <c r="F60" s="56">
        <f>SUM(F46:F59)</f>
        <v>0</v>
      </c>
      <c r="G60" s="34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89" t="str">
        <f>'2018'!A23</f>
        <v>Ocio</v>
      </c>
      <c r="C62" s="290"/>
      <c r="D62" s="290"/>
      <c r="E62" s="290"/>
      <c r="F62" s="290"/>
      <c r="G62" s="291"/>
      <c r="H62" s="1"/>
      <c r="M62" s="1"/>
      <c r="R62" s="3"/>
    </row>
    <row r="63" spans="1:18" ht="16.149999999999999" customHeight="1" thickBot="1">
      <c r="A63" s="1"/>
      <c r="B63" s="292"/>
      <c r="C63" s="293"/>
      <c r="D63" s="293"/>
      <c r="E63" s="293"/>
      <c r="F63" s="293"/>
      <c r="G63" s="294"/>
      <c r="H63" s="1"/>
      <c r="M63" s="1"/>
      <c r="R63" s="3"/>
    </row>
    <row r="64" spans="1:18" ht="15.75">
      <c r="A64" s="1"/>
      <c r="B64" s="297" t="s">
        <v>10</v>
      </c>
      <c r="C64" s="296"/>
      <c r="D64" s="295" t="s">
        <v>11</v>
      </c>
      <c r="E64" s="295"/>
      <c r="F64" s="295"/>
      <c r="G64" s="296"/>
      <c r="H64" s="1"/>
      <c r="M64" s="1"/>
      <c r="R64" s="3"/>
    </row>
    <row r="65" spans="1:18" ht="15.75">
      <c r="A65" s="1"/>
      <c r="B65" s="52" t="s">
        <v>32</v>
      </c>
      <c r="C65" s="60" t="s">
        <v>33</v>
      </c>
      <c r="D65" s="52" t="s">
        <v>68</v>
      </c>
      <c r="E65" s="53" t="s">
        <v>69</v>
      </c>
      <c r="F65" s="53" t="s">
        <v>32</v>
      </c>
      <c r="G65" s="60" t="s">
        <v>393</v>
      </c>
      <c r="H65" s="1"/>
      <c r="M65" s="1"/>
      <c r="R65" s="3"/>
    </row>
    <row r="66" spans="1:18" ht="15.75">
      <c r="A66" s="1"/>
      <c r="B66" s="54">
        <v>150</v>
      </c>
      <c r="C66" s="36" t="s">
        <v>36</v>
      </c>
      <c r="D66" s="57">
        <v>30.5</v>
      </c>
      <c r="E66" s="58"/>
      <c r="F66" s="58"/>
      <c r="G66" s="36" t="s">
        <v>396</v>
      </c>
      <c r="H66" s="1"/>
      <c r="M66" s="1"/>
      <c r="R66" s="3"/>
    </row>
    <row r="67" spans="1:18" ht="15.75">
      <c r="A67" s="1"/>
      <c r="B67" s="55"/>
      <c r="C67" s="33"/>
      <c r="D67" s="57">
        <v>35.67</v>
      </c>
      <c r="E67" s="58"/>
      <c r="F67" s="58"/>
      <c r="G67" s="70" t="s">
        <v>416</v>
      </c>
      <c r="H67" s="1"/>
      <c r="M67" s="1"/>
      <c r="R67" s="3"/>
    </row>
    <row r="68" spans="1:18" ht="15.75">
      <c r="A68" s="1"/>
      <c r="B68" s="55"/>
      <c r="C68" s="33"/>
      <c r="D68" s="57"/>
      <c r="E68" s="58"/>
      <c r="F68" s="58">
        <v>18.8</v>
      </c>
      <c r="G68" s="33" t="s">
        <v>421</v>
      </c>
      <c r="H68" s="1"/>
      <c r="M68" s="1"/>
      <c r="R68" s="3"/>
    </row>
    <row r="69" spans="1:18" ht="15.75">
      <c r="A69" s="1"/>
      <c r="B69" s="55"/>
      <c r="C69" s="33"/>
      <c r="D69" s="57"/>
      <c r="E69" s="58"/>
      <c r="F69" s="58">
        <f>4.7</f>
        <v>4.7</v>
      </c>
      <c r="G69" s="33" t="s">
        <v>422</v>
      </c>
      <c r="H69" s="1"/>
      <c r="M69" s="1"/>
      <c r="R69" s="3"/>
    </row>
    <row r="70" spans="1:18" ht="15.75">
      <c r="A70" s="1"/>
      <c r="B70" s="55"/>
      <c r="C70" s="33"/>
      <c r="D70" s="57">
        <f>49.2</f>
        <v>49.2</v>
      </c>
      <c r="E70" s="58"/>
      <c r="F70" s="58"/>
      <c r="G70" s="33" t="s">
        <v>428</v>
      </c>
      <c r="H70" s="1"/>
      <c r="M70" s="1"/>
      <c r="R70" s="3"/>
    </row>
    <row r="71" spans="1:18" ht="15.75">
      <c r="A71" s="1"/>
      <c r="B71" s="55"/>
      <c r="C71" s="33"/>
      <c r="D71" s="57">
        <v>18.5</v>
      </c>
      <c r="E71" s="58"/>
      <c r="F71" s="58">
        <v>1</v>
      </c>
      <c r="G71" s="33" t="s">
        <v>435</v>
      </c>
      <c r="H71" s="1"/>
      <c r="M71" s="1"/>
      <c r="R71" s="3"/>
    </row>
    <row r="72" spans="1:18" ht="15.75">
      <c r="A72" s="1"/>
      <c r="B72" s="55"/>
      <c r="C72" s="33"/>
      <c r="D72" s="57">
        <f>59.5</f>
        <v>59.5</v>
      </c>
      <c r="E72" s="58"/>
      <c r="F72" s="58"/>
      <c r="G72" s="33" t="s">
        <v>434</v>
      </c>
      <c r="H72" s="1"/>
      <c r="M72" s="1"/>
      <c r="R72" s="3"/>
    </row>
    <row r="73" spans="1:18" ht="15.75">
      <c r="A73" s="1"/>
      <c r="B73" s="55"/>
      <c r="C73" s="33"/>
      <c r="D73" s="57">
        <v>8.6999999999999993</v>
      </c>
      <c r="E73" s="58"/>
      <c r="F73" s="58"/>
      <c r="G73" s="33" t="s">
        <v>443</v>
      </c>
      <c r="H73" s="1"/>
      <c r="M73" s="1"/>
      <c r="R73" s="3"/>
    </row>
    <row r="74" spans="1:18" ht="15.75">
      <c r="A74" s="1"/>
      <c r="B74" s="55"/>
      <c r="C74" s="33"/>
      <c r="D74" s="57"/>
      <c r="E74" s="58"/>
      <c r="F74" s="58"/>
      <c r="G74" s="33"/>
      <c r="H74" s="1"/>
      <c r="M74" s="1"/>
      <c r="R74" s="3"/>
    </row>
    <row r="75" spans="1:18" ht="15.75">
      <c r="A75" s="1"/>
      <c r="B75" s="55"/>
      <c r="C75" s="33"/>
      <c r="D75" s="57"/>
      <c r="E75" s="58"/>
      <c r="F75" s="58"/>
      <c r="G75" s="33"/>
      <c r="H75" s="1"/>
      <c r="M75" s="1"/>
      <c r="R75" s="3"/>
    </row>
    <row r="76" spans="1:18" ht="15.75">
      <c r="A76" s="1"/>
      <c r="B76" s="55"/>
      <c r="C76" s="33"/>
      <c r="D76" s="57"/>
      <c r="E76" s="58"/>
      <c r="F76" s="58"/>
      <c r="G76" s="33"/>
      <c r="H76" s="1"/>
      <c r="M76" s="1"/>
      <c r="R76" s="3"/>
    </row>
    <row r="77" spans="1:18" ht="15.75">
      <c r="A77" s="1"/>
      <c r="B77" s="55"/>
      <c r="C77" s="33"/>
      <c r="D77" s="57"/>
      <c r="E77" s="58"/>
      <c r="F77" s="58"/>
      <c r="G77" s="33"/>
      <c r="H77" s="1"/>
      <c r="M77" s="1"/>
      <c r="R77" s="3"/>
    </row>
    <row r="78" spans="1:18" ht="15.75">
      <c r="A78" s="1"/>
      <c r="B78" s="55"/>
      <c r="C78" s="33"/>
      <c r="D78" s="57"/>
      <c r="E78" s="58"/>
      <c r="F78" s="58"/>
      <c r="G78" s="33"/>
      <c r="H78" s="1"/>
      <c r="M78" s="1"/>
      <c r="R78" s="3"/>
    </row>
    <row r="79" spans="1:18" ht="16.5" thickBot="1">
      <c r="A79" s="1"/>
      <c r="B79" s="56"/>
      <c r="C79" s="34"/>
      <c r="D79" s="56"/>
      <c r="E79" s="59"/>
      <c r="F79" s="59"/>
      <c r="G79" s="34"/>
      <c r="H79" s="1"/>
      <c r="M79" s="1"/>
      <c r="R79" s="3"/>
    </row>
    <row r="80" spans="1:18" ht="16.5" thickBot="1">
      <c r="A80" s="1"/>
      <c r="B80" s="56">
        <f>SUM(B66:B79)</f>
        <v>150</v>
      </c>
      <c r="C80" s="34" t="s">
        <v>66</v>
      </c>
      <c r="D80" s="56">
        <f>SUM(D66:D79)</f>
        <v>202.07</v>
      </c>
      <c r="E80" s="56">
        <f>SUM(E66:E79)</f>
        <v>0</v>
      </c>
      <c r="F80" s="56">
        <f>SUM(F66:F79)</f>
        <v>24.5</v>
      </c>
      <c r="G80" s="34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89" t="str">
        <f>'2018'!A24</f>
        <v>Transportes</v>
      </c>
      <c r="C82" s="290"/>
      <c r="D82" s="290"/>
      <c r="E82" s="290"/>
      <c r="F82" s="290"/>
      <c r="G82" s="291"/>
      <c r="H82" s="1"/>
      <c r="M82" s="1"/>
      <c r="R82" s="3"/>
    </row>
    <row r="83" spans="1:18" ht="16.149999999999999" customHeight="1" thickBot="1">
      <c r="A83" s="1"/>
      <c r="B83" s="292"/>
      <c r="C83" s="293"/>
      <c r="D83" s="293"/>
      <c r="E83" s="293"/>
      <c r="F83" s="293"/>
      <c r="G83" s="294"/>
      <c r="H83" s="1"/>
      <c r="M83" s="1"/>
      <c r="R83" s="3"/>
    </row>
    <row r="84" spans="1:18" ht="15.75">
      <c r="A84" s="1"/>
      <c r="B84" s="297" t="s">
        <v>10</v>
      </c>
      <c r="C84" s="296"/>
      <c r="D84" s="295" t="s">
        <v>11</v>
      </c>
      <c r="E84" s="295"/>
      <c r="F84" s="295"/>
      <c r="G84" s="296"/>
      <c r="H84" s="1"/>
      <c r="M84" s="1"/>
      <c r="R84" s="3"/>
    </row>
    <row r="85" spans="1:18" ht="15.75">
      <c r="A85" s="1"/>
      <c r="B85" s="52" t="s">
        <v>32</v>
      </c>
      <c r="C85" s="60" t="s">
        <v>33</v>
      </c>
      <c r="D85" s="52" t="s">
        <v>68</v>
      </c>
      <c r="E85" s="53" t="s">
        <v>69</v>
      </c>
      <c r="F85" s="53" t="s">
        <v>32</v>
      </c>
      <c r="G85" s="60" t="s">
        <v>393</v>
      </c>
      <c r="H85" s="1"/>
      <c r="M85" s="1"/>
      <c r="R85" s="3"/>
    </row>
    <row r="86" spans="1:18" ht="15.75">
      <c r="A86" s="1"/>
      <c r="B86" s="54">
        <v>150</v>
      </c>
      <c r="C86" s="36" t="s">
        <v>51</v>
      </c>
      <c r="D86" s="57">
        <v>56.7</v>
      </c>
      <c r="E86" s="58"/>
      <c r="F86" s="58"/>
      <c r="G86" s="33" t="s">
        <v>409</v>
      </c>
      <c r="H86" s="1"/>
      <c r="M86" s="1"/>
      <c r="R86" s="3"/>
    </row>
    <row r="87" spans="1:18" ht="15.75">
      <c r="A87" s="1"/>
      <c r="B87" s="55"/>
      <c r="C87" s="33"/>
      <c r="D87" s="57">
        <v>46.77</v>
      </c>
      <c r="E87" s="58"/>
      <c r="F87" s="58"/>
      <c r="G87" s="33" t="s">
        <v>429</v>
      </c>
      <c r="H87" s="1"/>
      <c r="M87" s="1"/>
      <c r="R87" s="3"/>
    </row>
    <row r="88" spans="1:18" ht="15.75">
      <c r="A88" s="1"/>
      <c r="B88" s="55"/>
      <c r="C88" s="33"/>
      <c r="D88" s="57">
        <v>2</v>
      </c>
      <c r="E88" s="58"/>
      <c r="F88" s="58"/>
      <c r="G88" s="33" t="s">
        <v>437</v>
      </c>
      <c r="H88" s="1"/>
      <c r="M88" s="1"/>
      <c r="R88" s="3"/>
    </row>
    <row r="89" spans="1:18" ht="15.75">
      <c r="A89" s="1"/>
      <c r="B89" s="55"/>
      <c r="C89" s="33"/>
      <c r="D89" s="57">
        <v>46.57</v>
      </c>
      <c r="E89" s="58"/>
      <c r="F89" s="58"/>
      <c r="G89" s="33" t="s">
        <v>448</v>
      </c>
      <c r="H89" s="1"/>
      <c r="M89" s="1"/>
      <c r="R89" s="3"/>
    </row>
    <row r="90" spans="1:18" ht="15.75">
      <c r="A90" s="1"/>
      <c r="B90" s="55"/>
      <c r="C90" s="33"/>
      <c r="D90" s="57"/>
      <c r="E90" s="58"/>
      <c r="F90" s="58"/>
      <c r="G90" s="33"/>
      <c r="H90" s="1"/>
      <c r="M90" s="1"/>
      <c r="R90" s="3"/>
    </row>
    <row r="91" spans="1:18" ht="15.75">
      <c r="A91" s="1"/>
      <c r="B91" s="55"/>
      <c r="C91" s="33"/>
      <c r="D91" s="57"/>
      <c r="E91" s="58"/>
      <c r="F91" s="58"/>
      <c r="G91" s="33"/>
      <c r="H91" s="1"/>
      <c r="M91" s="1"/>
      <c r="R91" s="3"/>
    </row>
    <row r="92" spans="1:18" ht="15.75">
      <c r="A92" s="1"/>
      <c r="B92" s="55"/>
      <c r="C92" s="33"/>
      <c r="D92" s="57"/>
      <c r="E92" s="58"/>
      <c r="F92" s="58"/>
      <c r="G92" s="33"/>
      <c r="H92" s="1"/>
      <c r="M92" s="1"/>
      <c r="R92" s="3"/>
    </row>
    <row r="93" spans="1:18" ht="15.75">
      <c r="A93" s="1"/>
      <c r="B93" s="55"/>
      <c r="C93" s="33"/>
      <c r="D93" s="57"/>
      <c r="E93" s="58"/>
      <c r="F93" s="58"/>
      <c r="G93" s="33"/>
      <c r="H93" s="1"/>
      <c r="M93" s="1"/>
      <c r="R93" s="3"/>
    </row>
    <row r="94" spans="1:18" ht="15.75">
      <c r="A94" s="1"/>
      <c r="B94" s="55"/>
      <c r="C94" s="33"/>
      <c r="D94" s="57"/>
      <c r="E94" s="58"/>
      <c r="F94" s="58"/>
      <c r="G94" s="33"/>
      <c r="H94" s="1"/>
      <c r="M94" s="1"/>
      <c r="R94" s="3"/>
    </row>
    <row r="95" spans="1:18" ht="15.75">
      <c r="A95" s="1"/>
      <c r="B95" s="55"/>
      <c r="C95" s="33"/>
      <c r="D95" s="57"/>
      <c r="E95" s="58"/>
      <c r="F95" s="58"/>
      <c r="G95" s="33"/>
      <c r="H95" s="1"/>
      <c r="M95" s="1"/>
      <c r="R95" s="3"/>
    </row>
    <row r="96" spans="1:18" ht="15.75">
      <c r="A96" s="1"/>
      <c r="B96" s="55"/>
      <c r="C96" s="33"/>
      <c r="D96" s="57"/>
      <c r="E96" s="58"/>
      <c r="F96" s="58"/>
      <c r="G96" s="33"/>
      <c r="H96" s="1"/>
      <c r="M96" s="1"/>
      <c r="R96" s="3"/>
    </row>
    <row r="97" spans="1:18" ht="15.75">
      <c r="A97" s="1"/>
      <c r="B97" s="55"/>
      <c r="C97" s="33"/>
      <c r="D97" s="57"/>
      <c r="E97" s="58"/>
      <c r="F97" s="58"/>
      <c r="G97" s="33"/>
      <c r="H97" s="1"/>
      <c r="M97" s="1"/>
      <c r="R97" s="3"/>
    </row>
    <row r="98" spans="1:18" ht="15.75">
      <c r="A98" s="1"/>
      <c r="B98" s="55"/>
      <c r="C98" s="33"/>
      <c r="D98" s="57"/>
      <c r="E98" s="58"/>
      <c r="F98" s="58"/>
      <c r="G98" s="33"/>
      <c r="H98" s="1"/>
      <c r="M98" s="1"/>
      <c r="R98" s="3"/>
    </row>
    <row r="99" spans="1:18" ht="16.5" thickBot="1">
      <c r="A99" s="1"/>
      <c r="B99" s="56"/>
      <c r="C99" s="34"/>
      <c r="D99" s="56"/>
      <c r="E99" s="59"/>
      <c r="F99" s="59"/>
      <c r="G99" s="34"/>
      <c r="H99" s="1"/>
      <c r="M99" s="1"/>
      <c r="R99" s="3"/>
    </row>
    <row r="100" spans="1:18" ht="16.5" thickBot="1">
      <c r="A100" s="1"/>
      <c r="B100" s="56">
        <f>SUM(B86:B99)</f>
        <v>150</v>
      </c>
      <c r="C100" s="34" t="s">
        <v>66</v>
      </c>
      <c r="D100" s="56">
        <f>SUM(D86:D99)</f>
        <v>152.04</v>
      </c>
      <c r="E100" s="56">
        <f>SUM(E86:E99)</f>
        <v>0</v>
      </c>
      <c r="F100" s="56">
        <f>SUM(F86:F99)</f>
        <v>0</v>
      </c>
      <c r="G100" s="34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89" t="str">
        <f>'2018'!A25</f>
        <v>Coche</v>
      </c>
      <c r="C102" s="290"/>
      <c r="D102" s="290"/>
      <c r="E102" s="290"/>
      <c r="F102" s="290"/>
      <c r="G102" s="291"/>
      <c r="H102" s="1"/>
      <c r="M102" s="1"/>
      <c r="R102" s="3"/>
    </row>
    <row r="103" spans="1:18" ht="16.149999999999999" customHeight="1" thickBot="1">
      <c r="A103" s="1"/>
      <c r="B103" s="292"/>
      <c r="C103" s="293"/>
      <c r="D103" s="293"/>
      <c r="E103" s="293"/>
      <c r="F103" s="293"/>
      <c r="G103" s="294"/>
      <c r="H103" s="1"/>
      <c r="M103" s="1"/>
      <c r="R103" s="3"/>
    </row>
    <row r="104" spans="1:18" ht="15.75">
      <c r="A104" s="1"/>
      <c r="B104" s="297" t="s">
        <v>10</v>
      </c>
      <c r="C104" s="296"/>
      <c r="D104" s="295" t="s">
        <v>11</v>
      </c>
      <c r="E104" s="295"/>
      <c r="F104" s="295"/>
      <c r="G104" s="296"/>
      <c r="H104" s="1"/>
      <c r="M104" s="1"/>
      <c r="R104" s="3"/>
    </row>
    <row r="105" spans="1:18" ht="15.75">
      <c r="A105" s="1"/>
      <c r="B105" s="52" t="s">
        <v>32</v>
      </c>
      <c r="C105" s="60" t="s">
        <v>33</v>
      </c>
      <c r="D105" s="52" t="s">
        <v>68</v>
      </c>
      <c r="E105" s="53" t="s">
        <v>69</v>
      </c>
      <c r="F105" s="53" t="s">
        <v>32</v>
      </c>
      <c r="G105" s="60" t="s">
        <v>33</v>
      </c>
      <c r="H105" s="1"/>
      <c r="M105" s="1"/>
      <c r="R105" s="3"/>
    </row>
    <row r="106" spans="1:18" ht="15.75">
      <c r="A106" s="1"/>
      <c r="B106" s="54">
        <v>260</v>
      </c>
      <c r="C106" s="35" t="s">
        <v>55</v>
      </c>
      <c r="D106" s="57">
        <v>258.47000000000003</v>
      </c>
      <c r="E106" s="58"/>
      <c r="F106" s="58"/>
      <c r="G106" s="70" t="s">
        <v>55</v>
      </c>
      <c r="H106" s="1"/>
      <c r="M106" s="1"/>
      <c r="R106" s="3"/>
    </row>
    <row r="107" spans="1:18" ht="15.75">
      <c r="A107" s="1"/>
      <c r="B107" s="55">
        <v>71</v>
      </c>
      <c r="C107" s="35" t="s">
        <v>56</v>
      </c>
      <c r="D107" s="57">
        <v>70.349999999999994</v>
      </c>
      <c r="E107" s="58"/>
      <c r="F107" s="58"/>
      <c r="G107" s="70" t="s">
        <v>56</v>
      </c>
      <c r="H107" s="1"/>
      <c r="M107" s="1"/>
      <c r="R107" s="3"/>
    </row>
    <row r="108" spans="1:18" ht="15.75">
      <c r="A108" s="1"/>
      <c r="B108" s="55">
        <v>69</v>
      </c>
      <c r="C108" s="35" t="s">
        <v>46</v>
      </c>
      <c r="D108" s="57"/>
      <c r="E108" s="58"/>
      <c r="F108" s="58"/>
      <c r="G108" s="73" t="s">
        <v>88</v>
      </c>
      <c r="H108" s="1"/>
      <c r="M108" s="1"/>
      <c r="R108" s="3"/>
    </row>
    <row r="109" spans="1:18" ht="15.75">
      <c r="A109" s="1"/>
      <c r="B109" s="55"/>
      <c r="C109" s="35"/>
      <c r="D109" s="57"/>
      <c r="E109" s="58"/>
      <c r="F109" s="58"/>
      <c r="G109" s="70"/>
      <c r="H109" s="1"/>
      <c r="M109" s="1"/>
      <c r="R109" s="3"/>
    </row>
    <row r="110" spans="1:18" ht="15.75">
      <c r="A110" s="1"/>
      <c r="B110" s="55"/>
      <c r="C110" s="35"/>
      <c r="D110" s="57"/>
      <c r="E110" s="58"/>
      <c r="F110" s="58"/>
      <c r="G110" s="70"/>
      <c r="H110" s="1"/>
      <c r="M110" s="1"/>
      <c r="R110" s="3"/>
    </row>
    <row r="111" spans="1:18" ht="15.75">
      <c r="A111" s="1"/>
      <c r="B111" s="55"/>
      <c r="C111" s="66"/>
      <c r="D111" s="57"/>
      <c r="E111" s="58"/>
      <c r="F111" s="58"/>
      <c r="G111" s="73"/>
      <c r="H111" s="1"/>
      <c r="M111" s="1"/>
      <c r="R111" s="3"/>
    </row>
    <row r="112" spans="1:18" ht="15.75">
      <c r="A112" s="1"/>
      <c r="B112" s="55"/>
      <c r="C112" s="71"/>
      <c r="D112" s="57"/>
      <c r="E112" s="58"/>
      <c r="F112" s="58"/>
      <c r="G112" s="70"/>
      <c r="H112" s="1"/>
      <c r="M112" s="1"/>
      <c r="R112" s="3"/>
    </row>
    <row r="113" spans="1:18" ht="15.75">
      <c r="A113" s="1"/>
      <c r="B113" s="55"/>
      <c r="C113" s="72"/>
      <c r="D113" s="57"/>
      <c r="E113" s="58"/>
      <c r="F113" s="58"/>
      <c r="G113" s="70"/>
      <c r="H113" s="1"/>
      <c r="M113" s="1"/>
      <c r="R113" s="3"/>
    </row>
    <row r="114" spans="1:18" ht="15.75">
      <c r="A114" s="1"/>
      <c r="B114" s="55"/>
      <c r="C114" s="71"/>
      <c r="D114" s="57"/>
      <c r="E114" s="58"/>
      <c r="F114" s="58"/>
      <c r="G114" s="70"/>
      <c r="H114" s="1"/>
      <c r="M114" s="1"/>
      <c r="R114" s="3"/>
    </row>
    <row r="115" spans="1:18" ht="15.75">
      <c r="A115" s="1"/>
      <c r="B115" s="55"/>
      <c r="C115" s="66"/>
      <c r="D115" s="57"/>
      <c r="E115" s="58"/>
      <c r="F115" s="58"/>
      <c r="G115" s="33"/>
      <c r="H115" s="1"/>
      <c r="M115" s="1"/>
      <c r="R115" s="3"/>
    </row>
    <row r="116" spans="1:18" ht="15.75">
      <c r="A116" s="1"/>
      <c r="B116" s="55"/>
      <c r="C116" s="35"/>
      <c r="D116" s="57"/>
      <c r="E116" s="58"/>
      <c r="F116" s="58"/>
      <c r="G116" s="33"/>
      <c r="H116" s="1"/>
      <c r="M116" s="1"/>
      <c r="R116" s="3"/>
    </row>
    <row r="117" spans="1:18" ht="15.75">
      <c r="A117" s="1"/>
      <c r="B117" s="55"/>
      <c r="C117" s="35"/>
      <c r="D117" s="57"/>
      <c r="E117" s="58"/>
      <c r="F117" s="58"/>
      <c r="G117" s="33"/>
      <c r="H117" s="1"/>
      <c r="M117" s="1"/>
      <c r="R117" s="3"/>
    </row>
    <row r="118" spans="1:18" ht="15.75">
      <c r="A118" s="1"/>
      <c r="B118" s="55"/>
      <c r="C118" s="35"/>
      <c r="D118" s="57"/>
      <c r="E118" s="58"/>
      <c r="F118" s="58"/>
      <c r="G118" s="33"/>
      <c r="H118" s="1"/>
      <c r="M118" s="1"/>
      <c r="R118" s="3"/>
    </row>
    <row r="119" spans="1:18" ht="16.5" thickBot="1">
      <c r="A119" s="1"/>
      <c r="B119" s="56"/>
      <c r="C119" s="37"/>
      <c r="D119" s="56"/>
      <c r="E119" s="59"/>
      <c r="F119" s="59"/>
      <c r="G119" s="34"/>
      <c r="H119" s="1"/>
      <c r="M119" s="1"/>
      <c r="R119" s="3"/>
    </row>
    <row r="120" spans="1:18" ht="16.5" thickBot="1">
      <c r="A120" s="1"/>
      <c r="B120" s="56">
        <f>SUM(B106:B119)</f>
        <v>400</v>
      </c>
      <c r="C120" s="34" t="s">
        <v>66</v>
      </c>
      <c r="D120" s="56">
        <f>SUM(D106:D119)</f>
        <v>328.82000000000005</v>
      </c>
      <c r="E120" s="56">
        <f>SUM(E106:E119)</f>
        <v>0</v>
      </c>
      <c r="F120" s="56">
        <f>SUM(F106:F119)</f>
        <v>0</v>
      </c>
      <c r="G120" s="34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89" t="str">
        <f>'2018'!A26</f>
        <v>Teléfono</v>
      </c>
      <c r="C122" s="290"/>
      <c r="D122" s="290"/>
      <c r="E122" s="290"/>
      <c r="F122" s="290"/>
      <c r="G122" s="291"/>
      <c r="H122" s="1"/>
      <c r="M122" s="1"/>
      <c r="R122" s="3"/>
    </row>
    <row r="123" spans="1:18" ht="16.149999999999999" customHeight="1" thickBot="1">
      <c r="A123" s="1"/>
      <c r="B123" s="292"/>
      <c r="C123" s="293"/>
      <c r="D123" s="293"/>
      <c r="E123" s="293"/>
      <c r="F123" s="293"/>
      <c r="G123" s="294"/>
      <c r="H123" s="1"/>
      <c r="M123" s="1"/>
      <c r="R123" s="3"/>
    </row>
    <row r="124" spans="1:18" ht="15.75">
      <c r="A124" s="1"/>
      <c r="B124" s="297" t="s">
        <v>10</v>
      </c>
      <c r="C124" s="296"/>
      <c r="D124" s="295" t="s">
        <v>11</v>
      </c>
      <c r="E124" s="295"/>
      <c r="F124" s="295"/>
      <c r="G124" s="296"/>
      <c r="H124" s="1"/>
      <c r="M124" s="1"/>
      <c r="R124" s="3"/>
    </row>
    <row r="125" spans="1:18" ht="15.75">
      <c r="A125" s="1"/>
      <c r="B125" s="52" t="s">
        <v>32</v>
      </c>
      <c r="C125" s="60" t="s">
        <v>33</v>
      </c>
      <c r="D125" s="52" t="s">
        <v>68</v>
      </c>
      <c r="E125" s="53" t="s">
        <v>69</v>
      </c>
      <c r="F125" s="53" t="s">
        <v>32</v>
      </c>
      <c r="G125" s="60" t="s">
        <v>33</v>
      </c>
      <c r="H125" s="1"/>
      <c r="M125" s="1"/>
      <c r="R125" s="3"/>
    </row>
    <row r="126" spans="1:18" ht="15.75">
      <c r="A126" s="1"/>
      <c r="B126" s="54">
        <v>27.5</v>
      </c>
      <c r="C126" s="36" t="s">
        <v>57</v>
      </c>
      <c r="D126" s="57">
        <v>27.5</v>
      </c>
      <c r="E126" s="58"/>
      <c r="F126" s="58"/>
      <c r="G126" s="33" t="s">
        <v>57</v>
      </c>
      <c r="H126" s="1"/>
      <c r="M126" s="1"/>
      <c r="R126" s="3"/>
    </row>
    <row r="127" spans="1:18" ht="15.75">
      <c r="A127" s="1"/>
      <c r="B127" s="55">
        <v>12.5</v>
      </c>
      <c r="C127" s="33" t="s">
        <v>58</v>
      </c>
      <c r="D127" s="57">
        <v>15</v>
      </c>
      <c r="E127" s="58"/>
      <c r="F127" s="58"/>
      <c r="G127" s="33" t="s">
        <v>199</v>
      </c>
      <c r="H127" s="1"/>
      <c r="M127" s="1"/>
      <c r="R127" s="3"/>
    </row>
    <row r="128" spans="1:18" ht="15.75">
      <c r="A128" s="1"/>
      <c r="B128" s="55">
        <v>8</v>
      </c>
      <c r="C128" s="33" t="s">
        <v>337</v>
      </c>
      <c r="D128" s="57">
        <v>10</v>
      </c>
      <c r="E128" s="58"/>
      <c r="F128" s="58"/>
      <c r="G128" s="33" t="s">
        <v>219</v>
      </c>
      <c r="H128" s="1"/>
      <c r="M128" s="1"/>
      <c r="R128" s="3"/>
    </row>
    <row r="129" spans="1:18" ht="15.75">
      <c r="A129" s="1"/>
      <c r="B129" s="55"/>
      <c r="C129" s="33"/>
      <c r="D129" s="57"/>
      <c r="E129" s="58">
        <v>7.99</v>
      </c>
      <c r="F129" s="58"/>
      <c r="G129" s="33" t="s">
        <v>337</v>
      </c>
      <c r="H129" s="1"/>
      <c r="M129" s="1"/>
      <c r="R129" s="3"/>
    </row>
    <row r="130" spans="1:18" ht="15.75">
      <c r="A130" s="1"/>
      <c r="B130" s="55"/>
      <c r="C130" s="33"/>
      <c r="D130" s="57"/>
      <c r="E130" s="58"/>
      <c r="F130" s="58"/>
      <c r="G130" s="33"/>
      <c r="H130" s="1"/>
      <c r="M130" s="1"/>
      <c r="R130" s="3"/>
    </row>
    <row r="131" spans="1:18" ht="15.75">
      <c r="A131" s="1"/>
      <c r="B131" s="55"/>
      <c r="C131" s="33"/>
      <c r="D131" s="57"/>
      <c r="E131" s="58"/>
      <c r="F131" s="58"/>
      <c r="G131" s="33"/>
      <c r="H131" s="1"/>
      <c r="M131" s="1"/>
      <c r="R131" s="3"/>
    </row>
    <row r="132" spans="1:18" ht="15.75">
      <c r="A132" s="1"/>
      <c r="B132" s="55"/>
      <c r="C132" s="33"/>
      <c r="D132" s="57"/>
      <c r="E132" s="58"/>
      <c r="F132" s="58"/>
      <c r="G132" s="33"/>
      <c r="H132" s="1"/>
      <c r="M132" s="1"/>
      <c r="R132" s="3"/>
    </row>
    <row r="133" spans="1:18" ht="15.75">
      <c r="A133" s="1"/>
      <c r="B133" s="55"/>
      <c r="C133" s="33"/>
      <c r="D133" s="57"/>
      <c r="E133" s="58"/>
      <c r="F133" s="58"/>
      <c r="G133" s="33"/>
      <c r="H133" s="1"/>
      <c r="M133" s="1"/>
      <c r="R133" s="3"/>
    </row>
    <row r="134" spans="1:18" ht="15.75">
      <c r="A134" s="1"/>
      <c r="B134" s="55"/>
      <c r="C134" s="33"/>
      <c r="D134" s="57"/>
      <c r="E134" s="58"/>
      <c r="F134" s="58"/>
      <c r="G134" s="33"/>
      <c r="H134" s="1"/>
      <c r="M134" s="1"/>
      <c r="R134" s="3"/>
    </row>
    <row r="135" spans="1:18" ht="15.75">
      <c r="A135" s="1"/>
      <c r="B135" s="55"/>
      <c r="C135" s="33"/>
      <c r="D135" s="57"/>
      <c r="E135" s="58"/>
      <c r="F135" s="58"/>
      <c r="G135" s="33"/>
      <c r="H135" s="1"/>
      <c r="M135" s="1"/>
      <c r="R135" s="3"/>
    </row>
    <row r="136" spans="1:18" ht="15.75">
      <c r="A136" s="1"/>
      <c r="B136" s="55"/>
      <c r="C136" s="33"/>
      <c r="D136" s="57"/>
      <c r="E136" s="58"/>
      <c r="F136" s="58"/>
      <c r="G136" s="33"/>
      <c r="H136" s="1"/>
      <c r="M136" s="1"/>
      <c r="R136" s="3"/>
    </row>
    <row r="137" spans="1:18" ht="15.75">
      <c r="A137" s="1"/>
      <c r="B137" s="55"/>
      <c r="C137" s="33"/>
      <c r="D137" s="57"/>
      <c r="E137" s="58"/>
      <c r="F137" s="58"/>
      <c r="G137" s="33"/>
      <c r="H137" s="1"/>
      <c r="M137" s="1"/>
      <c r="R137" s="3"/>
    </row>
    <row r="138" spans="1:18" ht="15.75">
      <c r="A138" s="1"/>
      <c r="B138" s="55"/>
      <c r="C138" s="33"/>
      <c r="D138" s="57"/>
      <c r="E138" s="58"/>
      <c r="F138" s="58"/>
      <c r="G138" s="33"/>
      <c r="H138" s="1"/>
      <c r="M138" s="1"/>
      <c r="R138" s="3"/>
    </row>
    <row r="139" spans="1:18" ht="16.5" thickBot="1">
      <c r="A139" s="1"/>
      <c r="B139" s="56"/>
      <c r="C139" s="34"/>
      <c r="D139" s="56"/>
      <c r="E139" s="59"/>
      <c r="F139" s="59"/>
      <c r="G139" s="34"/>
      <c r="H139" s="1"/>
      <c r="M139" s="1"/>
      <c r="R139" s="3"/>
    </row>
    <row r="140" spans="1:18" ht="16.5" thickBot="1">
      <c r="A140" s="1"/>
      <c r="B140" s="56">
        <f>SUM(B126:B139)</f>
        <v>48</v>
      </c>
      <c r="C140" s="34" t="s">
        <v>66</v>
      </c>
      <c r="D140" s="56">
        <f>SUM(D126:D139)</f>
        <v>52.5</v>
      </c>
      <c r="E140" s="56">
        <f>SUM(E126:E139)</f>
        <v>7.99</v>
      </c>
      <c r="F140" s="56">
        <f>SUM(F126:F139)</f>
        <v>0</v>
      </c>
      <c r="G140" s="34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89" t="str">
        <f>'2018'!A27</f>
        <v>Gatos</v>
      </c>
      <c r="C142" s="290"/>
      <c r="D142" s="290"/>
      <c r="E142" s="290"/>
      <c r="F142" s="290"/>
      <c r="G142" s="291"/>
      <c r="H142" s="1"/>
      <c r="M142" s="1"/>
      <c r="R142" s="3"/>
    </row>
    <row r="143" spans="1:18" ht="16.149999999999999" customHeight="1" thickBot="1">
      <c r="A143" s="1"/>
      <c r="B143" s="292"/>
      <c r="C143" s="293"/>
      <c r="D143" s="293"/>
      <c r="E143" s="293"/>
      <c r="F143" s="293"/>
      <c r="G143" s="294"/>
      <c r="H143" s="1"/>
      <c r="M143" s="1"/>
      <c r="R143" s="3"/>
    </row>
    <row r="144" spans="1:18" ht="15.75">
      <c r="A144" s="1"/>
      <c r="B144" s="297" t="s">
        <v>10</v>
      </c>
      <c r="C144" s="296"/>
      <c r="D144" s="295" t="s">
        <v>11</v>
      </c>
      <c r="E144" s="295"/>
      <c r="F144" s="295"/>
      <c r="G144" s="296"/>
      <c r="H144" s="1"/>
      <c r="M144" s="1"/>
      <c r="R144" s="3"/>
    </row>
    <row r="145" spans="1:22" ht="15.75">
      <c r="A145" s="1"/>
      <c r="B145" s="52" t="s">
        <v>32</v>
      </c>
      <c r="C145" s="60" t="s">
        <v>33</v>
      </c>
      <c r="D145" s="52" t="s">
        <v>68</v>
      </c>
      <c r="E145" s="53" t="s">
        <v>69</v>
      </c>
      <c r="F145" s="53" t="s">
        <v>32</v>
      </c>
      <c r="G145" s="60" t="s">
        <v>393</v>
      </c>
      <c r="H145" s="1"/>
      <c r="M145" s="1"/>
      <c r="R145" s="3"/>
    </row>
    <row r="146" spans="1:22" ht="15.75">
      <c r="A146" s="1"/>
      <c r="B146" s="54">
        <v>50</v>
      </c>
      <c r="C146" s="36" t="s">
        <v>43</v>
      </c>
      <c r="D146" s="57">
        <v>31.56</v>
      </c>
      <c r="E146" s="58"/>
      <c r="F146" s="58"/>
      <c r="G146" s="33" t="s">
        <v>400</v>
      </c>
      <c r="H146" s="1"/>
      <c r="M146" s="1"/>
      <c r="R146" s="3"/>
    </row>
    <row r="147" spans="1:22" ht="15.75">
      <c r="A147" s="1"/>
      <c r="B147" s="55"/>
      <c r="C147" s="33"/>
      <c r="D147" s="57"/>
      <c r="E147" s="58"/>
      <c r="F147" s="58"/>
      <c r="G147" s="33"/>
      <c r="H147" s="1"/>
      <c r="M147" s="1"/>
      <c r="R147" s="3"/>
    </row>
    <row r="148" spans="1:22" ht="15.75">
      <c r="A148" s="1"/>
      <c r="B148" s="55"/>
      <c r="C148" s="33"/>
      <c r="D148" s="57"/>
      <c r="E148" s="58"/>
      <c r="F148" s="58"/>
      <c r="G148" s="33"/>
      <c r="H148" s="1"/>
      <c r="M148" s="1"/>
      <c r="R148" s="3"/>
    </row>
    <row r="149" spans="1:22" ht="15.75">
      <c r="A149" s="1"/>
      <c r="B149" s="55"/>
      <c r="C149" s="33"/>
      <c r="D149" s="57"/>
      <c r="E149" s="58"/>
      <c r="F149" s="58"/>
      <c r="G149" s="33"/>
      <c r="H149" s="1"/>
      <c r="M149" s="1"/>
      <c r="R149" s="3"/>
    </row>
    <row r="150" spans="1:22" ht="15.75">
      <c r="A150" s="1"/>
      <c r="B150" s="55"/>
      <c r="C150" s="33"/>
      <c r="D150" s="57"/>
      <c r="E150" s="58"/>
      <c r="F150" s="58"/>
      <c r="G150" s="33"/>
      <c r="H150" s="1"/>
      <c r="M150" s="1"/>
      <c r="R150" s="3"/>
    </row>
    <row r="151" spans="1:22" ht="15.75">
      <c r="A151" s="1"/>
      <c r="B151" s="55"/>
      <c r="C151" s="33"/>
      <c r="D151" s="57"/>
      <c r="E151" s="58"/>
      <c r="F151" s="58"/>
      <c r="G151" s="33"/>
      <c r="H151" s="1"/>
      <c r="M151" s="1"/>
      <c r="R151" s="3"/>
    </row>
    <row r="152" spans="1:22" ht="15.75">
      <c r="A152" s="1"/>
      <c r="B152" s="55"/>
      <c r="C152" s="33"/>
      <c r="D152" s="57"/>
      <c r="E152" s="58"/>
      <c r="F152" s="58"/>
      <c r="G152" s="33"/>
      <c r="H152" s="1"/>
      <c r="M152" s="1"/>
      <c r="R152" s="3"/>
    </row>
    <row r="153" spans="1:22" ht="15.75">
      <c r="A153" s="1"/>
      <c r="B153" s="55"/>
      <c r="C153" s="33"/>
      <c r="D153" s="57"/>
      <c r="E153" s="58"/>
      <c r="F153" s="58"/>
      <c r="G153" s="33"/>
      <c r="H153" s="1"/>
      <c r="M153" s="1"/>
      <c r="R153" s="3"/>
    </row>
    <row r="154" spans="1:22" ht="15.75">
      <c r="A154" s="1"/>
      <c r="B154" s="55"/>
      <c r="C154" s="33"/>
      <c r="D154" s="57"/>
      <c r="E154" s="58"/>
      <c r="F154" s="58"/>
      <c r="G154" s="33"/>
      <c r="H154" s="1"/>
      <c r="M154" s="1"/>
      <c r="R154" s="3"/>
    </row>
    <row r="155" spans="1:22" ht="15.75">
      <c r="A155" s="1"/>
      <c r="B155" s="55"/>
      <c r="C155" s="33"/>
      <c r="D155" s="57"/>
      <c r="E155" s="58"/>
      <c r="F155" s="58"/>
      <c r="G155" s="33"/>
      <c r="H155" s="1"/>
      <c r="M155" s="1"/>
      <c r="R155" s="3"/>
    </row>
    <row r="156" spans="1:22" ht="15.75">
      <c r="A156" s="1"/>
      <c r="B156" s="55"/>
      <c r="C156" s="33"/>
      <c r="D156" s="57"/>
      <c r="E156" s="58"/>
      <c r="F156" s="58"/>
      <c r="G156" s="33"/>
      <c r="H156" s="1"/>
      <c r="M156" s="1"/>
      <c r="R156" s="3"/>
    </row>
    <row r="157" spans="1:22" ht="15.75">
      <c r="A157" s="1"/>
      <c r="B157" s="55"/>
      <c r="C157" s="33"/>
      <c r="D157" s="57"/>
      <c r="E157" s="58"/>
      <c r="F157" s="58"/>
      <c r="G157" s="33"/>
      <c r="H157" s="1"/>
      <c r="M157" s="1"/>
      <c r="R157" s="3"/>
    </row>
    <row r="158" spans="1:22" ht="15.75">
      <c r="A158" s="1"/>
      <c r="B158" s="55"/>
      <c r="C158" s="33"/>
      <c r="D158" s="57"/>
      <c r="E158" s="58"/>
      <c r="F158" s="58"/>
      <c r="G158" s="33"/>
      <c r="H158" s="1"/>
      <c r="M158" s="1"/>
      <c r="R158" s="3"/>
    </row>
    <row r="159" spans="1:22" ht="16.5" thickBot="1">
      <c r="A159" s="1"/>
      <c r="B159" s="56"/>
      <c r="C159" s="34"/>
      <c r="D159" s="56"/>
      <c r="E159" s="59"/>
      <c r="F159" s="59"/>
      <c r="G159" s="34"/>
      <c r="H159" s="1"/>
      <c r="M159" s="1"/>
      <c r="R159" s="3"/>
    </row>
    <row r="160" spans="1:22" ht="16.5" thickBot="1">
      <c r="A160" s="1"/>
      <c r="B160" s="56">
        <f>SUM(B146:B159)</f>
        <v>50</v>
      </c>
      <c r="C160" s="34" t="s">
        <v>66</v>
      </c>
      <c r="D160" s="56">
        <f>SUM(D146:D159)</f>
        <v>31.56</v>
      </c>
      <c r="E160" s="56">
        <f>SUM(E146:E159)</f>
        <v>0</v>
      </c>
      <c r="F160" s="56">
        <f>SUM(F146:F159)</f>
        <v>0</v>
      </c>
      <c r="G160" s="34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89" t="str">
        <f>'2018'!A28</f>
        <v>Vacaciones</v>
      </c>
      <c r="C162" s="290"/>
      <c r="D162" s="290"/>
      <c r="E162" s="290"/>
      <c r="F162" s="290"/>
      <c r="G162" s="29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92"/>
      <c r="C163" s="293"/>
      <c r="D163" s="293"/>
      <c r="E163" s="293"/>
      <c r="F163" s="293"/>
      <c r="G163" s="294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97" t="s">
        <v>10</v>
      </c>
      <c r="C164" s="296"/>
      <c r="D164" s="295" t="s">
        <v>11</v>
      </c>
      <c r="E164" s="295"/>
      <c r="F164" s="295"/>
      <c r="G164" s="29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52" t="s">
        <v>32</v>
      </c>
      <c r="C165" s="60" t="s">
        <v>33</v>
      </c>
      <c r="D165" s="52" t="s">
        <v>68</v>
      </c>
      <c r="E165" s="53" t="s">
        <v>69</v>
      </c>
      <c r="F165" s="53" t="s">
        <v>32</v>
      </c>
      <c r="G165" s="60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54">
        <v>200</v>
      </c>
      <c r="C166" s="36" t="s">
        <v>36</v>
      </c>
      <c r="D166" s="57">
        <v>318.27999999999997</v>
      </c>
      <c r="E166" s="58"/>
      <c r="F166" s="58"/>
      <c r="G166" s="33" t="s">
        <v>410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55"/>
      <c r="C167" s="33"/>
      <c r="D167" s="57"/>
      <c r="E167" s="58"/>
      <c r="F167" s="58"/>
      <c r="G167" s="33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55"/>
      <c r="C168" s="33"/>
      <c r="D168" s="57"/>
      <c r="E168" s="58"/>
      <c r="F168" s="58"/>
      <c r="G168" s="33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55"/>
      <c r="C169" s="33"/>
      <c r="D169" s="57"/>
      <c r="E169" s="58"/>
      <c r="F169" s="58"/>
      <c r="G169" s="33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55"/>
      <c r="C170" s="33"/>
      <c r="D170" s="57"/>
      <c r="E170" s="58"/>
      <c r="F170" s="58"/>
      <c r="G170" s="33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55"/>
      <c r="C171" s="33"/>
      <c r="D171" s="57"/>
      <c r="E171" s="58"/>
      <c r="F171" s="58"/>
      <c r="G171" s="33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55"/>
      <c r="C172" s="33"/>
      <c r="D172" s="57"/>
      <c r="E172" s="58"/>
      <c r="F172" s="58"/>
      <c r="G172" s="33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55"/>
      <c r="C173" s="33"/>
      <c r="D173" s="57"/>
      <c r="E173" s="58"/>
      <c r="F173" s="58"/>
      <c r="G173" s="33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55"/>
      <c r="C174" s="33"/>
      <c r="D174" s="57"/>
      <c r="E174" s="58"/>
      <c r="F174" s="58"/>
      <c r="G174" s="33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55"/>
      <c r="C175" s="33"/>
      <c r="D175" s="57"/>
      <c r="E175" s="58"/>
      <c r="F175" s="58"/>
      <c r="G175" s="33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55"/>
      <c r="C176" s="33"/>
      <c r="D176" s="57"/>
      <c r="E176" s="58"/>
      <c r="F176" s="58"/>
      <c r="G176" s="33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55"/>
      <c r="C177" s="33"/>
      <c r="D177" s="57"/>
      <c r="E177" s="58"/>
      <c r="F177" s="58"/>
      <c r="G177" s="33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55"/>
      <c r="C178" s="33"/>
      <c r="D178" s="57"/>
      <c r="E178" s="58"/>
      <c r="F178" s="58"/>
      <c r="G178" s="33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56"/>
      <c r="C179" s="34"/>
      <c r="D179" s="56"/>
      <c r="E179" s="59"/>
      <c r="F179" s="59"/>
      <c r="G179" s="34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56">
        <f>SUM(B166:B179)</f>
        <v>200</v>
      </c>
      <c r="C180" s="34" t="s">
        <v>66</v>
      </c>
      <c r="D180" s="56">
        <f>SUM(D166:D179)</f>
        <v>318.27999999999997</v>
      </c>
      <c r="E180" s="56">
        <f>SUM(E166:E179)</f>
        <v>0</v>
      </c>
      <c r="F180" s="56">
        <f>SUM(F166:F179)</f>
        <v>0</v>
      </c>
      <c r="G180" s="34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89" t="str">
        <f>'2018'!A29</f>
        <v>Ropa</v>
      </c>
      <c r="C182" s="290"/>
      <c r="D182" s="290"/>
      <c r="E182" s="290"/>
      <c r="F182" s="290"/>
      <c r="G182" s="29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92"/>
      <c r="C183" s="293"/>
      <c r="D183" s="293"/>
      <c r="E183" s="293"/>
      <c r="F183" s="293"/>
      <c r="G183" s="294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97" t="s">
        <v>10</v>
      </c>
      <c r="C184" s="296"/>
      <c r="D184" s="295" t="s">
        <v>11</v>
      </c>
      <c r="E184" s="295"/>
      <c r="F184" s="295"/>
      <c r="G184" s="29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52" t="s">
        <v>32</v>
      </c>
      <c r="C185" s="60" t="s">
        <v>33</v>
      </c>
      <c r="D185" s="52" t="s">
        <v>68</v>
      </c>
      <c r="E185" s="53" t="s">
        <v>69</v>
      </c>
      <c r="F185" s="53" t="s">
        <v>32</v>
      </c>
      <c r="G185" s="60" t="s">
        <v>393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54">
        <v>60</v>
      </c>
      <c r="C186" s="36" t="s">
        <v>43</v>
      </c>
      <c r="D186" s="57">
        <v>9.99</v>
      </c>
      <c r="E186" s="58"/>
      <c r="F186" s="58"/>
      <c r="G186" s="33" t="s">
        <v>399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55"/>
      <c r="C187" s="33"/>
      <c r="D187" s="57"/>
      <c r="E187" s="58"/>
      <c r="F187" s="58">
        <v>5</v>
      </c>
      <c r="G187" s="33" t="s">
        <v>444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55"/>
      <c r="C188" s="33"/>
      <c r="D188" s="57"/>
      <c r="E188" s="58"/>
      <c r="F188" s="58"/>
      <c r="G188" s="33"/>
    </row>
    <row r="189" spans="1:22">
      <c r="B189" s="55"/>
      <c r="C189" s="33"/>
      <c r="D189" s="57"/>
      <c r="E189" s="58"/>
      <c r="F189" s="58"/>
      <c r="G189" s="33"/>
    </row>
    <row r="190" spans="1:22">
      <c r="B190" s="55"/>
      <c r="C190" s="33"/>
      <c r="D190" s="57"/>
      <c r="E190" s="58"/>
      <c r="F190" s="58"/>
      <c r="G190" s="33"/>
    </row>
    <row r="191" spans="1:22">
      <c r="B191" s="55"/>
      <c r="C191" s="33"/>
      <c r="D191" s="57"/>
      <c r="E191" s="58"/>
      <c r="F191" s="58"/>
      <c r="G191" s="33"/>
    </row>
    <row r="192" spans="1:22">
      <c r="B192" s="55"/>
      <c r="C192" s="33"/>
      <c r="D192" s="57"/>
      <c r="E192" s="58"/>
      <c r="F192" s="58"/>
      <c r="G192" s="33"/>
    </row>
    <row r="193" spans="2:7">
      <c r="B193" s="55"/>
      <c r="C193" s="33"/>
      <c r="D193" s="57"/>
      <c r="E193" s="58"/>
      <c r="F193" s="58"/>
      <c r="G193" s="33"/>
    </row>
    <row r="194" spans="2:7">
      <c r="B194" s="55"/>
      <c r="C194" s="33"/>
      <c r="D194" s="57"/>
      <c r="E194" s="58"/>
      <c r="F194" s="58"/>
      <c r="G194" s="33"/>
    </row>
    <row r="195" spans="2:7">
      <c r="B195" s="55"/>
      <c r="C195" s="33"/>
      <c r="D195" s="57"/>
      <c r="E195" s="58"/>
      <c r="F195" s="58"/>
      <c r="G195" s="33"/>
    </row>
    <row r="196" spans="2:7">
      <c r="B196" s="55"/>
      <c r="C196" s="33"/>
      <c r="D196" s="57"/>
      <c r="E196" s="58"/>
      <c r="F196" s="58"/>
      <c r="G196" s="33"/>
    </row>
    <row r="197" spans="2:7">
      <c r="B197" s="55"/>
      <c r="C197" s="33"/>
      <c r="D197" s="57"/>
      <c r="E197" s="58"/>
      <c r="F197" s="58"/>
      <c r="G197" s="33"/>
    </row>
    <row r="198" spans="2:7">
      <c r="B198" s="55"/>
      <c r="C198" s="33"/>
      <c r="D198" s="57"/>
      <c r="E198" s="58"/>
      <c r="F198" s="58"/>
      <c r="G198" s="33"/>
    </row>
    <row r="199" spans="2:7" ht="15.75" thickBot="1">
      <c r="B199" s="56"/>
      <c r="C199" s="34"/>
      <c r="D199" s="56"/>
      <c r="E199" s="59"/>
      <c r="F199" s="59"/>
      <c r="G199" s="34"/>
    </row>
    <row r="200" spans="2:7" ht="15.75" thickBot="1">
      <c r="B200" s="56">
        <f>SUM(B186:B199)</f>
        <v>60</v>
      </c>
      <c r="C200" s="34" t="s">
        <v>66</v>
      </c>
      <c r="D200" s="56">
        <f>SUM(D186:D199)</f>
        <v>9.99</v>
      </c>
      <c r="E200" s="56">
        <f>SUM(E186:E199)</f>
        <v>0</v>
      </c>
      <c r="F200" s="56">
        <f>SUM(F186:F199)</f>
        <v>5</v>
      </c>
      <c r="G200" s="34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89" t="str">
        <f>'2018'!A30</f>
        <v>Belleza</v>
      </c>
      <c r="C202" s="290"/>
      <c r="D202" s="290"/>
      <c r="E202" s="290"/>
      <c r="F202" s="290"/>
      <c r="G202" s="291"/>
    </row>
    <row r="203" spans="2:7" ht="15" customHeight="1" thickBot="1">
      <c r="B203" s="292"/>
      <c r="C203" s="293"/>
      <c r="D203" s="293"/>
      <c r="E203" s="293"/>
      <c r="F203" s="293"/>
      <c r="G203" s="294"/>
    </row>
    <row r="204" spans="2:7">
      <c r="B204" s="297" t="s">
        <v>10</v>
      </c>
      <c r="C204" s="296"/>
      <c r="D204" s="295" t="s">
        <v>11</v>
      </c>
      <c r="E204" s="295"/>
      <c r="F204" s="295"/>
      <c r="G204" s="296"/>
    </row>
    <row r="205" spans="2:7">
      <c r="B205" s="52" t="s">
        <v>32</v>
      </c>
      <c r="C205" s="60" t="s">
        <v>33</v>
      </c>
      <c r="D205" s="52" t="s">
        <v>68</v>
      </c>
      <c r="E205" s="53" t="s">
        <v>69</v>
      </c>
      <c r="F205" s="53" t="s">
        <v>32</v>
      </c>
      <c r="G205" s="60" t="s">
        <v>393</v>
      </c>
    </row>
    <row r="206" spans="2:7">
      <c r="B206" s="54">
        <v>35</v>
      </c>
      <c r="C206" s="36"/>
      <c r="D206" s="57">
        <v>35.869999999999997</v>
      </c>
      <c r="E206" s="58"/>
      <c r="F206" s="58"/>
      <c r="G206" s="33" t="s">
        <v>418</v>
      </c>
    </row>
    <row r="207" spans="2:7">
      <c r="B207" s="55"/>
      <c r="C207" s="33"/>
      <c r="D207" s="57">
        <v>9</v>
      </c>
      <c r="E207" s="58"/>
      <c r="F207" s="58"/>
      <c r="G207" s="33" t="s">
        <v>440</v>
      </c>
    </row>
    <row r="208" spans="2:7">
      <c r="B208" s="55"/>
      <c r="C208" s="33"/>
      <c r="D208" s="57"/>
      <c r="E208" s="58"/>
      <c r="F208" s="58"/>
      <c r="G208" s="33"/>
    </row>
    <row r="209" spans="2:7">
      <c r="B209" s="55"/>
      <c r="C209" s="33"/>
      <c r="D209" s="57"/>
      <c r="E209" s="58"/>
      <c r="F209" s="58"/>
      <c r="G209" s="33"/>
    </row>
    <row r="210" spans="2:7">
      <c r="B210" s="55"/>
      <c r="C210" s="33"/>
      <c r="D210" s="57"/>
      <c r="E210" s="58"/>
      <c r="F210" s="58"/>
      <c r="G210" s="33"/>
    </row>
    <row r="211" spans="2:7">
      <c r="B211" s="55"/>
      <c r="C211" s="33"/>
      <c r="D211" s="57"/>
      <c r="E211" s="58"/>
      <c r="F211" s="58"/>
      <c r="G211" s="33"/>
    </row>
    <row r="212" spans="2:7">
      <c r="B212" s="55"/>
      <c r="C212" s="33"/>
      <c r="D212" s="57"/>
      <c r="E212" s="58"/>
      <c r="F212" s="58"/>
      <c r="G212" s="33"/>
    </row>
    <row r="213" spans="2:7">
      <c r="B213" s="55"/>
      <c r="C213" s="33"/>
      <c r="D213" s="57"/>
      <c r="E213" s="58"/>
      <c r="F213" s="58"/>
      <c r="G213" s="33"/>
    </row>
    <row r="214" spans="2:7">
      <c r="B214" s="55"/>
      <c r="C214" s="33"/>
      <c r="D214" s="57"/>
      <c r="E214" s="58"/>
      <c r="F214" s="58"/>
      <c r="G214" s="33"/>
    </row>
    <row r="215" spans="2:7">
      <c r="B215" s="55"/>
      <c r="C215" s="33"/>
      <c r="D215" s="57"/>
      <c r="E215" s="58"/>
      <c r="F215" s="58"/>
      <c r="G215" s="33"/>
    </row>
    <row r="216" spans="2:7">
      <c r="B216" s="55"/>
      <c r="C216" s="33"/>
      <c r="D216" s="57"/>
      <c r="E216" s="58"/>
      <c r="F216" s="58"/>
      <c r="G216" s="33"/>
    </row>
    <row r="217" spans="2:7">
      <c r="B217" s="55"/>
      <c r="C217" s="33"/>
      <c r="D217" s="57"/>
      <c r="E217" s="58"/>
      <c r="F217" s="58"/>
      <c r="G217" s="33"/>
    </row>
    <row r="218" spans="2:7">
      <c r="B218" s="55"/>
      <c r="C218" s="33"/>
      <c r="D218" s="57"/>
      <c r="E218" s="58"/>
      <c r="F218" s="58"/>
      <c r="G218" s="33"/>
    </row>
    <row r="219" spans="2:7" ht="15.75" thickBot="1">
      <c r="B219" s="56"/>
      <c r="C219" s="34"/>
      <c r="D219" s="56"/>
      <c r="E219" s="59"/>
      <c r="F219" s="59"/>
      <c r="G219" s="34"/>
    </row>
    <row r="220" spans="2:7" ht="15.75" thickBot="1">
      <c r="B220" s="56">
        <f>SUM(B206:B219)</f>
        <v>35</v>
      </c>
      <c r="C220" s="34" t="s">
        <v>66</v>
      </c>
      <c r="D220" s="56">
        <f>SUM(D206:D219)</f>
        <v>44.87</v>
      </c>
      <c r="E220" s="56">
        <f>SUM(E206:E219)</f>
        <v>0</v>
      </c>
      <c r="F220" s="56">
        <f>SUM(F206:F219)</f>
        <v>0</v>
      </c>
      <c r="G220" s="34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89" t="str">
        <f>'2018'!A31</f>
        <v>Deportes</v>
      </c>
      <c r="C222" s="290"/>
      <c r="D222" s="290"/>
      <c r="E222" s="290"/>
      <c r="F222" s="290"/>
      <c r="G222" s="291"/>
    </row>
    <row r="223" spans="2:7" ht="15" customHeight="1" thickBot="1">
      <c r="B223" s="292"/>
      <c r="C223" s="293"/>
      <c r="D223" s="293"/>
      <c r="E223" s="293"/>
      <c r="F223" s="293"/>
      <c r="G223" s="294"/>
    </row>
    <row r="224" spans="2:7">
      <c r="B224" s="297" t="s">
        <v>10</v>
      </c>
      <c r="C224" s="296"/>
      <c r="D224" s="295" t="s">
        <v>11</v>
      </c>
      <c r="E224" s="295"/>
      <c r="F224" s="295"/>
      <c r="G224" s="296"/>
    </row>
    <row r="225" spans="2:7">
      <c r="B225" s="52" t="s">
        <v>32</v>
      </c>
      <c r="C225" s="60" t="s">
        <v>33</v>
      </c>
      <c r="D225" s="52" t="s">
        <v>68</v>
      </c>
      <c r="E225" s="53" t="s">
        <v>69</v>
      </c>
      <c r="F225" s="53" t="s">
        <v>32</v>
      </c>
      <c r="G225" s="60" t="s">
        <v>33</v>
      </c>
    </row>
    <row r="226" spans="2:7">
      <c r="B226" s="54">
        <v>20</v>
      </c>
      <c r="C226" s="36" t="s">
        <v>50</v>
      </c>
      <c r="D226" s="57">
        <v>20</v>
      </c>
      <c r="E226" s="58"/>
      <c r="F226" s="58"/>
      <c r="G226" s="58" t="s">
        <v>50</v>
      </c>
    </row>
    <row r="227" spans="2:7">
      <c r="B227" s="55">
        <v>65</v>
      </c>
      <c r="C227" s="33" t="s">
        <v>102</v>
      </c>
      <c r="D227" s="57"/>
      <c r="E227" s="58"/>
      <c r="F227" s="58">
        <v>195</v>
      </c>
      <c r="G227" s="33" t="s">
        <v>102</v>
      </c>
    </row>
    <row r="228" spans="2:7">
      <c r="B228" s="55">
        <v>5</v>
      </c>
      <c r="C228" s="33" t="s">
        <v>46</v>
      </c>
      <c r="D228" s="57"/>
      <c r="E228" s="58"/>
      <c r="F228" s="58"/>
      <c r="G228" s="33"/>
    </row>
    <row r="229" spans="2:7">
      <c r="B229" s="55"/>
      <c r="C229" s="33"/>
      <c r="D229" s="57"/>
      <c r="E229" s="58"/>
      <c r="F229" s="58"/>
      <c r="G229" s="33"/>
    </row>
    <row r="230" spans="2:7">
      <c r="B230" s="55"/>
      <c r="C230" s="33"/>
      <c r="D230" s="57"/>
      <c r="E230" s="58"/>
      <c r="F230" s="58"/>
      <c r="G230" s="33"/>
    </row>
    <row r="231" spans="2:7">
      <c r="B231" s="55"/>
      <c r="C231" s="33"/>
      <c r="D231" s="57"/>
      <c r="E231" s="58"/>
      <c r="F231" s="58"/>
      <c r="G231" s="33"/>
    </row>
    <row r="232" spans="2:7">
      <c r="B232" s="55"/>
      <c r="C232" s="33"/>
      <c r="D232" s="57"/>
      <c r="E232" s="58"/>
      <c r="F232" s="58"/>
      <c r="G232" s="33"/>
    </row>
    <row r="233" spans="2:7">
      <c r="B233" s="55"/>
      <c r="C233" s="33"/>
      <c r="D233" s="57"/>
      <c r="E233" s="58"/>
      <c r="F233" s="58"/>
      <c r="G233" s="33"/>
    </row>
    <row r="234" spans="2:7">
      <c r="B234" s="55"/>
      <c r="C234" s="33"/>
      <c r="D234" s="57"/>
      <c r="E234" s="58"/>
      <c r="F234" s="58"/>
      <c r="G234" s="33"/>
    </row>
    <row r="235" spans="2:7">
      <c r="B235" s="55"/>
      <c r="C235" s="33"/>
      <c r="D235" s="57"/>
      <c r="E235" s="58"/>
      <c r="F235" s="58"/>
      <c r="G235" s="33"/>
    </row>
    <row r="236" spans="2:7">
      <c r="B236" s="55"/>
      <c r="C236" s="33"/>
      <c r="D236" s="57"/>
      <c r="E236" s="58"/>
      <c r="F236" s="58"/>
      <c r="G236" s="33"/>
    </row>
    <row r="237" spans="2:7">
      <c r="B237" s="55"/>
      <c r="C237" s="33"/>
      <c r="D237" s="57"/>
      <c r="E237" s="58"/>
      <c r="F237" s="58"/>
      <c r="G237" s="33"/>
    </row>
    <row r="238" spans="2:7">
      <c r="B238" s="55"/>
      <c r="C238" s="33"/>
      <c r="D238" s="57"/>
      <c r="E238" s="58"/>
      <c r="F238" s="58"/>
      <c r="G238" s="33"/>
    </row>
    <row r="239" spans="2:7" ht="15.75" thickBot="1">
      <c r="B239" s="56"/>
      <c r="C239" s="34"/>
      <c r="D239" s="56"/>
      <c r="E239" s="59"/>
      <c r="F239" s="59"/>
      <c r="G239" s="34"/>
    </row>
    <row r="240" spans="2:7" ht="15.75" thickBot="1">
      <c r="B240" s="56">
        <f>SUM(B226:B239)</f>
        <v>90</v>
      </c>
      <c r="C240" s="34" t="s">
        <v>66</v>
      </c>
      <c r="D240" s="56">
        <f>SUM(D226:D239)</f>
        <v>20</v>
      </c>
      <c r="E240" s="56">
        <f>SUM(E226:E239)</f>
        <v>0</v>
      </c>
      <c r="F240" s="56">
        <f>SUM(F226:F239)</f>
        <v>195</v>
      </c>
      <c r="G240" s="34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89" t="str">
        <f>'2018'!A32</f>
        <v>Hogar</v>
      </c>
      <c r="C242" s="290"/>
      <c r="D242" s="290"/>
      <c r="E242" s="290"/>
      <c r="F242" s="290"/>
      <c r="G242" s="291"/>
    </row>
    <row r="243" spans="2:7" ht="15" customHeight="1" thickBot="1">
      <c r="B243" s="292"/>
      <c r="C243" s="293"/>
      <c r="D243" s="293"/>
      <c r="E243" s="293"/>
      <c r="F243" s="293"/>
      <c r="G243" s="294"/>
    </row>
    <row r="244" spans="2:7" ht="15" customHeight="1">
      <c r="B244" s="297" t="s">
        <v>10</v>
      </c>
      <c r="C244" s="296"/>
      <c r="D244" s="295" t="s">
        <v>11</v>
      </c>
      <c r="E244" s="295"/>
      <c r="F244" s="295"/>
      <c r="G244" s="296"/>
    </row>
    <row r="245" spans="2:7" ht="15" customHeight="1">
      <c r="B245" s="52" t="s">
        <v>32</v>
      </c>
      <c r="C245" s="60" t="s">
        <v>33</v>
      </c>
      <c r="D245" s="52" t="s">
        <v>68</v>
      </c>
      <c r="E245" s="53" t="s">
        <v>69</v>
      </c>
      <c r="F245" s="53" t="s">
        <v>32</v>
      </c>
      <c r="G245" s="60" t="s">
        <v>393</v>
      </c>
    </row>
    <row r="246" spans="2:7" ht="15" customHeight="1">
      <c r="B246" s="55">
        <v>80</v>
      </c>
      <c r="C246" s="66"/>
      <c r="D246" s="57">
        <f>1.99+0.39</f>
        <v>2.38</v>
      </c>
      <c r="E246" s="58"/>
      <c r="F246" s="58"/>
      <c r="G246" s="33" t="s">
        <v>438</v>
      </c>
    </row>
    <row r="247" spans="2:7" ht="15" customHeight="1">
      <c r="B247" s="55"/>
      <c r="C247" s="33"/>
      <c r="D247" s="57"/>
      <c r="E247" s="58"/>
      <c r="F247" s="58"/>
      <c r="G247" s="33"/>
    </row>
    <row r="248" spans="2:7">
      <c r="B248" s="55"/>
      <c r="C248" s="33"/>
      <c r="D248" s="57"/>
      <c r="E248" s="58"/>
      <c r="F248" s="58"/>
      <c r="G248" s="33"/>
    </row>
    <row r="249" spans="2:7">
      <c r="B249" s="55"/>
      <c r="C249" s="33"/>
      <c r="D249" s="57"/>
      <c r="E249" s="58"/>
      <c r="F249" s="58"/>
      <c r="G249" s="33"/>
    </row>
    <row r="250" spans="2:7">
      <c r="B250" s="55"/>
      <c r="C250" s="33"/>
      <c r="D250" s="57"/>
      <c r="E250" s="58"/>
      <c r="F250" s="58"/>
      <c r="G250" s="33"/>
    </row>
    <row r="251" spans="2:7">
      <c r="B251" s="55"/>
      <c r="C251" s="33"/>
      <c r="D251" s="57"/>
      <c r="E251" s="58"/>
      <c r="F251" s="58"/>
      <c r="G251" s="33"/>
    </row>
    <row r="252" spans="2:7">
      <c r="B252" s="55"/>
      <c r="C252" s="33"/>
      <c r="D252" s="57"/>
      <c r="E252" s="58"/>
      <c r="F252" s="58"/>
      <c r="G252" s="33"/>
    </row>
    <row r="253" spans="2:7">
      <c r="B253" s="55"/>
      <c r="C253" s="33"/>
      <c r="D253" s="57"/>
      <c r="E253" s="58"/>
      <c r="F253" s="58"/>
      <c r="G253" s="33"/>
    </row>
    <row r="254" spans="2:7">
      <c r="B254" s="55"/>
      <c r="C254" s="33"/>
      <c r="D254" s="57"/>
      <c r="E254" s="58"/>
      <c r="F254" s="58"/>
      <c r="G254" s="33"/>
    </row>
    <row r="255" spans="2:7">
      <c r="B255" s="55"/>
      <c r="C255" s="33"/>
      <c r="D255" s="57"/>
      <c r="E255" s="58"/>
      <c r="F255" s="58"/>
      <c r="G255" s="33"/>
    </row>
    <row r="256" spans="2:7">
      <c r="B256" s="55"/>
      <c r="C256" s="33"/>
      <c r="D256" s="57"/>
      <c r="E256" s="58"/>
      <c r="F256" s="58"/>
      <c r="G256" s="33"/>
    </row>
    <row r="257" spans="2:7">
      <c r="B257" s="55"/>
      <c r="C257" s="33"/>
      <c r="D257" s="57"/>
      <c r="E257" s="58"/>
      <c r="F257" s="58"/>
      <c r="G257" s="33"/>
    </row>
    <row r="258" spans="2:7">
      <c r="B258" s="55"/>
      <c r="C258" s="33"/>
      <c r="D258" s="57"/>
      <c r="E258" s="58"/>
      <c r="F258" s="58"/>
      <c r="G258" s="33"/>
    </row>
    <row r="259" spans="2:7" ht="15.75" thickBot="1">
      <c r="B259" s="56"/>
      <c r="C259" s="34"/>
      <c r="D259" s="56"/>
      <c r="E259" s="59"/>
      <c r="F259" s="59"/>
      <c r="G259" s="34"/>
    </row>
    <row r="260" spans="2:7" ht="15.75" thickBot="1">
      <c r="B260" s="56">
        <f>SUM(B246:B259)</f>
        <v>80</v>
      </c>
      <c r="C260" s="34" t="s">
        <v>66</v>
      </c>
      <c r="D260" s="56">
        <f>SUM(D246:D259)</f>
        <v>2.38</v>
      </c>
      <c r="E260" s="56">
        <f>SUM(E246:E259)</f>
        <v>0</v>
      </c>
      <c r="F260" s="56">
        <f>SUM(F246:F259)</f>
        <v>0</v>
      </c>
      <c r="G260" s="34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89" t="str">
        <f>'2018'!A33</f>
        <v>Formación</v>
      </c>
      <c r="C262" s="290"/>
      <c r="D262" s="290"/>
      <c r="E262" s="290"/>
      <c r="F262" s="290"/>
      <c r="G262" s="291"/>
    </row>
    <row r="263" spans="2:7" ht="15" customHeight="1" thickBot="1">
      <c r="B263" s="292"/>
      <c r="C263" s="293"/>
      <c r="D263" s="293"/>
      <c r="E263" s="293"/>
      <c r="F263" s="293"/>
      <c r="G263" s="294"/>
    </row>
    <row r="264" spans="2:7">
      <c r="B264" s="297" t="s">
        <v>10</v>
      </c>
      <c r="C264" s="296"/>
      <c r="D264" s="295" t="s">
        <v>11</v>
      </c>
      <c r="E264" s="295"/>
      <c r="F264" s="295"/>
      <c r="G264" s="296"/>
    </row>
    <row r="265" spans="2:7">
      <c r="B265" s="52" t="s">
        <v>32</v>
      </c>
      <c r="C265" s="60" t="s">
        <v>33</v>
      </c>
      <c r="D265" s="52" t="s">
        <v>68</v>
      </c>
      <c r="E265" s="53" t="s">
        <v>69</v>
      </c>
      <c r="F265" s="53" t="s">
        <v>32</v>
      </c>
      <c r="G265" s="60" t="s">
        <v>33</v>
      </c>
    </row>
    <row r="266" spans="2:7">
      <c r="B266" s="54">
        <v>10</v>
      </c>
      <c r="C266" s="36"/>
      <c r="D266" s="57"/>
      <c r="E266" s="58"/>
      <c r="F266" s="58"/>
      <c r="G266" s="33"/>
    </row>
    <row r="267" spans="2:7">
      <c r="B267" s="55"/>
      <c r="C267" s="33"/>
      <c r="D267" s="57"/>
      <c r="E267" s="58"/>
      <c r="F267" s="58"/>
      <c r="G267" s="33"/>
    </row>
    <row r="268" spans="2:7">
      <c r="B268" s="55"/>
      <c r="C268" s="33"/>
      <c r="D268" s="57"/>
      <c r="E268" s="58"/>
      <c r="F268" s="58"/>
      <c r="G268" s="33"/>
    </row>
    <row r="269" spans="2:7">
      <c r="B269" s="55"/>
      <c r="C269" s="33"/>
      <c r="D269" s="57"/>
      <c r="E269" s="58"/>
      <c r="F269" s="58"/>
      <c r="G269" s="33"/>
    </row>
    <row r="270" spans="2:7">
      <c r="B270" s="55"/>
      <c r="C270" s="33"/>
      <c r="D270" s="57"/>
      <c r="E270" s="58"/>
      <c r="F270" s="58"/>
      <c r="G270" s="33"/>
    </row>
    <row r="271" spans="2:7">
      <c r="B271" s="55"/>
      <c r="C271" s="33"/>
      <c r="D271" s="57"/>
      <c r="E271" s="58"/>
      <c r="F271" s="58"/>
      <c r="G271" s="33"/>
    </row>
    <row r="272" spans="2:7">
      <c r="B272" s="55"/>
      <c r="C272" s="33"/>
      <c r="D272" s="57"/>
      <c r="E272" s="58"/>
      <c r="F272" s="58"/>
      <c r="G272" s="33"/>
    </row>
    <row r="273" spans="2:7">
      <c r="B273" s="55"/>
      <c r="C273" s="33"/>
      <c r="D273" s="57"/>
      <c r="E273" s="58"/>
      <c r="F273" s="58"/>
      <c r="G273" s="33"/>
    </row>
    <row r="274" spans="2:7">
      <c r="B274" s="55"/>
      <c r="C274" s="33"/>
      <c r="D274" s="57"/>
      <c r="E274" s="58"/>
      <c r="F274" s="58"/>
      <c r="G274" s="33"/>
    </row>
    <row r="275" spans="2:7">
      <c r="B275" s="55"/>
      <c r="C275" s="33"/>
      <c r="D275" s="57"/>
      <c r="E275" s="58"/>
      <c r="F275" s="58"/>
      <c r="G275" s="33"/>
    </row>
    <row r="276" spans="2:7">
      <c r="B276" s="55"/>
      <c r="C276" s="33"/>
      <c r="D276" s="57"/>
      <c r="E276" s="58"/>
      <c r="F276" s="58"/>
      <c r="G276" s="33"/>
    </row>
    <row r="277" spans="2:7">
      <c r="B277" s="55"/>
      <c r="C277" s="33"/>
      <c r="D277" s="57"/>
      <c r="E277" s="58"/>
      <c r="F277" s="58"/>
      <c r="G277" s="33"/>
    </row>
    <row r="278" spans="2:7">
      <c r="B278" s="55"/>
      <c r="C278" s="33"/>
      <c r="D278" s="57"/>
      <c r="E278" s="58"/>
      <c r="F278" s="58"/>
      <c r="G278" s="33"/>
    </row>
    <row r="279" spans="2:7" ht="15.75" thickBot="1">
      <c r="B279" s="56"/>
      <c r="C279" s="34"/>
      <c r="D279" s="56"/>
      <c r="E279" s="59"/>
      <c r="F279" s="59"/>
      <c r="G279" s="34"/>
    </row>
    <row r="280" spans="2:7" ht="15.75" thickBot="1">
      <c r="B280" s="56">
        <f>SUM(B266:B279)</f>
        <v>10</v>
      </c>
      <c r="C280" s="34" t="s">
        <v>66</v>
      </c>
      <c r="D280" s="56">
        <f>SUM(D266:D279)</f>
        <v>0</v>
      </c>
      <c r="E280" s="56">
        <f>SUM(E266:E279)</f>
        <v>0</v>
      </c>
      <c r="F280" s="56">
        <f>SUM(F266:F279)</f>
        <v>0</v>
      </c>
      <c r="G280" s="34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289" t="str">
        <f>'2018'!A34</f>
        <v>Regalos</v>
      </c>
      <c r="C282" s="290"/>
      <c r="D282" s="290"/>
      <c r="E282" s="290"/>
      <c r="F282" s="290"/>
      <c r="G282" s="291"/>
    </row>
    <row r="283" spans="2:7" ht="15" customHeight="1" thickBot="1">
      <c r="B283" s="292"/>
      <c r="C283" s="293"/>
      <c r="D283" s="293"/>
      <c r="E283" s="293"/>
      <c r="F283" s="293"/>
      <c r="G283" s="294"/>
    </row>
    <row r="284" spans="2:7">
      <c r="B284" s="297" t="s">
        <v>10</v>
      </c>
      <c r="C284" s="296"/>
      <c r="D284" s="295" t="s">
        <v>11</v>
      </c>
      <c r="E284" s="295"/>
      <c r="F284" s="295"/>
      <c r="G284" s="296"/>
    </row>
    <row r="285" spans="2:7">
      <c r="B285" s="52" t="s">
        <v>32</v>
      </c>
      <c r="C285" s="60" t="s">
        <v>33</v>
      </c>
      <c r="D285" s="52" t="s">
        <v>68</v>
      </c>
      <c r="E285" s="53" t="s">
        <v>69</v>
      </c>
      <c r="F285" s="53" t="s">
        <v>32</v>
      </c>
      <c r="G285" s="60" t="s">
        <v>393</v>
      </c>
    </row>
    <row r="286" spans="2:7">
      <c r="B286" s="54">
        <v>150</v>
      </c>
      <c r="C286" s="36" t="s">
        <v>36</v>
      </c>
      <c r="D286" s="57"/>
      <c r="E286" s="58">
        <v>60</v>
      </c>
      <c r="F286" s="58"/>
      <c r="G286" s="33" t="s">
        <v>424</v>
      </c>
    </row>
    <row r="287" spans="2:7">
      <c r="B287" s="55"/>
      <c r="C287" s="33"/>
      <c r="D287" s="57"/>
      <c r="E287" s="58"/>
      <c r="F287" s="58">
        <f>11+20</f>
        <v>31</v>
      </c>
      <c r="G287" s="33" t="s">
        <v>427</v>
      </c>
    </row>
    <row r="288" spans="2:7">
      <c r="B288" s="55"/>
      <c r="C288" s="33"/>
      <c r="D288" s="57">
        <f>20.45</f>
        <v>20.45</v>
      </c>
      <c r="E288" s="58"/>
      <c r="F288" s="58"/>
      <c r="G288" s="33" t="s">
        <v>433</v>
      </c>
    </row>
    <row r="289" spans="2:7">
      <c r="B289" s="55"/>
      <c r="C289" s="33"/>
      <c r="D289" s="57">
        <v>36.700000000000003</v>
      </c>
      <c r="E289" s="58"/>
      <c r="F289" s="58"/>
      <c r="G289" s="33" t="s">
        <v>436</v>
      </c>
    </row>
    <row r="290" spans="2:7">
      <c r="B290" s="55"/>
      <c r="C290" s="33"/>
      <c r="D290" s="57">
        <v>6.95</v>
      </c>
      <c r="E290" s="58"/>
      <c r="F290" s="58"/>
      <c r="G290" s="33" t="s">
        <v>447</v>
      </c>
    </row>
    <row r="291" spans="2:7">
      <c r="B291" s="55"/>
      <c r="C291" s="33"/>
      <c r="D291" s="57"/>
      <c r="E291" s="58"/>
      <c r="F291" s="58"/>
      <c r="G291" s="33"/>
    </row>
    <row r="292" spans="2:7">
      <c r="B292" s="55"/>
      <c r="C292" s="33"/>
      <c r="D292" s="57"/>
      <c r="E292" s="58"/>
      <c r="F292" s="58"/>
      <c r="G292" s="33"/>
    </row>
    <row r="293" spans="2:7">
      <c r="B293" s="55"/>
      <c r="C293" s="33"/>
      <c r="D293" s="57"/>
      <c r="E293" s="58"/>
      <c r="F293" s="58"/>
      <c r="G293" s="33"/>
    </row>
    <row r="294" spans="2:7">
      <c r="B294" s="55"/>
      <c r="C294" s="33"/>
      <c r="D294" s="57"/>
      <c r="E294" s="58"/>
      <c r="F294" s="58"/>
      <c r="G294" s="33"/>
    </row>
    <row r="295" spans="2:7">
      <c r="B295" s="55"/>
      <c r="C295" s="33"/>
      <c r="D295" s="57"/>
      <c r="E295" s="58"/>
      <c r="F295" s="58"/>
      <c r="G295" s="33"/>
    </row>
    <row r="296" spans="2:7">
      <c r="B296" s="55"/>
      <c r="C296" s="33"/>
      <c r="D296" s="57"/>
      <c r="E296" s="58"/>
      <c r="F296" s="58"/>
      <c r="G296" s="33"/>
    </row>
    <row r="297" spans="2:7">
      <c r="B297" s="55"/>
      <c r="C297" s="33"/>
      <c r="D297" s="57"/>
      <c r="E297" s="58"/>
      <c r="F297" s="58"/>
      <c r="G297" s="33"/>
    </row>
    <row r="298" spans="2:7">
      <c r="B298" s="55"/>
      <c r="C298" s="33"/>
      <c r="D298" s="57"/>
      <c r="E298" s="58"/>
      <c r="F298" s="58"/>
      <c r="G298" s="33"/>
    </row>
    <row r="299" spans="2:7" ht="15.75" thickBot="1">
      <c r="B299" s="56"/>
      <c r="C299" s="34"/>
      <c r="D299" s="56"/>
      <c r="E299" s="59"/>
      <c r="F299" s="59"/>
      <c r="G299" s="34"/>
    </row>
    <row r="300" spans="2:7" ht="15.75" thickBot="1">
      <c r="B300" s="56">
        <f>SUM(B286:B299)</f>
        <v>150</v>
      </c>
      <c r="C300" s="34" t="s">
        <v>66</v>
      </c>
      <c r="D300" s="56">
        <f>SUM(D286:D299)</f>
        <v>64.100000000000009</v>
      </c>
      <c r="E300" s="56">
        <f>SUM(E286:E299)</f>
        <v>60</v>
      </c>
      <c r="F300" s="56">
        <f>SUM(F286:F299)</f>
        <v>31</v>
      </c>
      <c r="G300" s="34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89" t="str">
        <f>'2018'!A35</f>
        <v>Salud</v>
      </c>
      <c r="C302" s="290"/>
      <c r="D302" s="290"/>
      <c r="E302" s="290"/>
      <c r="F302" s="290"/>
      <c r="G302" s="291"/>
    </row>
    <row r="303" spans="2:7" ht="15" customHeight="1" thickBot="1">
      <c r="B303" s="292"/>
      <c r="C303" s="293"/>
      <c r="D303" s="293"/>
      <c r="E303" s="293"/>
      <c r="F303" s="293"/>
      <c r="G303" s="294"/>
    </row>
    <row r="304" spans="2:7">
      <c r="B304" s="297" t="s">
        <v>10</v>
      </c>
      <c r="C304" s="296"/>
      <c r="D304" s="295" t="s">
        <v>11</v>
      </c>
      <c r="E304" s="295"/>
      <c r="F304" s="295"/>
      <c r="G304" s="296"/>
    </row>
    <row r="305" spans="2:7">
      <c r="B305" s="52" t="s">
        <v>32</v>
      </c>
      <c r="C305" s="60" t="s">
        <v>33</v>
      </c>
      <c r="D305" s="52" t="s">
        <v>68</v>
      </c>
      <c r="E305" s="53" t="s">
        <v>69</v>
      </c>
      <c r="F305" s="53" t="s">
        <v>32</v>
      </c>
      <c r="G305" s="60" t="s">
        <v>393</v>
      </c>
    </row>
    <row r="306" spans="2:7">
      <c r="B306" s="54">
        <v>100</v>
      </c>
      <c r="C306" s="36" t="s">
        <v>60</v>
      </c>
      <c r="D306" s="57">
        <v>65.819999999999993</v>
      </c>
      <c r="E306" s="58"/>
      <c r="F306" s="58"/>
      <c r="G306" s="33" t="s">
        <v>401</v>
      </c>
    </row>
    <row r="307" spans="2:7">
      <c r="B307" s="84"/>
      <c r="C307" s="66"/>
      <c r="D307" s="57">
        <v>94</v>
      </c>
      <c r="E307" s="58"/>
      <c r="F307" s="58"/>
      <c r="G307" s="33" t="s">
        <v>407</v>
      </c>
    </row>
    <row r="308" spans="2:7">
      <c r="B308" s="84"/>
      <c r="C308" s="66"/>
      <c r="D308" s="57">
        <v>4.4000000000000004</v>
      </c>
      <c r="E308" s="58"/>
      <c r="F308" s="58"/>
      <c r="G308" s="33" t="s">
        <v>420</v>
      </c>
    </row>
    <row r="309" spans="2:7">
      <c r="B309" s="55"/>
      <c r="C309" s="33"/>
      <c r="D309" s="57"/>
      <c r="E309" s="58"/>
      <c r="F309" s="58"/>
      <c r="G309" s="33"/>
    </row>
    <row r="310" spans="2:7">
      <c r="B310" s="55"/>
      <c r="C310" s="33"/>
      <c r="D310" s="57"/>
      <c r="E310" s="58"/>
      <c r="F310" s="58"/>
      <c r="G310" s="33"/>
    </row>
    <row r="311" spans="2:7">
      <c r="B311" s="55"/>
      <c r="C311" s="33"/>
      <c r="D311" s="57"/>
      <c r="E311" s="58"/>
      <c r="F311" s="58"/>
      <c r="G311" s="33"/>
    </row>
    <row r="312" spans="2:7">
      <c r="B312" s="55"/>
      <c r="C312" s="33"/>
      <c r="D312" s="57"/>
      <c r="E312" s="58"/>
      <c r="F312" s="58"/>
      <c r="G312" s="33"/>
    </row>
    <row r="313" spans="2:7">
      <c r="B313" s="55"/>
      <c r="C313" s="33"/>
      <c r="D313" s="57"/>
      <c r="E313" s="58"/>
      <c r="F313" s="58"/>
      <c r="G313" s="33"/>
    </row>
    <row r="314" spans="2:7">
      <c r="B314" s="55"/>
      <c r="C314" s="33"/>
      <c r="D314" s="57"/>
      <c r="E314" s="58"/>
      <c r="F314" s="58"/>
      <c r="G314" s="33"/>
    </row>
    <row r="315" spans="2:7">
      <c r="B315" s="55"/>
      <c r="C315" s="33"/>
      <c r="D315" s="57"/>
      <c r="E315" s="58"/>
      <c r="F315" s="58"/>
      <c r="G315" s="33"/>
    </row>
    <row r="316" spans="2:7">
      <c r="B316" s="55"/>
      <c r="C316" s="33"/>
      <c r="D316" s="57"/>
      <c r="E316" s="58"/>
      <c r="F316" s="58"/>
      <c r="G316" s="33"/>
    </row>
    <row r="317" spans="2:7">
      <c r="B317" s="55"/>
      <c r="C317" s="33"/>
      <c r="D317" s="57"/>
      <c r="E317" s="58"/>
      <c r="F317" s="58"/>
      <c r="G317" s="33"/>
    </row>
    <row r="318" spans="2:7">
      <c r="B318" s="55"/>
      <c r="C318" s="33"/>
      <c r="D318" s="57"/>
      <c r="E318" s="58"/>
      <c r="F318" s="58"/>
      <c r="G318" s="33"/>
    </row>
    <row r="319" spans="2:7" ht="15.75" thickBot="1">
      <c r="B319" s="56"/>
      <c r="C319" s="34"/>
      <c r="D319" s="56"/>
      <c r="E319" s="59"/>
      <c r="F319" s="59"/>
      <c r="G319" s="34"/>
    </row>
    <row r="320" spans="2:7" ht="15.75" thickBot="1">
      <c r="B320" s="56">
        <f>SUM(B306:B319)</f>
        <v>100</v>
      </c>
      <c r="C320" s="34" t="s">
        <v>66</v>
      </c>
      <c r="D320" s="56">
        <f>SUM(D306:D319)</f>
        <v>164.22</v>
      </c>
      <c r="E320" s="56">
        <f>SUM(E306:E319)</f>
        <v>0</v>
      </c>
      <c r="F320" s="56">
        <f>SUM(F306:F319)</f>
        <v>0</v>
      </c>
      <c r="G320" s="34" t="s">
        <v>66</v>
      </c>
    </row>
    <row r="321" spans="2:7" ht="15.75" thickBot="1"/>
    <row r="322" spans="2:7" ht="14.45" customHeight="1">
      <c r="B322" s="289" t="str">
        <f>'2018'!A36</f>
        <v>Martina</v>
      </c>
      <c r="C322" s="290"/>
      <c r="D322" s="290"/>
      <c r="E322" s="290"/>
      <c r="F322" s="290"/>
      <c r="G322" s="291"/>
    </row>
    <row r="323" spans="2:7" ht="15" customHeight="1" thickBot="1">
      <c r="B323" s="292"/>
      <c r="C323" s="293"/>
      <c r="D323" s="293"/>
      <c r="E323" s="293"/>
      <c r="F323" s="293"/>
      <c r="G323" s="294"/>
    </row>
    <row r="324" spans="2:7">
      <c r="B324" s="297" t="s">
        <v>10</v>
      </c>
      <c r="C324" s="296"/>
      <c r="D324" s="295" t="s">
        <v>11</v>
      </c>
      <c r="E324" s="295"/>
      <c r="F324" s="295"/>
      <c r="G324" s="296"/>
    </row>
    <row r="325" spans="2:7">
      <c r="B325" s="52" t="s">
        <v>32</v>
      </c>
      <c r="C325" s="60" t="s">
        <v>33</v>
      </c>
      <c r="D325" s="52" t="s">
        <v>68</v>
      </c>
      <c r="E325" s="53" t="s">
        <v>69</v>
      </c>
      <c r="F325" s="53" t="s">
        <v>32</v>
      </c>
      <c r="G325" s="60" t="s">
        <v>393</v>
      </c>
    </row>
    <row r="326" spans="2:7">
      <c r="B326" s="54">
        <v>10</v>
      </c>
      <c r="C326" s="36"/>
      <c r="D326" s="57">
        <v>80</v>
      </c>
      <c r="E326" s="58"/>
      <c r="F326" s="58"/>
      <c r="G326" s="33" t="s">
        <v>408</v>
      </c>
    </row>
    <row r="327" spans="2:7">
      <c r="B327" s="55"/>
      <c r="C327" s="33"/>
      <c r="D327" s="57">
        <v>9</v>
      </c>
      <c r="E327" s="58"/>
      <c r="F327" s="58"/>
      <c r="G327" s="33" t="s">
        <v>425</v>
      </c>
    </row>
    <row r="328" spans="2:7">
      <c r="B328" s="55"/>
      <c r="C328" s="33"/>
      <c r="D328" s="57"/>
      <c r="E328" s="58"/>
      <c r="F328" s="58"/>
      <c r="G328" s="33"/>
    </row>
    <row r="329" spans="2:7">
      <c r="B329" s="55"/>
      <c r="C329" s="33"/>
      <c r="D329" s="57"/>
      <c r="E329" s="58"/>
      <c r="F329" s="58"/>
      <c r="G329" s="33"/>
    </row>
    <row r="330" spans="2:7">
      <c r="B330" s="55"/>
      <c r="C330" s="33"/>
      <c r="D330" s="57"/>
      <c r="E330" s="58"/>
      <c r="F330" s="58"/>
      <c r="G330" s="33"/>
    </row>
    <row r="331" spans="2:7">
      <c r="B331" s="55"/>
      <c r="C331" s="33"/>
      <c r="D331" s="57"/>
      <c r="E331" s="58"/>
      <c r="F331" s="58"/>
      <c r="G331" s="33"/>
    </row>
    <row r="332" spans="2:7">
      <c r="B332" s="55"/>
      <c r="C332" s="33"/>
      <c r="D332" s="57"/>
      <c r="E332" s="58"/>
      <c r="F332" s="58"/>
      <c r="G332" s="33"/>
    </row>
    <row r="333" spans="2:7">
      <c r="B333" s="55"/>
      <c r="C333" s="33"/>
      <c r="D333" s="57"/>
      <c r="E333" s="58"/>
      <c r="F333" s="58"/>
      <c r="G333" s="33"/>
    </row>
    <row r="334" spans="2:7">
      <c r="B334" s="55"/>
      <c r="C334" s="33"/>
      <c r="D334" s="57"/>
      <c r="E334" s="58"/>
      <c r="F334" s="58"/>
      <c r="G334" s="33"/>
    </row>
    <row r="335" spans="2:7">
      <c r="B335" s="55"/>
      <c r="C335" s="33"/>
      <c r="D335" s="57"/>
      <c r="E335" s="58"/>
      <c r="F335" s="58"/>
      <c r="G335" s="33"/>
    </row>
    <row r="336" spans="2:7">
      <c r="B336" s="55"/>
      <c r="C336" s="33"/>
      <c r="D336" s="57"/>
      <c r="E336" s="58"/>
      <c r="F336" s="58"/>
      <c r="G336" s="33"/>
    </row>
    <row r="337" spans="2:7">
      <c r="B337" s="55"/>
      <c r="C337" s="33"/>
      <c r="D337" s="57"/>
      <c r="E337" s="58"/>
      <c r="F337" s="58"/>
      <c r="G337" s="33"/>
    </row>
    <row r="338" spans="2:7">
      <c r="B338" s="55"/>
      <c r="C338" s="33"/>
      <c r="D338" s="57"/>
      <c r="E338" s="58"/>
      <c r="F338" s="58"/>
      <c r="G338" s="33"/>
    </row>
    <row r="339" spans="2:7" ht="15.75" thickBot="1">
      <c r="B339" s="56"/>
      <c r="C339" s="34"/>
      <c r="D339" s="56"/>
      <c r="E339" s="59"/>
      <c r="F339" s="59"/>
      <c r="G339" s="34"/>
    </row>
    <row r="340" spans="2:7" ht="15.75" thickBot="1">
      <c r="B340" s="56">
        <f>SUM(B326:B339)</f>
        <v>10</v>
      </c>
      <c r="C340" s="34" t="s">
        <v>66</v>
      </c>
      <c r="D340" s="56">
        <f>SUM(D326:D339)</f>
        <v>89</v>
      </c>
      <c r="E340" s="56">
        <f>SUM(E326:E339)</f>
        <v>0</v>
      </c>
      <c r="F340" s="56">
        <f>SUM(F326:F339)</f>
        <v>0</v>
      </c>
      <c r="G340" s="34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89" t="str">
        <f>'2018'!A37</f>
        <v>Impuestos</v>
      </c>
      <c r="C342" s="290"/>
      <c r="D342" s="290"/>
      <c r="E342" s="290"/>
      <c r="F342" s="290"/>
      <c r="G342" s="291"/>
    </row>
    <row r="343" spans="2:7" ht="15" customHeight="1" thickBot="1">
      <c r="B343" s="292"/>
      <c r="C343" s="293"/>
      <c r="D343" s="293"/>
      <c r="E343" s="293"/>
      <c r="F343" s="293"/>
      <c r="G343" s="294"/>
    </row>
    <row r="344" spans="2:7">
      <c r="B344" s="297" t="s">
        <v>10</v>
      </c>
      <c r="C344" s="296"/>
      <c r="D344" s="295" t="s">
        <v>11</v>
      </c>
      <c r="E344" s="295"/>
      <c r="F344" s="295"/>
      <c r="G344" s="296"/>
    </row>
    <row r="345" spans="2:7">
      <c r="B345" s="52" t="s">
        <v>32</v>
      </c>
      <c r="C345" s="60" t="s">
        <v>33</v>
      </c>
      <c r="D345" s="52" t="s">
        <v>68</v>
      </c>
      <c r="E345" s="53" t="s">
        <v>69</v>
      </c>
      <c r="F345" s="53" t="s">
        <v>32</v>
      </c>
      <c r="G345" s="60" t="s">
        <v>393</v>
      </c>
    </row>
    <row r="346" spans="2:7">
      <c r="B346" s="54">
        <v>30</v>
      </c>
      <c r="C346" s="36" t="s">
        <v>119</v>
      </c>
      <c r="D346" s="57"/>
      <c r="E346" s="58"/>
      <c r="F346" s="58"/>
      <c r="G346" s="33"/>
    </row>
    <row r="347" spans="2:7">
      <c r="B347" s="55"/>
      <c r="C347" s="33"/>
      <c r="D347" s="57"/>
      <c r="E347" s="58"/>
      <c r="F347" s="58"/>
      <c r="G347" s="33"/>
    </row>
    <row r="348" spans="2:7">
      <c r="B348" s="55"/>
      <c r="C348" s="33"/>
      <c r="D348" s="57"/>
      <c r="E348" s="58"/>
      <c r="F348" s="58"/>
      <c r="G348" s="33"/>
    </row>
    <row r="349" spans="2:7">
      <c r="B349" s="55"/>
      <c r="C349" s="33"/>
      <c r="D349" s="57"/>
      <c r="E349" s="58"/>
      <c r="F349" s="58"/>
      <c r="G349" s="33"/>
    </row>
    <row r="350" spans="2:7">
      <c r="B350" s="55"/>
      <c r="C350" s="33"/>
      <c r="D350" s="57"/>
      <c r="E350" s="58"/>
      <c r="F350" s="58"/>
      <c r="G350" s="33"/>
    </row>
    <row r="351" spans="2:7">
      <c r="B351" s="55"/>
      <c r="C351" s="33"/>
      <c r="D351" s="57"/>
      <c r="E351" s="58"/>
      <c r="F351" s="58"/>
      <c r="G351" s="33"/>
    </row>
    <row r="352" spans="2:7">
      <c r="B352" s="55"/>
      <c r="C352" s="33"/>
      <c r="D352" s="57"/>
      <c r="E352" s="58"/>
      <c r="F352" s="58"/>
      <c r="G352" s="33"/>
    </row>
    <row r="353" spans="2:7">
      <c r="B353" s="55"/>
      <c r="C353" s="33"/>
      <c r="D353" s="57"/>
      <c r="E353" s="58"/>
      <c r="F353" s="58"/>
      <c r="G353" s="33"/>
    </row>
    <row r="354" spans="2:7">
      <c r="B354" s="55"/>
      <c r="C354" s="33"/>
      <c r="D354" s="57"/>
      <c r="E354" s="58"/>
      <c r="F354" s="58"/>
      <c r="G354" s="33"/>
    </row>
    <row r="355" spans="2:7">
      <c r="B355" s="55"/>
      <c r="C355" s="33"/>
      <c r="D355" s="57"/>
      <c r="E355" s="58"/>
      <c r="F355" s="58"/>
      <c r="G355" s="33"/>
    </row>
    <row r="356" spans="2:7">
      <c r="B356" s="55"/>
      <c r="C356" s="33"/>
      <c r="D356" s="57"/>
      <c r="E356" s="58"/>
      <c r="F356" s="58"/>
      <c r="G356" s="33"/>
    </row>
    <row r="357" spans="2:7">
      <c r="B357" s="55"/>
      <c r="C357" s="33"/>
      <c r="D357" s="57"/>
      <c r="E357" s="58"/>
      <c r="F357" s="58"/>
      <c r="G357" s="33"/>
    </row>
    <row r="358" spans="2:7">
      <c r="B358" s="55"/>
      <c r="C358" s="33"/>
      <c r="D358" s="57"/>
      <c r="E358" s="58"/>
      <c r="F358" s="58"/>
      <c r="G358" s="33"/>
    </row>
    <row r="359" spans="2:7" ht="15.75" thickBot="1">
      <c r="B359" s="56"/>
      <c r="C359" s="34"/>
      <c r="D359" s="56"/>
      <c r="E359" s="59"/>
      <c r="F359" s="59"/>
      <c r="G359" s="34"/>
    </row>
    <row r="360" spans="2:7" ht="15.75" thickBot="1">
      <c r="B360" s="56">
        <f>SUM(B346:B359)</f>
        <v>30</v>
      </c>
      <c r="C360" s="34" t="s">
        <v>66</v>
      </c>
      <c r="D360" s="56">
        <f>SUM(D346:D359)</f>
        <v>0</v>
      </c>
      <c r="E360" s="56">
        <f>SUM(E346:E359)</f>
        <v>0</v>
      </c>
      <c r="F360" s="56">
        <f>SUM(F346:F359)</f>
        <v>0</v>
      </c>
      <c r="G360" s="34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89" t="str">
        <f>'2018'!A38</f>
        <v>Gastos Curros</v>
      </c>
      <c r="C362" s="290"/>
      <c r="D362" s="290"/>
      <c r="E362" s="290"/>
      <c r="F362" s="290"/>
      <c r="G362" s="291"/>
    </row>
    <row r="363" spans="2:7" ht="15" customHeight="1" thickBot="1">
      <c r="B363" s="292"/>
      <c r="C363" s="293"/>
      <c r="D363" s="293"/>
      <c r="E363" s="293"/>
      <c r="F363" s="293"/>
      <c r="G363" s="294"/>
    </row>
    <row r="364" spans="2:7">
      <c r="B364" s="297" t="s">
        <v>10</v>
      </c>
      <c r="C364" s="296"/>
      <c r="D364" s="295" t="s">
        <v>11</v>
      </c>
      <c r="E364" s="295"/>
      <c r="F364" s="295"/>
      <c r="G364" s="296"/>
    </row>
    <row r="365" spans="2:7">
      <c r="B365" s="52" t="s">
        <v>32</v>
      </c>
      <c r="C365" s="60" t="s">
        <v>33</v>
      </c>
      <c r="D365" s="52" t="s">
        <v>68</v>
      </c>
      <c r="E365" s="53" t="s">
        <v>69</v>
      </c>
      <c r="F365" s="53" t="s">
        <v>32</v>
      </c>
      <c r="G365" s="60" t="s">
        <v>393</v>
      </c>
    </row>
    <row r="366" spans="2:7">
      <c r="B366" s="54">
        <v>100</v>
      </c>
      <c r="C366" s="36" t="s">
        <v>36</v>
      </c>
      <c r="D366" s="57"/>
      <c r="E366" s="58"/>
      <c r="F366" s="58">
        <f>3.4+3.8+4+3.4+3.4+4.45+4+3.4+3.2+5.05+3.4</f>
        <v>41.499999999999993</v>
      </c>
      <c r="G366" s="70" t="s">
        <v>395</v>
      </c>
    </row>
    <row r="367" spans="2:7">
      <c r="B367" s="55"/>
      <c r="C367" s="33"/>
      <c r="D367" s="57">
        <v>6.5</v>
      </c>
      <c r="E367" s="58"/>
      <c r="F367" s="58"/>
      <c r="G367" s="70" t="s">
        <v>419</v>
      </c>
    </row>
    <row r="368" spans="2:7">
      <c r="B368" s="55"/>
      <c r="C368" s="33"/>
      <c r="D368" s="57">
        <f>3</f>
        <v>3</v>
      </c>
      <c r="E368" s="58"/>
      <c r="F368" s="58"/>
      <c r="G368" s="33" t="s">
        <v>438</v>
      </c>
    </row>
    <row r="369" spans="2:7">
      <c r="B369" s="55"/>
      <c r="C369" s="33"/>
      <c r="D369" s="57">
        <v>36.450000000000003</v>
      </c>
      <c r="E369" s="58"/>
      <c r="F369" s="58"/>
      <c r="G369" s="33" t="s">
        <v>439</v>
      </c>
    </row>
    <row r="370" spans="2:7">
      <c r="B370" s="55"/>
      <c r="C370" s="33"/>
      <c r="D370" s="57"/>
      <c r="E370" s="58"/>
      <c r="F370" s="58"/>
      <c r="G370" s="33"/>
    </row>
    <row r="371" spans="2:7">
      <c r="B371" s="55"/>
      <c r="C371" s="33"/>
      <c r="D371" s="57"/>
      <c r="E371" s="58"/>
      <c r="F371" s="58"/>
      <c r="G371" s="33"/>
    </row>
    <row r="372" spans="2:7">
      <c r="B372" s="55"/>
      <c r="C372" s="33"/>
      <c r="D372" s="57"/>
      <c r="E372" s="58"/>
      <c r="F372" s="58"/>
      <c r="G372" s="33"/>
    </row>
    <row r="373" spans="2:7">
      <c r="B373" s="55"/>
      <c r="C373" s="33"/>
      <c r="D373" s="57"/>
      <c r="E373" s="58"/>
      <c r="F373" s="58"/>
      <c r="G373" s="33"/>
    </row>
    <row r="374" spans="2:7">
      <c r="B374" s="55"/>
      <c r="C374" s="33"/>
      <c r="D374" s="57"/>
      <c r="E374" s="58"/>
      <c r="F374" s="58"/>
      <c r="G374" s="33"/>
    </row>
    <row r="375" spans="2:7">
      <c r="B375" s="55"/>
      <c r="C375" s="33"/>
      <c r="D375" s="57"/>
      <c r="E375" s="58"/>
      <c r="F375" s="58"/>
      <c r="G375" s="33"/>
    </row>
    <row r="376" spans="2:7">
      <c r="B376" s="55"/>
      <c r="C376" s="33"/>
      <c r="D376" s="57"/>
      <c r="E376" s="58"/>
      <c r="F376" s="58"/>
      <c r="G376" s="33"/>
    </row>
    <row r="377" spans="2:7">
      <c r="B377" s="55"/>
      <c r="C377" s="33"/>
      <c r="D377" s="57"/>
      <c r="E377" s="58"/>
      <c r="F377" s="58"/>
      <c r="G377" s="33"/>
    </row>
    <row r="378" spans="2:7">
      <c r="B378" s="55"/>
      <c r="C378" s="33"/>
      <c r="D378" s="57"/>
      <c r="E378" s="58"/>
      <c r="F378" s="58"/>
      <c r="G378" s="33"/>
    </row>
    <row r="379" spans="2:7" ht="15.75" thickBot="1">
      <c r="B379" s="56"/>
      <c r="C379" s="34"/>
      <c r="D379" s="56"/>
      <c r="E379" s="59"/>
      <c r="F379" s="59"/>
      <c r="G379" s="34"/>
    </row>
    <row r="380" spans="2:7" ht="15.75" thickBot="1">
      <c r="B380" s="56">
        <f>SUM(B366:B379)</f>
        <v>100</v>
      </c>
      <c r="C380" s="34" t="s">
        <v>66</v>
      </c>
      <c r="D380" s="56">
        <f>SUM(D366:D379)</f>
        <v>45.95</v>
      </c>
      <c r="E380" s="56">
        <f>SUM(E366:E379)</f>
        <v>0</v>
      </c>
      <c r="F380" s="56">
        <f>SUM(F366:F379)</f>
        <v>41.499999999999993</v>
      </c>
      <c r="G380" s="34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89" t="str">
        <f>'2018'!A39</f>
        <v>Dreamed Holidays</v>
      </c>
      <c r="C382" s="290"/>
      <c r="D382" s="290"/>
      <c r="E382" s="290"/>
      <c r="F382" s="290"/>
      <c r="G382" s="291"/>
    </row>
    <row r="383" spans="2:7" ht="15" customHeight="1" thickBot="1">
      <c r="B383" s="292"/>
      <c r="C383" s="293"/>
      <c r="D383" s="293"/>
      <c r="E383" s="293"/>
      <c r="F383" s="293"/>
      <c r="G383" s="294"/>
    </row>
    <row r="384" spans="2:7">
      <c r="B384" s="297" t="s">
        <v>10</v>
      </c>
      <c r="C384" s="296"/>
      <c r="D384" s="295" t="s">
        <v>11</v>
      </c>
      <c r="E384" s="295"/>
      <c r="F384" s="295"/>
      <c r="G384" s="296"/>
    </row>
    <row r="385" spans="2:7">
      <c r="B385" s="52" t="s">
        <v>32</v>
      </c>
      <c r="C385" s="60" t="s">
        <v>33</v>
      </c>
      <c r="D385" s="52" t="s">
        <v>68</v>
      </c>
      <c r="E385" s="53" t="s">
        <v>69</v>
      </c>
      <c r="F385" s="53" t="s">
        <v>32</v>
      </c>
      <c r="G385" s="60" t="s">
        <v>33</v>
      </c>
    </row>
    <row r="386" spans="2:7">
      <c r="B386" s="54">
        <v>10</v>
      </c>
      <c r="C386" s="36"/>
      <c r="D386" s="57"/>
      <c r="E386" s="58"/>
      <c r="F386" s="58"/>
      <c r="G386" s="33"/>
    </row>
    <row r="387" spans="2:7">
      <c r="B387" s="55"/>
      <c r="C387" s="33"/>
      <c r="D387" s="57"/>
      <c r="E387" s="58"/>
      <c r="F387" s="58"/>
      <c r="G387" s="33"/>
    </row>
    <row r="388" spans="2:7">
      <c r="B388" s="55"/>
      <c r="C388" s="33"/>
      <c r="D388" s="57"/>
      <c r="E388" s="58"/>
      <c r="F388" s="58"/>
      <c r="G388" s="33"/>
    </row>
    <row r="389" spans="2:7">
      <c r="B389" s="55"/>
      <c r="C389" s="33"/>
      <c r="D389" s="57"/>
      <c r="E389" s="58"/>
      <c r="F389" s="58"/>
      <c r="G389" s="33"/>
    </row>
    <row r="390" spans="2:7">
      <c r="B390" s="55"/>
      <c r="C390" s="33"/>
      <c r="D390" s="57"/>
      <c r="E390" s="58"/>
      <c r="F390" s="58"/>
      <c r="G390" s="33"/>
    </row>
    <row r="391" spans="2:7">
      <c r="B391" s="55"/>
      <c r="C391" s="33"/>
      <c r="D391" s="57"/>
      <c r="E391" s="58"/>
      <c r="F391" s="58"/>
      <c r="G391" s="33"/>
    </row>
    <row r="392" spans="2:7">
      <c r="B392" s="55"/>
      <c r="C392" s="33"/>
      <c r="D392" s="57"/>
      <c r="E392" s="58"/>
      <c r="F392" s="58"/>
      <c r="G392" s="33"/>
    </row>
    <row r="393" spans="2:7">
      <c r="B393" s="55"/>
      <c r="C393" s="33"/>
      <c r="D393" s="57"/>
      <c r="E393" s="58"/>
      <c r="F393" s="58"/>
      <c r="G393" s="33"/>
    </row>
    <row r="394" spans="2:7">
      <c r="B394" s="55"/>
      <c r="C394" s="33"/>
      <c r="D394" s="57"/>
      <c r="E394" s="58"/>
      <c r="F394" s="58"/>
      <c r="G394" s="33"/>
    </row>
    <row r="395" spans="2:7">
      <c r="B395" s="55"/>
      <c r="C395" s="33"/>
      <c r="D395" s="57"/>
      <c r="E395" s="58"/>
      <c r="F395" s="58"/>
      <c r="G395" s="33"/>
    </row>
    <row r="396" spans="2:7">
      <c r="B396" s="55"/>
      <c r="C396" s="33"/>
      <c r="D396" s="57"/>
      <c r="E396" s="58"/>
      <c r="F396" s="58"/>
      <c r="G396" s="33"/>
    </row>
    <row r="397" spans="2:7">
      <c r="B397" s="55"/>
      <c r="C397" s="33"/>
      <c r="D397" s="57"/>
      <c r="E397" s="58"/>
      <c r="F397" s="58"/>
      <c r="G397" s="33"/>
    </row>
    <row r="398" spans="2:7">
      <c r="B398" s="55"/>
      <c r="C398" s="33"/>
      <c r="D398" s="57"/>
      <c r="E398" s="58"/>
      <c r="F398" s="58"/>
      <c r="G398" s="33"/>
    </row>
    <row r="399" spans="2:7" ht="15.75" thickBot="1">
      <c r="B399" s="56"/>
      <c r="C399" s="34"/>
      <c r="D399" s="56"/>
      <c r="E399" s="59"/>
      <c r="F399" s="59"/>
      <c r="G399" s="34"/>
    </row>
    <row r="400" spans="2:7" ht="15.75" thickBot="1">
      <c r="B400" s="56">
        <f>SUM(B386:B399)</f>
        <v>10</v>
      </c>
      <c r="C400" s="34" t="s">
        <v>66</v>
      </c>
      <c r="D400" s="56">
        <f>SUM(D386:D399)</f>
        <v>0</v>
      </c>
      <c r="E400" s="56">
        <f>SUM(E386:E399)</f>
        <v>0</v>
      </c>
      <c r="F400" s="56">
        <f>SUM(F386:F399)</f>
        <v>0</v>
      </c>
      <c r="G400" s="34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89" t="str">
        <f>'2018'!A40</f>
        <v>Financieros</v>
      </c>
      <c r="C402" s="290"/>
      <c r="D402" s="290"/>
      <c r="E402" s="290"/>
      <c r="F402" s="290"/>
      <c r="G402" s="291"/>
    </row>
    <row r="403" spans="2:7" ht="15" customHeight="1" thickBot="1">
      <c r="B403" s="292"/>
      <c r="C403" s="293"/>
      <c r="D403" s="293"/>
      <c r="E403" s="293"/>
      <c r="F403" s="293"/>
      <c r="G403" s="294"/>
    </row>
    <row r="404" spans="2:7">
      <c r="B404" s="297" t="s">
        <v>10</v>
      </c>
      <c r="C404" s="296"/>
      <c r="D404" s="295" t="s">
        <v>11</v>
      </c>
      <c r="E404" s="295"/>
      <c r="F404" s="295"/>
      <c r="G404" s="296"/>
    </row>
    <row r="405" spans="2:7">
      <c r="B405" s="52" t="s">
        <v>32</v>
      </c>
      <c r="C405" s="60" t="s">
        <v>33</v>
      </c>
      <c r="D405" s="52" t="s">
        <v>68</v>
      </c>
      <c r="E405" s="53" t="s">
        <v>69</v>
      </c>
      <c r="F405" s="53" t="s">
        <v>32</v>
      </c>
      <c r="G405" s="60" t="s">
        <v>33</v>
      </c>
    </row>
    <row r="406" spans="2:7">
      <c r="B406" s="54"/>
      <c r="C406" s="36"/>
      <c r="D406" s="57"/>
      <c r="E406" s="58"/>
      <c r="F406" s="58"/>
      <c r="G406" s="33"/>
    </row>
    <row r="407" spans="2:7">
      <c r="B407" s="55"/>
      <c r="C407" s="33"/>
      <c r="D407" s="57"/>
      <c r="E407" s="58"/>
      <c r="F407" s="58"/>
      <c r="G407" s="33"/>
    </row>
    <row r="408" spans="2:7">
      <c r="B408" s="55"/>
      <c r="C408" s="33"/>
      <c r="D408" s="57"/>
      <c r="E408" s="58"/>
      <c r="F408" s="58"/>
      <c r="G408" s="33"/>
    </row>
    <row r="409" spans="2:7">
      <c r="B409" s="55"/>
      <c r="C409" s="33"/>
      <c r="D409" s="57"/>
      <c r="E409" s="58"/>
      <c r="F409" s="58"/>
      <c r="G409" s="33"/>
    </row>
    <row r="410" spans="2:7">
      <c r="B410" s="55"/>
      <c r="C410" s="33"/>
      <c r="D410" s="57"/>
      <c r="E410" s="58"/>
      <c r="F410" s="58"/>
      <c r="G410" s="33"/>
    </row>
    <row r="411" spans="2:7">
      <c r="B411" s="55"/>
      <c r="C411" s="33"/>
      <c r="D411" s="57"/>
      <c r="E411" s="58"/>
      <c r="F411" s="58"/>
      <c r="G411" s="33"/>
    </row>
    <row r="412" spans="2:7">
      <c r="B412" s="55"/>
      <c r="C412" s="33"/>
      <c r="D412" s="57"/>
      <c r="E412" s="58"/>
      <c r="F412" s="58"/>
      <c r="G412" s="33"/>
    </row>
    <row r="413" spans="2:7">
      <c r="B413" s="55"/>
      <c r="C413" s="33"/>
      <c r="D413" s="57"/>
      <c r="E413" s="58"/>
      <c r="F413" s="58"/>
      <c r="G413" s="33"/>
    </row>
    <row r="414" spans="2:7">
      <c r="B414" s="55"/>
      <c r="C414" s="33"/>
      <c r="D414" s="57"/>
      <c r="E414" s="58"/>
      <c r="F414" s="58"/>
      <c r="G414" s="33"/>
    </row>
    <row r="415" spans="2:7">
      <c r="B415" s="55"/>
      <c r="C415" s="33"/>
      <c r="D415" s="57"/>
      <c r="E415" s="58"/>
      <c r="F415" s="58"/>
      <c r="G415" s="33"/>
    </row>
    <row r="416" spans="2:7">
      <c r="B416" s="55"/>
      <c r="C416" s="33"/>
      <c r="D416" s="57"/>
      <c r="E416" s="58"/>
      <c r="F416" s="58"/>
      <c r="G416" s="33"/>
    </row>
    <row r="417" spans="2:7">
      <c r="B417" s="55"/>
      <c r="C417" s="33"/>
      <c r="D417" s="57"/>
      <c r="E417" s="58"/>
      <c r="F417" s="58"/>
      <c r="G417" s="33"/>
    </row>
    <row r="418" spans="2:7">
      <c r="B418" s="55"/>
      <c r="C418" s="33"/>
      <c r="D418" s="57"/>
      <c r="E418" s="58"/>
      <c r="F418" s="58"/>
      <c r="G418" s="33"/>
    </row>
    <row r="419" spans="2:7" ht="15.75" thickBot="1">
      <c r="B419" s="56"/>
      <c r="C419" s="34"/>
      <c r="D419" s="56"/>
      <c r="E419" s="59"/>
      <c r="F419" s="59"/>
      <c r="G419" s="34"/>
    </row>
    <row r="420" spans="2:7" ht="15.75" thickBot="1">
      <c r="B420" s="56">
        <f>SUM(B406:B419)</f>
        <v>0</v>
      </c>
      <c r="C420" s="34" t="s">
        <v>66</v>
      </c>
      <c r="D420" s="56">
        <f>SUM(D406:D419)</f>
        <v>0</v>
      </c>
      <c r="E420" s="56">
        <f>SUM(E406:E419)</f>
        <v>0</v>
      </c>
      <c r="F420" s="56">
        <f>SUM(F406:F419)</f>
        <v>0</v>
      </c>
      <c r="G420" s="34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89" t="str">
        <f>'2018'!A41</f>
        <v>Ahorros Colchón</v>
      </c>
      <c r="C422" s="307"/>
      <c r="D422" s="307"/>
      <c r="E422" s="307"/>
      <c r="F422" s="307"/>
      <c r="G422" s="308"/>
    </row>
    <row r="423" spans="2:7" ht="15" customHeight="1" thickBot="1">
      <c r="B423" s="309"/>
      <c r="C423" s="310"/>
      <c r="D423" s="310"/>
      <c r="E423" s="310"/>
      <c r="F423" s="310"/>
      <c r="G423" s="311"/>
    </row>
    <row r="424" spans="2:7">
      <c r="B424" s="297" t="s">
        <v>10</v>
      </c>
      <c r="C424" s="296"/>
      <c r="D424" s="295" t="s">
        <v>11</v>
      </c>
      <c r="E424" s="295"/>
      <c r="F424" s="295"/>
      <c r="G424" s="296"/>
    </row>
    <row r="425" spans="2:7">
      <c r="B425" s="52" t="s">
        <v>32</v>
      </c>
      <c r="C425" s="60" t="s">
        <v>33</v>
      </c>
      <c r="D425" s="52" t="s">
        <v>68</v>
      </c>
      <c r="E425" s="53" t="s">
        <v>69</v>
      </c>
      <c r="F425" s="53" t="s">
        <v>32</v>
      </c>
      <c r="G425" s="60" t="s">
        <v>33</v>
      </c>
    </row>
    <row r="426" spans="2:7">
      <c r="B426" s="54">
        <f>-4001.34+'2018'!W17</f>
        <v>1436.9700000000003</v>
      </c>
      <c r="C426" s="36" t="s">
        <v>457</v>
      </c>
      <c r="D426" s="57"/>
      <c r="E426" s="58"/>
      <c r="F426" s="58"/>
      <c r="G426" s="33"/>
    </row>
    <row r="427" spans="2:7">
      <c r="B427" s="55"/>
      <c r="C427" s="33"/>
      <c r="D427" s="57"/>
      <c r="E427" s="58"/>
      <c r="F427" s="58"/>
      <c r="G427" s="33"/>
    </row>
    <row r="428" spans="2:7">
      <c r="B428" s="55"/>
      <c r="C428" s="33"/>
      <c r="D428" s="57"/>
      <c r="E428" s="58"/>
      <c r="F428" s="58"/>
      <c r="G428" s="33"/>
    </row>
    <row r="429" spans="2:7">
      <c r="B429" s="55"/>
      <c r="C429" s="33"/>
      <c r="D429" s="57"/>
      <c r="E429" s="58"/>
      <c r="F429" s="58"/>
      <c r="G429" s="33"/>
    </row>
    <row r="430" spans="2:7">
      <c r="B430" s="55"/>
      <c r="C430" s="33"/>
      <c r="D430" s="57"/>
      <c r="E430" s="58"/>
      <c r="F430" s="58"/>
      <c r="G430" s="33"/>
    </row>
    <row r="431" spans="2:7">
      <c r="B431" s="55"/>
      <c r="C431" s="33"/>
      <c r="D431" s="57"/>
      <c r="E431" s="58"/>
      <c r="F431" s="58"/>
      <c r="G431" s="33"/>
    </row>
    <row r="432" spans="2:7">
      <c r="B432" s="55"/>
      <c r="C432" s="33"/>
      <c r="D432" s="57"/>
      <c r="E432" s="58"/>
      <c r="F432" s="58"/>
      <c r="G432" s="33"/>
    </row>
    <row r="433" spans="2:7">
      <c r="B433" s="55"/>
      <c r="C433" s="33"/>
      <c r="D433" s="57"/>
      <c r="E433" s="58"/>
      <c r="F433" s="58"/>
      <c r="G433" s="33"/>
    </row>
    <row r="434" spans="2:7">
      <c r="B434" s="55"/>
      <c r="C434" s="33"/>
      <c r="D434" s="57"/>
      <c r="E434" s="58"/>
      <c r="F434" s="58"/>
      <c r="G434" s="33"/>
    </row>
    <row r="435" spans="2:7">
      <c r="B435" s="55"/>
      <c r="C435" s="33"/>
      <c r="D435" s="57"/>
      <c r="E435" s="58"/>
      <c r="F435" s="58"/>
      <c r="G435" s="33"/>
    </row>
    <row r="436" spans="2:7">
      <c r="B436" s="55"/>
      <c r="C436" s="33"/>
      <c r="D436" s="57"/>
      <c r="E436" s="58"/>
      <c r="F436" s="58"/>
      <c r="G436" s="33"/>
    </row>
    <row r="437" spans="2:7">
      <c r="B437" s="55"/>
      <c r="C437" s="33"/>
      <c r="D437" s="57"/>
      <c r="E437" s="58"/>
      <c r="F437" s="58"/>
      <c r="G437" s="33"/>
    </row>
    <row r="438" spans="2:7">
      <c r="B438" s="55"/>
      <c r="C438" s="33"/>
      <c r="D438" s="57"/>
      <c r="E438" s="58"/>
      <c r="F438" s="58"/>
      <c r="G438" s="33"/>
    </row>
    <row r="439" spans="2:7" ht="15.75" thickBot="1">
      <c r="B439" s="56"/>
      <c r="C439" s="34"/>
      <c r="D439" s="56"/>
      <c r="E439" s="59"/>
      <c r="F439" s="59"/>
      <c r="G439" s="34"/>
    </row>
    <row r="440" spans="2:7" ht="15.75" thickBot="1">
      <c r="B440" s="56">
        <f>SUM(B426:B439)</f>
        <v>1436.9700000000003</v>
      </c>
      <c r="C440" s="34" t="s">
        <v>66</v>
      </c>
      <c r="D440" s="56">
        <f>SUM(D426:D439)</f>
        <v>0</v>
      </c>
      <c r="E440" s="56">
        <f>SUM(E426:E439)</f>
        <v>0</v>
      </c>
      <c r="F440" s="56">
        <f>SUM(F426:F439)</f>
        <v>0</v>
      </c>
      <c r="G440" s="34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89" t="str">
        <f>'2018'!A42</f>
        <v>Dinero Bloqueado</v>
      </c>
      <c r="C442" s="307"/>
      <c r="D442" s="307"/>
      <c r="E442" s="307"/>
      <c r="F442" s="307"/>
      <c r="G442" s="308"/>
    </row>
    <row r="443" spans="2:7" ht="15" customHeight="1" thickBot="1">
      <c r="B443" s="309"/>
      <c r="C443" s="310"/>
      <c r="D443" s="310"/>
      <c r="E443" s="310"/>
      <c r="F443" s="310"/>
      <c r="G443" s="311"/>
    </row>
    <row r="444" spans="2:7">
      <c r="B444" s="297" t="s">
        <v>10</v>
      </c>
      <c r="C444" s="296"/>
      <c r="D444" s="295" t="s">
        <v>11</v>
      </c>
      <c r="E444" s="295"/>
      <c r="F444" s="295"/>
      <c r="G444" s="296"/>
    </row>
    <row r="445" spans="2:7">
      <c r="B445" s="52" t="s">
        <v>32</v>
      </c>
      <c r="C445" s="60" t="s">
        <v>33</v>
      </c>
      <c r="D445" s="52" t="s">
        <v>68</v>
      </c>
      <c r="E445" s="53" t="s">
        <v>69</v>
      </c>
      <c r="F445" s="53" t="s">
        <v>32</v>
      </c>
      <c r="G445" s="60" t="s">
        <v>33</v>
      </c>
    </row>
    <row r="446" spans="2:7">
      <c r="B446" s="54"/>
      <c r="C446" s="36"/>
      <c r="D446" s="57"/>
      <c r="E446" s="58"/>
      <c r="F446" s="58"/>
      <c r="G446" s="33"/>
    </row>
    <row r="447" spans="2:7">
      <c r="B447" s="55"/>
      <c r="C447" s="33"/>
      <c r="D447" s="57"/>
      <c r="E447" s="58"/>
      <c r="F447" s="58"/>
      <c r="G447" s="33"/>
    </row>
    <row r="448" spans="2:7">
      <c r="B448" s="55"/>
      <c r="C448" s="33"/>
      <c r="D448" s="57"/>
      <c r="E448" s="58"/>
      <c r="F448" s="58"/>
      <c r="G448" s="33"/>
    </row>
    <row r="449" spans="2:7">
      <c r="B449" s="55"/>
      <c r="C449" s="33"/>
      <c r="D449" s="57"/>
      <c r="E449" s="58"/>
      <c r="F449" s="58"/>
      <c r="G449" s="33"/>
    </row>
    <row r="450" spans="2:7">
      <c r="B450" s="55"/>
      <c r="C450" s="33"/>
      <c r="D450" s="57"/>
      <c r="E450" s="58"/>
      <c r="F450" s="58"/>
      <c r="G450" s="33"/>
    </row>
    <row r="451" spans="2:7">
      <c r="B451" s="55"/>
      <c r="C451" s="33"/>
      <c r="D451" s="57"/>
      <c r="E451" s="58"/>
      <c r="F451" s="58"/>
      <c r="G451" s="33"/>
    </row>
    <row r="452" spans="2:7">
      <c r="B452" s="55"/>
      <c r="C452" s="33"/>
      <c r="D452" s="57"/>
      <c r="E452" s="58"/>
      <c r="F452" s="58"/>
      <c r="G452" s="33"/>
    </row>
    <row r="453" spans="2:7">
      <c r="B453" s="55"/>
      <c r="C453" s="33"/>
      <c r="D453" s="57"/>
      <c r="E453" s="58"/>
      <c r="F453" s="58"/>
      <c r="G453" s="33"/>
    </row>
    <row r="454" spans="2:7">
      <c r="B454" s="55"/>
      <c r="C454" s="33"/>
      <c r="D454" s="57"/>
      <c r="E454" s="58"/>
      <c r="F454" s="58"/>
      <c r="G454" s="33"/>
    </row>
    <row r="455" spans="2:7">
      <c r="B455" s="55"/>
      <c r="C455" s="33"/>
      <c r="D455" s="57"/>
      <c r="E455" s="58"/>
      <c r="F455" s="58"/>
      <c r="G455" s="33"/>
    </row>
    <row r="456" spans="2:7">
      <c r="B456" s="55"/>
      <c r="C456" s="33"/>
      <c r="D456" s="57"/>
      <c r="E456" s="58"/>
      <c r="F456" s="58"/>
      <c r="G456" s="33"/>
    </row>
    <row r="457" spans="2:7">
      <c r="B457" s="55"/>
      <c r="C457" s="33"/>
      <c r="D457" s="57"/>
      <c r="E457" s="58"/>
      <c r="F457" s="58"/>
      <c r="G457" s="33"/>
    </row>
    <row r="458" spans="2:7">
      <c r="B458" s="55"/>
      <c r="C458" s="33"/>
      <c r="D458" s="57"/>
      <c r="E458" s="58"/>
      <c r="F458" s="58"/>
      <c r="G458" s="33"/>
    </row>
    <row r="459" spans="2:7" ht="15.75" thickBot="1">
      <c r="B459" s="56"/>
      <c r="C459" s="34"/>
      <c r="D459" s="56"/>
      <c r="E459" s="59"/>
      <c r="F459" s="59"/>
      <c r="G459" s="34"/>
    </row>
    <row r="460" spans="2:7" ht="15.75" thickBot="1">
      <c r="B460" s="56">
        <f>SUM(B446:B459)</f>
        <v>0</v>
      </c>
      <c r="C460" s="34" t="s">
        <v>66</v>
      </c>
      <c r="D460" s="56">
        <f>SUM(D446:D459)</f>
        <v>0</v>
      </c>
      <c r="E460" s="56">
        <f>SUM(E446:E459)</f>
        <v>0</v>
      </c>
      <c r="F460" s="56">
        <f>SUM(F446:F459)</f>
        <v>0</v>
      </c>
      <c r="G460" s="34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89" t="str">
        <f>'2018'!A43</f>
        <v>Cartama Finanazas</v>
      </c>
      <c r="C462" s="307"/>
      <c r="D462" s="307"/>
      <c r="E462" s="307"/>
      <c r="F462" s="307"/>
      <c r="G462" s="308"/>
    </row>
    <row r="463" spans="2:7" ht="15" customHeight="1" thickBot="1">
      <c r="B463" s="309"/>
      <c r="C463" s="310"/>
      <c r="D463" s="310"/>
      <c r="E463" s="310"/>
      <c r="F463" s="310"/>
      <c r="G463" s="311"/>
    </row>
    <row r="464" spans="2:7">
      <c r="B464" s="297" t="s">
        <v>10</v>
      </c>
      <c r="C464" s="296"/>
      <c r="D464" s="295" t="s">
        <v>11</v>
      </c>
      <c r="E464" s="295"/>
      <c r="F464" s="295"/>
      <c r="G464" s="296"/>
    </row>
    <row r="465" spans="2:7">
      <c r="B465" s="52" t="s">
        <v>32</v>
      </c>
      <c r="C465" s="60" t="s">
        <v>33</v>
      </c>
      <c r="D465" s="52" t="s">
        <v>68</v>
      </c>
      <c r="E465" s="53" t="s">
        <v>69</v>
      </c>
      <c r="F465" s="53" t="s">
        <v>32</v>
      </c>
      <c r="G465" s="60" t="s">
        <v>33</v>
      </c>
    </row>
    <row r="466" spans="2:7">
      <c r="B466" s="54"/>
      <c r="C466" s="36"/>
      <c r="D466" s="57"/>
      <c r="E466" s="58"/>
      <c r="F466" s="58"/>
      <c r="G466" s="33"/>
    </row>
    <row r="467" spans="2:7">
      <c r="B467" s="55"/>
      <c r="C467" s="33"/>
      <c r="D467" s="57"/>
      <c r="E467" s="58"/>
      <c r="F467" s="58"/>
      <c r="G467" s="33"/>
    </row>
    <row r="468" spans="2:7">
      <c r="B468" s="55"/>
      <c r="C468" s="33"/>
      <c r="D468" s="57"/>
      <c r="E468" s="58"/>
      <c r="F468" s="58"/>
      <c r="G468" s="33"/>
    </row>
    <row r="469" spans="2:7">
      <c r="B469" s="55"/>
      <c r="C469" s="33"/>
      <c r="D469" s="57"/>
      <c r="E469" s="58"/>
      <c r="F469" s="58"/>
      <c r="G469" s="33"/>
    </row>
    <row r="470" spans="2:7">
      <c r="B470" s="55"/>
      <c r="C470" s="33"/>
      <c r="D470" s="57"/>
      <c r="E470" s="58"/>
      <c r="F470" s="58"/>
      <c r="G470" s="33"/>
    </row>
    <row r="471" spans="2:7">
      <c r="B471" s="55"/>
      <c r="C471" s="33"/>
      <c r="D471" s="57"/>
      <c r="E471" s="58"/>
      <c r="F471" s="58"/>
      <c r="G471" s="33"/>
    </row>
    <row r="472" spans="2:7">
      <c r="B472" s="55"/>
      <c r="C472" s="33"/>
      <c r="D472" s="57"/>
      <c r="E472" s="58"/>
      <c r="F472" s="58"/>
      <c r="G472" s="33"/>
    </row>
    <row r="473" spans="2:7">
      <c r="B473" s="55"/>
      <c r="C473" s="33"/>
      <c r="D473" s="57"/>
      <c r="E473" s="58"/>
      <c r="F473" s="58"/>
      <c r="G473" s="33"/>
    </row>
    <row r="474" spans="2:7">
      <c r="B474" s="55"/>
      <c r="C474" s="33"/>
      <c r="D474" s="57"/>
      <c r="E474" s="58"/>
      <c r="F474" s="58"/>
      <c r="G474" s="33"/>
    </row>
    <row r="475" spans="2:7">
      <c r="B475" s="55"/>
      <c r="C475" s="33"/>
      <c r="D475" s="57"/>
      <c r="E475" s="58"/>
      <c r="F475" s="58"/>
      <c r="G475" s="33"/>
    </row>
    <row r="476" spans="2:7">
      <c r="B476" s="55"/>
      <c r="C476" s="33"/>
      <c r="D476" s="57"/>
      <c r="E476" s="58"/>
      <c r="F476" s="58"/>
      <c r="G476" s="33"/>
    </row>
    <row r="477" spans="2:7">
      <c r="B477" s="55"/>
      <c r="C477" s="33"/>
      <c r="D477" s="57"/>
      <c r="E477" s="58"/>
      <c r="F477" s="58"/>
      <c r="G477" s="33"/>
    </row>
    <row r="478" spans="2:7">
      <c r="B478" s="55"/>
      <c r="C478" s="33"/>
      <c r="D478" s="57"/>
      <c r="E478" s="58"/>
      <c r="F478" s="58"/>
      <c r="G478" s="33"/>
    </row>
    <row r="479" spans="2:7" ht="15.75" thickBot="1">
      <c r="B479" s="56"/>
      <c r="C479" s="34"/>
      <c r="D479" s="56"/>
      <c r="E479" s="59"/>
      <c r="F479" s="59"/>
      <c r="G479" s="34"/>
    </row>
    <row r="480" spans="2:7" ht="15.75" thickBot="1">
      <c r="B480" s="56">
        <f>SUM(B466:B479)</f>
        <v>0</v>
      </c>
      <c r="C480" s="34" t="s">
        <v>66</v>
      </c>
      <c r="D480" s="56">
        <f>SUM(D466:D479)</f>
        <v>0</v>
      </c>
      <c r="E480" s="56">
        <f>SUM(E466:E479)</f>
        <v>0</v>
      </c>
      <c r="F480" s="56">
        <f>SUM(F466:F479)</f>
        <v>0</v>
      </c>
      <c r="G480" s="34" t="s">
        <v>66</v>
      </c>
    </row>
    <row r="481" spans="2:7" ht="15.75" thickBot="1"/>
    <row r="482" spans="2:7" ht="14.45" customHeight="1">
      <c r="B482" s="289" t="str">
        <f>'2018'!A44</f>
        <v>NULO</v>
      </c>
      <c r="C482" s="307"/>
      <c r="D482" s="307"/>
      <c r="E482" s="307"/>
      <c r="F482" s="307"/>
      <c r="G482" s="308"/>
    </row>
    <row r="483" spans="2:7" ht="15" customHeight="1" thickBot="1">
      <c r="B483" s="309"/>
      <c r="C483" s="310"/>
      <c r="D483" s="310"/>
      <c r="E483" s="310"/>
      <c r="F483" s="310"/>
      <c r="G483" s="311"/>
    </row>
    <row r="484" spans="2:7">
      <c r="B484" s="297" t="s">
        <v>10</v>
      </c>
      <c r="C484" s="296"/>
      <c r="D484" s="295" t="s">
        <v>11</v>
      </c>
      <c r="E484" s="295"/>
      <c r="F484" s="295"/>
      <c r="G484" s="296"/>
    </row>
    <row r="485" spans="2:7">
      <c r="B485" s="52" t="s">
        <v>32</v>
      </c>
      <c r="C485" s="60" t="s">
        <v>33</v>
      </c>
      <c r="D485" s="52" t="s">
        <v>68</v>
      </c>
      <c r="E485" s="53" t="s">
        <v>69</v>
      </c>
      <c r="F485" s="53" t="s">
        <v>32</v>
      </c>
      <c r="G485" s="60" t="s">
        <v>33</v>
      </c>
    </row>
    <row r="486" spans="2:7">
      <c r="B486" s="54"/>
      <c r="C486" s="36"/>
      <c r="D486" s="57"/>
      <c r="E486" s="58"/>
      <c r="F486" s="58"/>
      <c r="G486" s="33"/>
    </row>
    <row r="487" spans="2:7">
      <c r="B487" s="55"/>
      <c r="C487" s="33"/>
      <c r="D487" s="57"/>
      <c r="E487" s="58"/>
      <c r="F487" s="58"/>
      <c r="G487" s="33"/>
    </row>
    <row r="488" spans="2:7">
      <c r="B488" s="55"/>
      <c r="C488" s="33"/>
      <c r="D488" s="57"/>
      <c r="E488" s="58"/>
      <c r="F488" s="58"/>
      <c r="G488" s="33"/>
    </row>
    <row r="489" spans="2:7">
      <c r="B489" s="55"/>
      <c r="C489" s="33"/>
      <c r="D489" s="57"/>
      <c r="E489" s="58"/>
      <c r="F489" s="58"/>
      <c r="G489" s="33"/>
    </row>
    <row r="490" spans="2:7">
      <c r="B490" s="55"/>
      <c r="C490" s="33"/>
      <c r="D490" s="57"/>
      <c r="E490" s="58"/>
      <c r="F490" s="58"/>
      <c r="G490" s="33"/>
    </row>
    <row r="491" spans="2:7">
      <c r="B491" s="55"/>
      <c r="C491" s="33"/>
      <c r="D491" s="57"/>
      <c r="E491" s="58"/>
      <c r="F491" s="58"/>
      <c r="G491" s="33"/>
    </row>
    <row r="492" spans="2:7">
      <c r="B492" s="55"/>
      <c r="C492" s="33"/>
      <c r="D492" s="57"/>
      <c r="E492" s="58"/>
      <c r="F492" s="58"/>
      <c r="G492" s="33"/>
    </row>
    <row r="493" spans="2:7">
      <c r="B493" s="55"/>
      <c r="C493" s="33"/>
      <c r="D493" s="57"/>
      <c r="E493" s="58"/>
      <c r="F493" s="58"/>
      <c r="G493" s="33"/>
    </row>
    <row r="494" spans="2:7">
      <c r="B494" s="55"/>
      <c r="C494" s="33"/>
      <c r="D494" s="57"/>
      <c r="E494" s="58"/>
      <c r="F494" s="58"/>
      <c r="G494" s="33"/>
    </row>
    <row r="495" spans="2:7">
      <c r="B495" s="55"/>
      <c r="C495" s="33"/>
      <c r="D495" s="57"/>
      <c r="E495" s="58"/>
      <c r="F495" s="58"/>
      <c r="G495" s="33"/>
    </row>
    <row r="496" spans="2:7">
      <c r="B496" s="55"/>
      <c r="C496" s="33"/>
      <c r="D496" s="57"/>
      <c r="E496" s="58"/>
      <c r="F496" s="58"/>
      <c r="G496" s="33"/>
    </row>
    <row r="497" spans="2:7">
      <c r="B497" s="55"/>
      <c r="C497" s="33"/>
      <c r="D497" s="57"/>
      <c r="E497" s="58"/>
      <c r="F497" s="58"/>
      <c r="G497" s="33"/>
    </row>
    <row r="498" spans="2:7">
      <c r="B498" s="55"/>
      <c r="C498" s="33"/>
      <c r="D498" s="57"/>
      <c r="E498" s="58"/>
      <c r="F498" s="58"/>
      <c r="G498" s="33"/>
    </row>
    <row r="499" spans="2:7" ht="15.75" thickBot="1">
      <c r="B499" s="56"/>
      <c r="C499" s="34"/>
      <c r="D499" s="56"/>
      <c r="E499" s="59"/>
      <c r="F499" s="59"/>
      <c r="G499" s="34"/>
    </row>
    <row r="500" spans="2:7" ht="15.75" thickBot="1">
      <c r="B500" s="56">
        <f>SUM(B486:B499)</f>
        <v>0</v>
      </c>
      <c r="C500" s="34" t="s">
        <v>66</v>
      </c>
      <c r="D500" s="56">
        <f>SUM(D486:D499)</f>
        <v>0</v>
      </c>
      <c r="E500" s="56">
        <f>SUM(E486:E499)</f>
        <v>0</v>
      </c>
      <c r="F500" s="56">
        <f>SUM(F486:F499)</f>
        <v>0</v>
      </c>
      <c r="G500" s="34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89" t="str">
        <f>'2018'!A45</f>
        <v>OTROS</v>
      </c>
      <c r="C502" s="307"/>
      <c r="D502" s="307"/>
      <c r="E502" s="307"/>
      <c r="F502" s="307"/>
      <c r="G502" s="308"/>
    </row>
    <row r="503" spans="2:7" ht="15" customHeight="1" thickBot="1">
      <c r="B503" s="309"/>
      <c r="C503" s="310"/>
      <c r="D503" s="310"/>
      <c r="E503" s="310"/>
      <c r="F503" s="310"/>
      <c r="G503" s="311"/>
    </row>
    <row r="504" spans="2:7">
      <c r="B504" s="297" t="s">
        <v>10</v>
      </c>
      <c r="C504" s="296"/>
      <c r="D504" s="295" t="s">
        <v>11</v>
      </c>
      <c r="E504" s="295"/>
      <c r="F504" s="295"/>
      <c r="G504" s="296"/>
    </row>
    <row r="505" spans="2:7">
      <c r="B505" s="52" t="s">
        <v>32</v>
      </c>
      <c r="C505" s="60" t="s">
        <v>33</v>
      </c>
      <c r="D505" s="52" t="s">
        <v>68</v>
      </c>
      <c r="E505" s="53" t="s">
        <v>69</v>
      </c>
      <c r="F505" s="53" t="s">
        <v>32</v>
      </c>
      <c r="G505" s="60" t="s">
        <v>33</v>
      </c>
    </row>
    <row r="506" spans="2:7">
      <c r="B506" s="54"/>
      <c r="C506" s="36"/>
      <c r="D506" s="57"/>
      <c r="E506" s="58"/>
      <c r="F506" s="58"/>
      <c r="G506" s="33"/>
    </row>
    <row r="507" spans="2:7">
      <c r="B507" s="55"/>
      <c r="C507" s="33"/>
      <c r="D507" s="57"/>
      <c r="E507" s="58"/>
      <c r="F507" s="58"/>
      <c r="G507" s="33"/>
    </row>
    <row r="508" spans="2:7">
      <c r="B508" s="55"/>
      <c r="C508" s="33"/>
      <c r="D508" s="57"/>
      <c r="E508" s="58"/>
      <c r="F508" s="58"/>
      <c r="G508" s="33"/>
    </row>
    <row r="509" spans="2:7">
      <c r="B509" s="55"/>
      <c r="C509" s="33"/>
      <c r="D509" s="57"/>
      <c r="E509" s="58"/>
      <c r="F509" s="58"/>
      <c r="G509" s="33"/>
    </row>
    <row r="510" spans="2:7">
      <c r="B510" s="55"/>
      <c r="C510" s="33"/>
      <c r="D510" s="57"/>
      <c r="E510" s="58"/>
      <c r="F510" s="58"/>
      <c r="G510" s="33"/>
    </row>
    <row r="511" spans="2:7">
      <c r="B511" s="55"/>
      <c r="C511" s="33"/>
      <c r="D511" s="57"/>
      <c r="E511" s="58"/>
      <c r="F511" s="58"/>
      <c r="G511" s="33"/>
    </row>
    <row r="512" spans="2:7">
      <c r="B512" s="55"/>
      <c r="C512" s="33"/>
      <c r="D512" s="57"/>
      <c r="E512" s="58"/>
      <c r="F512" s="58"/>
      <c r="G512" s="33"/>
    </row>
    <row r="513" spans="2:7">
      <c r="B513" s="55"/>
      <c r="C513" s="33"/>
      <c r="D513" s="57"/>
      <c r="E513" s="58"/>
      <c r="F513" s="58"/>
      <c r="G513" s="33"/>
    </row>
    <row r="514" spans="2:7">
      <c r="B514" s="55"/>
      <c r="C514" s="33"/>
      <c r="D514" s="57"/>
      <c r="E514" s="58"/>
      <c r="F514" s="58"/>
      <c r="G514" s="33"/>
    </row>
    <row r="515" spans="2:7">
      <c r="B515" s="55"/>
      <c r="C515" s="33"/>
      <c r="D515" s="57"/>
      <c r="E515" s="58"/>
      <c r="F515" s="58"/>
      <c r="G515" s="33"/>
    </row>
    <row r="516" spans="2:7">
      <c r="B516" s="55"/>
      <c r="C516" s="33"/>
      <c r="D516" s="57"/>
      <c r="E516" s="58"/>
      <c r="F516" s="58"/>
      <c r="G516" s="33"/>
    </row>
    <row r="517" spans="2:7">
      <c r="B517" s="55"/>
      <c r="C517" s="33"/>
      <c r="D517" s="57"/>
      <c r="E517" s="58"/>
      <c r="F517" s="58"/>
      <c r="G517" s="33"/>
    </row>
    <row r="518" spans="2:7">
      <c r="B518" s="55"/>
      <c r="C518" s="33"/>
      <c r="D518" s="57"/>
      <c r="E518" s="58"/>
      <c r="F518" s="58"/>
      <c r="G518" s="33"/>
    </row>
    <row r="519" spans="2:7" ht="15.75" thickBot="1">
      <c r="B519" s="56"/>
      <c r="C519" s="34"/>
      <c r="D519" s="56"/>
      <c r="E519" s="59"/>
      <c r="F519" s="59"/>
      <c r="G519" s="34"/>
    </row>
    <row r="520" spans="2:7" ht="15.75" thickBot="1">
      <c r="B520" s="56">
        <f>SUM(B506:B519)</f>
        <v>0</v>
      </c>
      <c r="C520" s="34" t="s">
        <v>66</v>
      </c>
      <c r="D520" s="56">
        <f>SUM(D506:D519)</f>
        <v>0</v>
      </c>
      <c r="E520" s="56">
        <f>SUM(E506:E519)</f>
        <v>0</v>
      </c>
      <c r="F520" s="56">
        <f>SUM(F506:F519)</f>
        <v>0</v>
      </c>
      <c r="G520" s="34" t="s">
        <v>66</v>
      </c>
    </row>
  </sheetData>
  <mergeCells count="111"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600-000000000000}"/>
    <hyperlink ref="I2:L3" location="'2018'!W4:Z4" display="SALDO REAL" xr:uid="{00000000-0004-0000-0600-000001000000}"/>
    <hyperlink ref="I22" location="Trimestre!C39:F40" display="TELÉFONO" xr:uid="{00000000-0004-0000-0600-000002000000}"/>
    <hyperlink ref="I22:L23" location="'2018'!W7:Z7" display="INGRESOS" xr:uid="{00000000-0004-0000-0600-000003000000}"/>
    <hyperlink ref="B2" location="Trimestre!C25:F26" display="HIPOTECA" xr:uid="{00000000-0004-0000-0600-000004000000}"/>
    <hyperlink ref="B2:G3" location="'2018'!W20:Z20" display="'2018'!W20:Z20" xr:uid="{00000000-0004-0000-0600-000005000000}"/>
    <hyperlink ref="B22" location="Trimestre!C25:F26" display="HIPOTECA" xr:uid="{00000000-0004-0000-0600-000006000000}"/>
    <hyperlink ref="B22:G23" location="'2018'!W21:Z21" display="'2018'!W21:Z21" xr:uid="{00000000-0004-0000-0600-000007000000}"/>
    <hyperlink ref="B42" location="Trimestre!C25:F26" display="HIPOTECA" xr:uid="{00000000-0004-0000-0600-000008000000}"/>
    <hyperlink ref="B42:G43" location="'2018'!W22:Z22" display="'2018'!W22:Z22" xr:uid="{00000000-0004-0000-0600-000009000000}"/>
    <hyperlink ref="B62" location="Trimestre!C25:F26" display="HIPOTECA" xr:uid="{00000000-0004-0000-0600-00000A000000}"/>
    <hyperlink ref="B62:G63" location="'2018'!W23:Z23" display="'2018'!W23:Z23" xr:uid="{00000000-0004-0000-0600-00000B000000}"/>
    <hyperlink ref="B82" location="Trimestre!C25:F26" display="HIPOTECA" xr:uid="{00000000-0004-0000-0600-00000C000000}"/>
    <hyperlink ref="B82:G83" location="'2018'!W24:Z24" display="'2018'!W24:Z24" xr:uid="{00000000-0004-0000-0600-00000D000000}"/>
    <hyperlink ref="B102" location="Trimestre!C25:F26" display="HIPOTECA" xr:uid="{00000000-0004-0000-0600-00000E000000}"/>
    <hyperlink ref="B102:G103" location="'2018'!W25:Z25" display="'2018'!W25:Z25" xr:uid="{00000000-0004-0000-0600-00000F000000}"/>
    <hyperlink ref="B122" location="Trimestre!C25:F26" display="HIPOTECA" xr:uid="{00000000-0004-0000-0600-000010000000}"/>
    <hyperlink ref="B122:G123" location="'2018'!W26:Z26" display="'2018'!W26:Z26" xr:uid="{00000000-0004-0000-0600-000011000000}"/>
    <hyperlink ref="B142" location="Trimestre!C25:F26" display="HIPOTECA" xr:uid="{00000000-0004-0000-0600-000012000000}"/>
    <hyperlink ref="B142:G143" location="'2018'!W27:Z27" display="'2018'!W27:Z27" xr:uid="{00000000-0004-0000-0600-000013000000}"/>
    <hyperlink ref="B162" location="Trimestre!C25:F26" display="HIPOTECA" xr:uid="{00000000-0004-0000-0600-000014000000}"/>
    <hyperlink ref="B162:G163" location="'2018'!W28:Z28" display="'2018'!W28:Z28" xr:uid="{00000000-0004-0000-0600-000015000000}"/>
    <hyperlink ref="B182" location="Trimestre!C25:F26" display="HIPOTECA" xr:uid="{00000000-0004-0000-0600-000016000000}"/>
    <hyperlink ref="B182:G183" location="'2018'!W29:Z29" display="'2018'!W29:Z29" xr:uid="{00000000-0004-0000-0600-000017000000}"/>
    <hyperlink ref="B202" location="Trimestre!C25:F26" display="HIPOTECA" xr:uid="{00000000-0004-0000-0600-000018000000}"/>
    <hyperlink ref="B202:G203" location="'2018'!W30:Z30" display="'2018'!W30:Z30" xr:uid="{00000000-0004-0000-0600-000019000000}"/>
    <hyperlink ref="B222" location="Trimestre!C25:F26" display="HIPOTECA" xr:uid="{00000000-0004-0000-0600-00001A000000}"/>
    <hyperlink ref="B222:G223" location="'2018'!W31:Z31" display="'2018'!W31:Z31" xr:uid="{00000000-0004-0000-0600-00001B000000}"/>
    <hyperlink ref="B242" location="Trimestre!C25:F26" display="HIPOTECA" xr:uid="{00000000-0004-0000-0600-00001C000000}"/>
    <hyperlink ref="B242:G243" location="'2018'!W32:Z32" display="'2018'!W32:Z32" xr:uid="{00000000-0004-0000-0600-00001D000000}"/>
    <hyperlink ref="B262" location="Trimestre!C25:F26" display="HIPOTECA" xr:uid="{00000000-0004-0000-0600-00001E000000}"/>
    <hyperlink ref="B262:G263" location="'2018'!W33:Z33" display="'2018'!W33:Z33" xr:uid="{00000000-0004-0000-0600-00001F000000}"/>
    <hyperlink ref="B282" location="Trimestre!C25:F26" display="HIPOTECA" xr:uid="{00000000-0004-0000-0600-000020000000}"/>
    <hyperlink ref="B282:G283" location="'2018'!W34:Z34" display="'2018'!W34:Z34" xr:uid="{00000000-0004-0000-0600-000021000000}"/>
    <hyperlink ref="B302" location="Trimestre!C25:F26" display="HIPOTECA" xr:uid="{00000000-0004-0000-0600-000022000000}"/>
    <hyperlink ref="B302:G303" location="'2018'!W35:Z35" display="'2018'!W35:Z35" xr:uid="{00000000-0004-0000-0600-000023000000}"/>
    <hyperlink ref="B322" location="Trimestre!C25:F26" display="HIPOTECA" xr:uid="{00000000-0004-0000-0600-000024000000}"/>
    <hyperlink ref="B322:G323" location="'2018'!W36:Z36" display="'2018'!W36:Z36" xr:uid="{00000000-0004-0000-0600-000025000000}"/>
    <hyperlink ref="B342" location="Trimestre!C25:F26" display="HIPOTECA" xr:uid="{00000000-0004-0000-0600-000026000000}"/>
    <hyperlink ref="B342:G343" location="'2018'!W37:Z37" display="'2018'!W37:Z37" xr:uid="{00000000-0004-0000-0600-000027000000}"/>
    <hyperlink ref="B362" location="Trimestre!C25:F26" display="HIPOTECA" xr:uid="{00000000-0004-0000-0600-000028000000}"/>
    <hyperlink ref="B362:G363" location="'2018'!W38:Z38" display="'2018'!W38:Z38" xr:uid="{00000000-0004-0000-0600-000029000000}"/>
    <hyperlink ref="B382" location="Trimestre!C25:F26" display="HIPOTECA" xr:uid="{00000000-0004-0000-0600-00002A000000}"/>
    <hyperlink ref="B382:G383" location="'2018'!W39:Z39" display="'2018'!W39:Z39" xr:uid="{00000000-0004-0000-0600-00002B000000}"/>
    <hyperlink ref="B402" location="Trimestre!C25:F26" display="HIPOTECA" xr:uid="{00000000-0004-0000-0600-00002C000000}"/>
    <hyperlink ref="B402:G403" location="'2018'!W40:Z40" display="'2018'!W40:Z40" xr:uid="{00000000-0004-0000-0600-00002D000000}"/>
    <hyperlink ref="B422" location="Trimestre!C25:F26" display="HIPOTECA" xr:uid="{00000000-0004-0000-0600-00002E000000}"/>
    <hyperlink ref="B422:G423" location="'2018'!W41:Z41" display="'2018'!W41:Z41" xr:uid="{00000000-0004-0000-0600-00002F000000}"/>
    <hyperlink ref="B442" location="Trimestre!C25:F26" display="HIPOTECA" xr:uid="{00000000-0004-0000-0600-000030000000}"/>
    <hyperlink ref="B442:G443" location="'2018'!W42:Z42" display="'2018'!W42:Z42" xr:uid="{00000000-0004-0000-0600-000031000000}"/>
    <hyperlink ref="B462" location="Trimestre!C25:F26" display="HIPOTECA" xr:uid="{00000000-0004-0000-0600-000032000000}"/>
    <hyperlink ref="B462:G463" location="'2018'!W43:Z43" display="'2018'!W43:Z43" xr:uid="{00000000-0004-0000-0600-000033000000}"/>
    <hyperlink ref="B482" location="Trimestre!C25:F26" display="HIPOTECA" xr:uid="{00000000-0004-0000-0600-000034000000}"/>
    <hyperlink ref="B482:G483" location="'2018'!W44:Z44" display="'2018'!W44:Z44" xr:uid="{00000000-0004-0000-0600-000035000000}"/>
    <hyperlink ref="B502" location="Trimestre!C25:F26" display="HIPOTECA" xr:uid="{00000000-0004-0000-0600-000036000000}"/>
    <hyperlink ref="B502:G503" location="'2018'!W45:Z45" display="'2018'!W45:Z45" xr:uid="{00000000-0004-0000-0600-000037000000}"/>
  </hyperlink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V520"/>
  <sheetViews>
    <sheetView topLeftCell="A157" workbookViewId="0">
      <selection activeCell="B162" sqref="B162:G163"/>
    </sheetView>
  </sheetViews>
  <sheetFormatPr defaultColWidth="11.42578125" defaultRowHeight="15"/>
  <cols>
    <col min="1" max="1" width="11.42578125" style="137"/>
    <col min="2" max="2" width="10" style="137" customWidth="1"/>
    <col min="3" max="3" width="33.28515625" style="137" customWidth="1"/>
    <col min="4" max="6" width="10" style="137" customWidth="1"/>
    <col min="7" max="7" width="33.28515625" style="137" customWidth="1"/>
    <col min="8" max="9" width="11.42578125" style="137"/>
    <col min="10" max="10" width="31.28515625" style="137" customWidth="1"/>
    <col min="11" max="16384" width="11.42578125" style="137"/>
  </cols>
  <sheetData>
    <row r="1" spans="1:22" ht="16.5" thickBot="1">
      <c r="A1" s="1"/>
      <c r="B1" s="1"/>
      <c r="C1" s="1"/>
      <c r="D1" s="1"/>
      <c r="E1" s="1"/>
      <c r="F1" s="1"/>
      <c r="G1" s="1"/>
      <c r="H1" s="30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89" t="str">
        <f>'2018'!A20</f>
        <v>Cártama Gastos</v>
      </c>
      <c r="C2" s="290"/>
      <c r="D2" s="290"/>
      <c r="E2" s="290"/>
      <c r="F2" s="290"/>
      <c r="G2" s="291"/>
      <c r="H2" s="1"/>
      <c r="I2" s="302" t="s">
        <v>4</v>
      </c>
      <c r="J2" s="290"/>
      <c r="K2" s="290"/>
      <c r="L2" s="291"/>
      <c r="M2" s="1"/>
      <c r="N2" s="1"/>
      <c r="R2" s="3"/>
    </row>
    <row r="3" spans="1:22" ht="16.5" thickBot="1">
      <c r="A3" s="1"/>
      <c r="B3" s="292"/>
      <c r="C3" s="293"/>
      <c r="D3" s="293"/>
      <c r="E3" s="293"/>
      <c r="F3" s="293"/>
      <c r="G3" s="294"/>
      <c r="H3" s="1"/>
      <c r="I3" s="292"/>
      <c r="J3" s="293"/>
      <c r="K3" s="293"/>
      <c r="L3" s="294"/>
      <c r="M3" s="1"/>
      <c r="N3" s="1"/>
      <c r="R3" s="3"/>
    </row>
    <row r="4" spans="1:22" ht="15.75">
      <c r="A4" s="1"/>
      <c r="B4" s="297" t="s">
        <v>10</v>
      </c>
      <c r="C4" s="296"/>
      <c r="D4" s="295" t="s">
        <v>11</v>
      </c>
      <c r="E4" s="295"/>
      <c r="F4" s="295"/>
      <c r="G4" s="296"/>
      <c r="H4" s="1"/>
      <c r="I4" s="88" t="s">
        <v>70</v>
      </c>
      <c r="J4" s="156" t="s">
        <v>71</v>
      </c>
      <c r="K4" s="303" t="s">
        <v>72</v>
      </c>
      <c r="L4" s="304"/>
      <c r="M4" s="1"/>
      <c r="N4" s="1"/>
      <c r="R4" s="3"/>
    </row>
    <row r="5" spans="1:22" ht="15.75">
      <c r="A5" s="1" t="s">
        <v>608</v>
      </c>
      <c r="B5" s="52" t="s">
        <v>32</v>
      </c>
      <c r="C5" s="60" t="s">
        <v>33</v>
      </c>
      <c r="D5" s="52" t="s">
        <v>68</v>
      </c>
      <c r="E5" s="53" t="s">
        <v>69</v>
      </c>
      <c r="F5" s="53" t="s">
        <v>32</v>
      </c>
      <c r="G5" s="60" t="s">
        <v>33</v>
      </c>
      <c r="H5" s="1"/>
      <c r="I5" s="157" t="s">
        <v>73</v>
      </c>
      <c r="J5" s="158" t="s">
        <v>74</v>
      </c>
      <c r="K5" s="305">
        <v>2946.37</v>
      </c>
      <c r="L5" s="306"/>
      <c r="M5" s="1" t="s">
        <v>394</v>
      </c>
      <c r="N5" s="1"/>
      <c r="R5" s="3"/>
    </row>
    <row r="6" spans="1:22" ht="15.75">
      <c r="A6" s="163">
        <f>'06'!A6+B6-E6</f>
        <v>4.6200000000000045</v>
      </c>
      <c r="B6" s="54">
        <v>399</v>
      </c>
      <c r="C6" s="36" t="s">
        <v>311</v>
      </c>
      <c r="D6" s="57"/>
      <c r="E6" s="58">
        <v>398.31</v>
      </c>
      <c r="F6" s="58"/>
      <c r="G6" s="33" t="s">
        <v>35</v>
      </c>
      <c r="H6" s="1"/>
      <c r="I6" s="159" t="s">
        <v>73</v>
      </c>
      <c r="J6" s="158" t="s">
        <v>75</v>
      </c>
      <c r="K6" s="298">
        <v>161.54</v>
      </c>
      <c r="L6" s="299"/>
      <c r="M6" s="1"/>
      <c r="N6" s="1"/>
      <c r="R6" s="3"/>
    </row>
    <row r="7" spans="1:22" ht="15.75">
      <c r="A7" s="163">
        <f>'06'!A7+B7-E7</f>
        <v>-269.3</v>
      </c>
      <c r="B7" s="55">
        <v>60</v>
      </c>
      <c r="C7" s="33" t="s">
        <v>325</v>
      </c>
      <c r="D7" s="57"/>
      <c r="E7" s="58"/>
      <c r="F7" s="58"/>
      <c r="G7" s="33" t="s">
        <v>106</v>
      </c>
      <c r="H7" s="82"/>
      <c r="I7" s="159" t="s">
        <v>76</v>
      </c>
      <c r="J7" s="158" t="s">
        <v>77</v>
      </c>
      <c r="K7" s="298">
        <v>7451.76</v>
      </c>
      <c r="L7" s="299"/>
      <c r="M7" s="1"/>
      <c r="N7" s="1"/>
      <c r="R7" s="3"/>
    </row>
    <row r="8" spans="1:22" ht="15.75">
      <c r="A8" s="163">
        <f>'06'!A8+B8-E8</f>
        <v>-119.41000000000001</v>
      </c>
      <c r="B8" s="55">
        <v>82.76</v>
      </c>
      <c r="C8" s="33" t="s">
        <v>38</v>
      </c>
      <c r="D8" s="57"/>
      <c r="F8" s="58"/>
      <c r="G8" s="33" t="s">
        <v>38</v>
      </c>
      <c r="H8" s="1"/>
      <c r="I8" s="159" t="s">
        <v>76</v>
      </c>
      <c r="J8" s="158" t="s">
        <v>78</v>
      </c>
      <c r="K8" s="298">
        <v>6000</v>
      </c>
      <c r="L8" s="299"/>
      <c r="M8" s="1"/>
      <c r="N8" s="1"/>
      <c r="R8" s="3"/>
    </row>
    <row r="9" spans="1:22" ht="15.75">
      <c r="A9" s="163">
        <f>'06'!A9+B9-E9</f>
        <v>0</v>
      </c>
      <c r="B9" s="55">
        <v>0</v>
      </c>
      <c r="C9" s="33" t="s">
        <v>40</v>
      </c>
      <c r="D9" s="57"/>
      <c r="E9" s="58"/>
      <c r="F9" s="58"/>
      <c r="G9" s="33" t="s">
        <v>40</v>
      </c>
      <c r="H9" s="1"/>
      <c r="I9" s="159" t="s">
        <v>76</v>
      </c>
      <c r="J9" s="158" t="s">
        <v>267</v>
      </c>
      <c r="K9" s="298">
        <v>659.77</v>
      </c>
      <c r="L9" s="299"/>
      <c r="M9" s="1"/>
      <c r="N9" s="1"/>
      <c r="R9" s="3"/>
    </row>
    <row r="10" spans="1:22" ht="15.75">
      <c r="A10" s="163">
        <f>'06'!A10+B10-E10</f>
        <v>3</v>
      </c>
      <c r="B10" s="55">
        <v>12</v>
      </c>
      <c r="C10" s="33" t="s">
        <v>39</v>
      </c>
      <c r="D10" s="57"/>
      <c r="E10" s="58">
        <v>12</v>
      </c>
      <c r="F10" s="58"/>
      <c r="G10" s="33" t="s">
        <v>39</v>
      </c>
      <c r="H10" s="1"/>
      <c r="I10" s="159" t="s">
        <v>76</v>
      </c>
      <c r="J10" s="158" t="s">
        <v>115</v>
      </c>
      <c r="K10" s="298">
        <v>1800.04</v>
      </c>
      <c r="L10" s="299"/>
      <c r="M10" s="1" t="s">
        <v>265</v>
      </c>
      <c r="N10" s="1"/>
      <c r="R10" s="3"/>
    </row>
    <row r="11" spans="1:22" ht="15.75">
      <c r="A11" s="163">
        <f>'06'!A11+B11-E11</f>
        <v>5.3300000000000161</v>
      </c>
      <c r="B11" s="55">
        <v>31</v>
      </c>
      <c r="C11" s="33" t="s">
        <v>37</v>
      </c>
      <c r="D11" s="57"/>
      <c r="E11" s="58">
        <v>30.23</v>
      </c>
      <c r="F11" s="58"/>
      <c r="G11" s="33" t="s">
        <v>37</v>
      </c>
      <c r="H11" s="1"/>
      <c r="I11" s="159" t="s">
        <v>93</v>
      </c>
      <c r="J11" s="158" t="s">
        <v>94</v>
      </c>
      <c r="K11" s="298">
        <v>800</v>
      </c>
      <c r="L11" s="299"/>
      <c r="M11" s="1"/>
      <c r="N11" s="1"/>
      <c r="R11" s="3"/>
    </row>
    <row r="12" spans="1:22" ht="15.75">
      <c r="A12" s="163">
        <f>'06'!A12+B12-F12</f>
        <v>-0.18000000000006366</v>
      </c>
      <c r="B12" s="55">
        <f>120+256.54-40</f>
        <v>336.54</v>
      </c>
      <c r="C12" s="33" t="s">
        <v>195</v>
      </c>
      <c r="D12" s="57"/>
      <c r="E12" s="58"/>
      <c r="F12" s="58">
        <v>875</v>
      </c>
      <c r="G12" s="33" t="s">
        <v>462</v>
      </c>
      <c r="H12" s="1"/>
      <c r="I12" s="159" t="s">
        <v>303</v>
      </c>
      <c r="J12" s="158" t="s">
        <v>304</v>
      </c>
      <c r="K12" s="298">
        <v>5092.08</v>
      </c>
      <c r="L12" s="299"/>
      <c r="M12" s="140" t="s">
        <v>455</v>
      </c>
      <c r="N12" s="1"/>
      <c r="R12" s="3"/>
    </row>
    <row r="13" spans="1:22" ht="15.75">
      <c r="A13" s="163">
        <f>'06'!A13+B13-E13</f>
        <v>217.07</v>
      </c>
      <c r="B13" s="55">
        <v>50</v>
      </c>
      <c r="C13" s="33" t="s">
        <v>196</v>
      </c>
      <c r="D13" s="57"/>
      <c r="E13" s="58"/>
      <c r="F13" s="58"/>
      <c r="G13" s="33"/>
      <c r="H13" s="1"/>
      <c r="I13" s="159"/>
      <c r="J13" s="158"/>
      <c r="K13" s="298"/>
      <c r="L13" s="299"/>
      <c r="M13" s="1"/>
      <c r="N13" s="1"/>
      <c r="R13" s="3"/>
    </row>
    <row r="14" spans="1:22" ht="15.75">
      <c r="A14" s="163">
        <f>'06'!A14+B14-E14</f>
        <v>175</v>
      </c>
      <c r="B14" s="55">
        <v>25</v>
      </c>
      <c r="C14" s="33" t="s">
        <v>206</v>
      </c>
      <c r="D14" s="57"/>
      <c r="E14" s="58"/>
      <c r="F14" s="58"/>
      <c r="G14" s="33"/>
      <c r="H14" s="1"/>
      <c r="I14" s="159"/>
      <c r="J14" s="158"/>
      <c r="K14" s="298"/>
      <c r="L14" s="299"/>
      <c r="M14" s="1"/>
      <c r="N14" s="1"/>
      <c r="R14" s="3"/>
    </row>
    <row r="15" spans="1:22" ht="15.75">
      <c r="A15" s="163">
        <f>'06'!A15+B15-E15</f>
        <v>28</v>
      </c>
      <c r="B15" s="55">
        <v>7</v>
      </c>
      <c r="C15" s="33" t="s">
        <v>352</v>
      </c>
      <c r="D15" s="57"/>
      <c r="E15" s="58"/>
      <c r="F15" s="58"/>
      <c r="G15" s="33"/>
      <c r="H15" s="1"/>
      <c r="I15" s="159"/>
      <c r="J15" s="158"/>
      <c r="K15" s="298"/>
      <c r="L15" s="299"/>
      <c r="M15" s="1"/>
      <c r="N15" s="1"/>
      <c r="R15" s="3"/>
    </row>
    <row r="16" spans="1:22" ht="15.75">
      <c r="A16" s="163">
        <f>'06'!A16+B16-F16</f>
        <v>-20</v>
      </c>
      <c r="B16" s="55">
        <f>40</f>
        <v>40</v>
      </c>
      <c r="C16" s="33" t="s">
        <v>463</v>
      </c>
      <c r="D16" s="57"/>
      <c r="E16" s="58"/>
      <c r="F16" s="58">
        <v>60</v>
      </c>
      <c r="G16" s="33" t="s">
        <v>463</v>
      </c>
      <c r="H16" s="1"/>
      <c r="I16" s="159"/>
      <c r="J16" s="158"/>
      <c r="K16" s="298"/>
      <c r="L16" s="299"/>
      <c r="M16" s="1"/>
      <c r="N16" s="1"/>
      <c r="R16" s="3"/>
    </row>
    <row r="17" spans="1:18" ht="15.75">
      <c r="A17" s="1"/>
      <c r="B17" s="55"/>
      <c r="C17" s="33"/>
      <c r="D17" s="57"/>
      <c r="E17" s="58"/>
      <c r="F17" s="58"/>
      <c r="G17" s="33"/>
      <c r="H17" s="1"/>
      <c r="I17" s="159"/>
      <c r="J17" s="158"/>
      <c r="K17" s="298"/>
      <c r="L17" s="299"/>
      <c r="M17" s="1"/>
      <c r="N17" s="1"/>
      <c r="R17" s="3"/>
    </row>
    <row r="18" spans="1:18" ht="16.5" thickBot="1">
      <c r="A18" s="1"/>
      <c r="B18" s="55"/>
      <c r="C18" s="33"/>
      <c r="D18" s="57"/>
      <c r="E18" s="58"/>
      <c r="F18" s="58"/>
      <c r="G18" s="33"/>
      <c r="H18" s="1"/>
      <c r="I18" s="160"/>
      <c r="J18" s="161"/>
      <c r="K18" s="300"/>
      <c r="L18" s="301"/>
      <c r="M18" s="1"/>
      <c r="N18" s="1"/>
      <c r="R18" s="3"/>
    </row>
    <row r="19" spans="1:18" ht="16.5" thickBot="1">
      <c r="A19" s="1"/>
      <c r="B19" s="56"/>
      <c r="C19" s="34"/>
      <c r="D19" s="56"/>
      <c r="E19" s="59"/>
      <c r="F19" s="59"/>
      <c r="G19" s="34"/>
      <c r="H19" s="1"/>
      <c r="I19" s="63" t="s">
        <v>83</v>
      </c>
      <c r="J19" s="37"/>
      <c r="K19" s="300">
        <f>SUM(K5:K18)</f>
        <v>24911.559999999998</v>
      </c>
      <c r="L19" s="301"/>
      <c r="M19" s="1"/>
      <c r="N19" s="1"/>
      <c r="R19" s="3"/>
    </row>
    <row r="20" spans="1:18" ht="16.5" thickBot="1">
      <c r="A20" s="163">
        <f>SUM(A6:A15)</f>
        <v>44.129999999999939</v>
      </c>
      <c r="B20" s="56">
        <f>SUM(B6:B19)</f>
        <v>1043.3</v>
      </c>
      <c r="C20" s="34" t="s">
        <v>66</v>
      </c>
      <c r="D20" s="56">
        <f>SUM(D6:D19)</f>
        <v>0</v>
      </c>
      <c r="E20" s="56">
        <f>SUM(E6:E19)</f>
        <v>440.54</v>
      </c>
      <c r="F20" s="56">
        <f>SUM(F6:F19)</f>
        <v>935</v>
      </c>
      <c r="G20" s="34" t="s">
        <v>66</v>
      </c>
      <c r="H20" s="1"/>
      <c r="I20" s="137" t="s">
        <v>116</v>
      </c>
      <c r="L20" s="140">
        <f>K19-K10-K12</f>
        <v>18019.439999999995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89" t="str">
        <f>'2018'!A21</f>
        <v>Waterloo</v>
      </c>
      <c r="C22" s="290"/>
      <c r="D22" s="290"/>
      <c r="E22" s="290"/>
      <c r="F22" s="290"/>
      <c r="G22" s="291"/>
      <c r="H22" s="1"/>
      <c r="I22" s="302" t="s">
        <v>6</v>
      </c>
      <c r="J22" s="290"/>
      <c r="K22" s="290"/>
      <c r="L22" s="291"/>
      <c r="M22" s="1"/>
      <c r="R22" s="3"/>
    </row>
    <row r="23" spans="1:18" ht="16.149999999999999" customHeight="1" thickBot="1">
      <c r="A23" s="1"/>
      <c r="B23" s="292"/>
      <c r="C23" s="293"/>
      <c r="D23" s="293"/>
      <c r="E23" s="293"/>
      <c r="F23" s="293"/>
      <c r="G23" s="294"/>
      <c r="H23" s="1"/>
      <c r="I23" s="292"/>
      <c r="J23" s="293"/>
      <c r="K23" s="293"/>
      <c r="L23" s="294"/>
      <c r="M23" s="1"/>
      <c r="R23" s="3"/>
    </row>
    <row r="24" spans="1:18" ht="15.75">
      <c r="A24" s="1"/>
      <c r="B24" s="297" t="s">
        <v>10</v>
      </c>
      <c r="C24" s="296"/>
      <c r="D24" s="295" t="s">
        <v>11</v>
      </c>
      <c r="E24" s="295"/>
      <c r="F24" s="295"/>
      <c r="G24" s="296"/>
      <c r="H24" s="1"/>
      <c r="I24" s="88" t="s">
        <v>33</v>
      </c>
      <c r="J24" s="32" t="s">
        <v>133</v>
      </c>
      <c r="K24" s="303" t="s">
        <v>134</v>
      </c>
      <c r="L24" s="304"/>
      <c r="M24" s="1"/>
      <c r="R24" s="3"/>
    </row>
    <row r="25" spans="1:18" ht="15.75">
      <c r="A25" s="1"/>
      <c r="B25" s="52" t="s">
        <v>32</v>
      </c>
      <c r="C25" s="60" t="s">
        <v>33</v>
      </c>
      <c r="D25" s="52" t="s">
        <v>68</v>
      </c>
      <c r="E25" s="53" t="s">
        <v>69</v>
      </c>
      <c r="F25" s="53" t="s">
        <v>32</v>
      </c>
      <c r="G25" s="60" t="s">
        <v>33</v>
      </c>
      <c r="H25" s="1"/>
      <c r="I25" s="150">
        <v>2</v>
      </c>
      <c r="J25" s="3" t="s">
        <v>465</v>
      </c>
      <c r="K25" s="305">
        <v>134.94</v>
      </c>
      <c r="L25" s="306"/>
      <c r="M25" s="1"/>
      <c r="R25" s="3"/>
    </row>
    <row r="26" spans="1:18" ht="15.75">
      <c r="A26" s="1"/>
      <c r="B26" s="54">
        <v>900</v>
      </c>
      <c r="C26" s="66" t="s">
        <v>42</v>
      </c>
      <c r="D26" s="57">
        <v>900</v>
      </c>
      <c r="E26" s="58"/>
      <c r="F26" s="58"/>
      <c r="G26" s="33" t="s">
        <v>42</v>
      </c>
      <c r="H26" s="1"/>
      <c r="I26" s="151">
        <v>2</v>
      </c>
      <c r="J26" s="35" t="s">
        <v>473</v>
      </c>
      <c r="K26" s="298">
        <v>83.04</v>
      </c>
      <c r="L26" s="299"/>
      <c r="M26" s="1"/>
      <c r="R26" s="3"/>
    </row>
    <row r="27" spans="1:18" ht="15.75">
      <c r="A27" s="1"/>
      <c r="B27" s="55">
        <v>170</v>
      </c>
      <c r="C27" s="66" t="s">
        <v>44</v>
      </c>
      <c r="D27" s="57">
        <v>104.38</v>
      </c>
      <c r="E27" s="58"/>
      <c r="F27" s="58"/>
      <c r="G27" s="33" t="s">
        <v>44</v>
      </c>
      <c r="H27" s="1"/>
      <c r="I27" s="151">
        <v>2</v>
      </c>
      <c r="J27" s="35" t="s">
        <v>276</v>
      </c>
      <c r="K27" s="298">
        <v>786.42</v>
      </c>
      <c r="L27" s="299"/>
      <c r="M27" s="1"/>
      <c r="R27" s="3"/>
    </row>
    <row r="28" spans="1:18" ht="15.75">
      <c r="A28" s="1"/>
      <c r="B28" s="55">
        <v>40</v>
      </c>
      <c r="C28" s="66" t="s">
        <v>45</v>
      </c>
      <c r="D28" s="57"/>
      <c r="E28" s="58"/>
      <c r="F28" s="58"/>
      <c r="G28" s="33" t="s">
        <v>45</v>
      </c>
      <c r="H28" s="1"/>
      <c r="I28" s="151">
        <v>9</v>
      </c>
      <c r="J28" s="35" t="s">
        <v>511</v>
      </c>
      <c r="K28" s="298">
        <v>26.77</v>
      </c>
      <c r="L28" s="299"/>
      <c r="M28" s="1"/>
      <c r="R28" s="3"/>
    </row>
    <row r="29" spans="1:18" ht="15.75">
      <c r="A29" s="1"/>
      <c r="B29" s="55">
        <v>18</v>
      </c>
      <c r="C29" s="66" t="s">
        <v>41</v>
      </c>
      <c r="D29" s="57">
        <v>17.46</v>
      </c>
      <c r="E29" s="58"/>
      <c r="F29" s="58"/>
      <c r="G29" s="33" t="s">
        <v>41</v>
      </c>
      <c r="H29" s="1"/>
      <c r="I29" s="151">
        <v>4</v>
      </c>
      <c r="J29" s="35" t="s">
        <v>515</v>
      </c>
      <c r="K29" s="298">
        <v>0.02</v>
      </c>
      <c r="L29" s="299"/>
      <c r="M29" s="1"/>
      <c r="R29" s="3"/>
    </row>
    <row r="30" spans="1:18" ht="15.75">
      <c r="A30" s="1"/>
      <c r="B30" s="55"/>
      <c r="C30" s="66"/>
      <c r="D30" s="57"/>
      <c r="E30" s="58"/>
      <c r="F30" s="58"/>
      <c r="G30" s="33"/>
      <c r="H30" s="1"/>
      <c r="I30" s="151"/>
      <c r="J30" s="35"/>
      <c r="K30" s="298"/>
      <c r="L30" s="299"/>
      <c r="M30" s="1"/>
      <c r="R30" s="3"/>
    </row>
    <row r="31" spans="1:18" ht="15.75">
      <c r="A31" s="1"/>
      <c r="B31" s="55"/>
      <c r="C31" s="33"/>
      <c r="D31" s="57"/>
      <c r="E31" s="58"/>
      <c r="F31" s="58"/>
      <c r="G31" s="33"/>
      <c r="H31" s="1"/>
      <c r="I31" s="151"/>
      <c r="J31" s="35"/>
      <c r="K31" s="298"/>
      <c r="L31" s="299"/>
      <c r="M31" s="1"/>
      <c r="R31" s="3"/>
    </row>
    <row r="32" spans="1:18" ht="15.75">
      <c r="A32" s="1"/>
      <c r="B32" s="55"/>
      <c r="C32" s="33"/>
      <c r="D32" s="57"/>
      <c r="E32" s="58"/>
      <c r="F32" s="58"/>
      <c r="G32" s="33"/>
      <c r="H32" s="1"/>
      <c r="I32" s="151"/>
      <c r="J32" s="35"/>
      <c r="K32" s="298"/>
      <c r="L32" s="299"/>
      <c r="M32" s="1"/>
      <c r="R32" s="3"/>
    </row>
    <row r="33" spans="1:18" ht="15.75">
      <c r="A33" s="1"/>
      <c r="B33" s="55"/>
      <c r="C33" s="33"/>
      <c r="D33" s="57"/>
      <c r="E33" s="58"/>
      <c r="F33" s="58"/>
      <c r="G33" s="33"/>
      <c r="H33" s="1"/>
      <c r="I33" s="151"/>
      <c r="J33" s="35"/>
      <c r="K33" s="298"/>
      <c r="L33" s="299"/>
      <c r="M33" s="1"/>
      <c r="R33" s="3"/>
    </row>
    <row r="34" spans="1:18" ht="15.75">
      <c r="A34" s="1"/>
      <c r="B34" s="55"/>
      <c r="C34" s="33"/>
      <c r="D34" s="57"/>
      <c r="E34" s="58"/>
      <c r="F34" s="58"/>
      <c r="G34" s="33"/>
      <c r="H34" s="1"/>
      <c r="I34" s="151"/>
      <c r="J34" s="35"/>
      <c r="K34" s="298"/>
      <c r="L34" s="299"/>
      <c r="M34" s="1"/>
      <c r="R34" s="3"/>
    </row>
    <row r="35" spans="1:18" ht="15.75">
      <c r="A35" s="1"/>
      <c r="B35" s="55"/>
      <c r="C35" s="33"/>
      <c r="D35" s="57"/>
      <c r="E35" s="58"/>
      <c r="F35" s="58"/>
      <c r="G35" s="33"/>
      <c r="H35" s="1"/>
      <c r="I35" s="151"/>
      <c r="J35" s="35"/>
      <c r="K35" s="298"/>
      <c r="L35" s="299"/>
      <c r="M35" s="1"/>
      <c r="R35" s="3"/>
    </row>
    <row r="36" spans="1:18" ht="15.75">
      <c r="A36" s="1"/>
      <c r="B36" s="55"/>
      <c r="C36" s="33"/>
      <c r="D36" s="57"/>
      <c r="E36" s="58"/>
      <c r="F36" s="58"/>
      <c r="G36" s="33"/>
      <c r="H36" s="1"/>
      <c r="I36" s="151"/>
      <c r="J36" s="35"/>
      <c r="K36" s="298"/>
      <c r="L36" s="299"/>
      <c r="M36" s="1"/>
      <c r="R36" s="3"/>
    </row>
    <row r="37" spans="1:18" ht="15.75">
      <c r="A37" s="1"/>
      <c r="B37" s="55"/>
      <c r="C37" s="33"/>
      <c r="D37" s="57"/>
      <c r="E37" s="58"/>
      <c r="F37" s="58"/>
      <c r="G37" s="33"/>
      <c r="H37" s="1"/>
      <c r="I37" s="151"/>
      <c r="J37" s="35"/>
      <c r="K37" s="298"/>
      <c r="L37" s="299"/>
      <c r="M37" s="1"/>
      <c r="R37" s="3"/>
    </row>
    <row r="38" spans="1:18" ht="16.5" thickBot="1">
      <c r="A38" s="1"/>
      <c r="B38" s="55"/>
      <c r="C38" s="33"/>
      <c r="D38" s="57"/>
      <c r="E38" s="58"/>
      <c r="F38" s="58"/>
      <c r="G38" s="33"/>
      <c r="H38" s="1"/>
      <c r="I38" s="152"/>
      <c r="J38" s="37"/>
      <c r="K38" s="300"/>
      <c r="L38" s="301"/>
      <c r="M38" s="1"/>
      <c r="R38" s="3"/>
    </row>
    <row r="39" spans="1:18" ht="16.5" thickBot="1">
      <c r="A39" s="1"/>
      <c r="B39" s="56"/>
      <c r="C39" s="34"/>
      <c r="D39" s="56"/>
      <c r="E39" s="59"/>
      <c r="F39" s="59"/>
      <c r="G39" s="34"/>
      <c r="H39" s="1"/>
      <c r="M39" s="1"/>
      <c r="R39" s="3"/>
    </row>
    <row r="40" spans="1:18" ht="16.5" thickBot="1">
      <c r="A40" s="1"/>
      <c r="B40" s="56">
        <f>SUM(B26:B39)</f>
        <v>1128</v>
      </c>
      <c r="C40" s="34" t="s">
        <v>66</v>
      </c>
      <c r="D40" s="56">
        <f>SUM(D26:D39)</f>
        <v>1021.84</v>
      </c>
      <c r="E40" s="56">
        <f>SUM(E26:E39)</f>
        <v>0</v>
      </c>
      <c r="F40" s="56">
        <f>SUM(F26:F39)</f>
        <v>0</v>
      </c>
      <c r="G40" s="34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89" t="str">
        <f>'2018'!A22</f>
        <v>Comida+Limpieza</v>
      </c>
      <c r="C42" s="290"/>
      <c r="D42" s="290"/>
      <c r="E42" s="290"/>
      <c r="F42" s="290"/>
      <c r="G42" s="291"/>
      <c r="H42" s="1"/>
      <c r="M42" s="1"/>
      <c r="R42" s="3"/>
    </row>
    <row r="43" spans="1:18" ht="16.149999999999999" customHeight="1" thickBot="1">
      <c r="A43" s="1"/>
      <c r="B43" s="292"/>
      <c r="C43" s="293"/>
      <c r="D43" s="293"/>
      <c r="E43" s="293"/>
      <c r="F43" s="293"/>
      <c r="G43" s="294"/>
      <c r="H43" s="1"/>
      <c r="M43" s="1"/>
      <c r="R43" s="3"/>
    </row>
    <row r="44" spans="1:18" ht="15.75">
      <c r="A44" s="1"/>
      <c r="B44" s="297" t="s">
        <v>10</v>
      </c>
      <c r="C44" s="296"/>
      <c r="D44" s="295" t="s">
        <v>11</v>
      </c>
      <c r="E44" s="295"/>
      <c r="F44" s="295"/>
      <c r="G44" s="296"/>
      <c r="H44" s="1"/>
      <c r="M44" s="1"/>
      <c r="R44" s="3"/>
    </row>
    <row r="45" spans="1:18" ht="15.75">
      <c r="A45" s="1"/>
      <c r="B45" s="52" t="s">
        <v>32</v>
      </c>
      <c r="C45" s="60" t="s">
        <v>33</v>
      </c>
      <c r="D45" s="52" t="s">
        <v>68</v>
      </c>
      <c r="E45" s="53" t="s">
        <v>69</v>
      </c>
      <c r="F45" s="53" t="s">
        <v>32</v>
      </c>
      <c r="G45" s="60" t="s">
        <v>393</v>
      </c>
      <c r="H45" s="1"/>
      <c r="M45" s="1"/>
      <c r="R45" s="3"/>
    </row>
    <row r="46" spans="1:18" ht="15.75">
      <c r="A46" s="1"/>
      <c r="B46" s="54">
        <v>502</v>
      </c>
      <c r="C46" s="36"/>
      <c r="D46" s="57">
        <f>56.85+3.97+19.6</f>
        <v>80.42</v>
      </c>
      <c r="E46" s="58"/>
      <c r="F46" s="58"/>
      <c r="G46" s="69" t="s">
        <v>468</v>
      </c>
      <c r="H46" s="1"/>
      <c r="M46" s="1"/>
      <c r="R46" s="3"/>
    </row>
    <row r="47" spans="1:18" ht="15.75">
      <c r="A47" s="1"/>
      <c r="B47" s="55">
        <v>28</v>
      </c>
      <c r="C47" s="33" t="s">
        <v>110</v>
      </c>
      <c r="D47" s="57">
        <f>86.61+69.18</f>
        <v>155.79000000000002</v>
      </c>
      <c r="E47" s="58"/>
      <c r="F47" s="58"/>
      <c r="G47" s="33" t="s">
        <v>469</v>
      </c>
      <c r="H47" s="1"/>
      <c r="M47" s="1"/>
      <c r="R47" s="3"/>
    </row>
    <row r="48" spans="1:18" ht="15.75">
      <c r="A48" s="1"/>
      <c r="B48" s="55"/>
      <c r="C48" s="33"/>
      <c r="D48" s="57">
        <f>10.03</f>
        <v>10.029999999999999</v>
      </c>
      <c r="E48" s="58"/>
      <c r="F48" s="58"/>
      <c r="G48" s="33" t="s">
        <v>461</v>
      </c>
      <c r="H48" s="1"/>
      <c r="M48" s="1"/>
      <c r="R48" s="3"/>
    </row>
    <row r="49" spans="1:18" ht="15.75">
      <c r="A49" s="1"/>
      <c r="B49" s="55"/>
      <c r="C49" s="33"/>
      <c r="D49" s="57">
        <v>35.24</v>
      </c>
      <c r="E49" s="58"/>
      <c r="F49" s="58"/>
      <c r="G49" s="33" t="s">
        <v>477</v>
      </c>
      <c r="H49" s="1"/>
      <c r="M49" s="1"/>
      <c r="R49" s="3"/>
    </row>
    <row r="50" spans="1:18" ht="15.75">
      <c r="A50" s="1"/>
      <c r="B50" s="55"/>
      <c r="C50" s="33"/>
      <c r="D50" s="57">
        <v>11.59</v>
      </c>
      <c r="E50" s="58"/>
      <c r="F50" s="58"/>
      <c r="G50" s="33" t="s">
        <v>480</v>
      </c>
      <c r="H50" s="1"/>
      <c r="M50" s="1"/>
      <c r="R50" s="3"/>
    </row>
    <row r="51" spans="1:18" ht="15.75">
      <c r="A51" s="1"/>
      <c r="B51" s="55"/>
      <c r="C51" s="33"/>
      <c r="D51" s="57">
        <f>1.55</f>
        <v>1.55</v>
      </c>
      <c r="E51" s="58"/>
      <c r="F51" s="58"/>
      <c r="G51" s="33" t="s">
        <v>497</v>
      </c>
      <c r="H51" s="1"/>
      <c r="M51" s="1"/>
      <c r="R51" s="3"/>
    </row>
    <row r="52" spans="1:18" ht="15.75">
      <c r="A52" s="1"/>
      <c r="B52" s="55"/>
      <c r="C52" s="33"/>
      <c r="D52" s="57">
        <v>51.03</v>
      </c>
      <c r="E52" s="58"/>
      <c r="F52" s="58"/>
      <c r="G52" s="33" t="s">
        <v>500</v>
      </c>
      <c r="H52" s="1"/>
      <c r="M52" s="1"/>
      <c r="R52" s="3"/>
    </row>
    <row r="53" spans="1:18" ht="15.75">
      <c r="A53" s="1"/>
      <c r="B53" s="55"/>
      <c r="C53" s="33"/>
      <c r="D53" s="57">
        <v>43.57</v>
      </c>
      <c r="E53" s="58"/>
      <c r="F53" s="58"/>
      <c r="G53" s="33" t="s">
        <v>510</v>
      </c>
      <c r="H53" s="1"/>
      <c r="M53" s="1"/>
      <c r="R53" s="3"/>
    </row>
    <row r="54" spans="1:18" ht="15.75">
      <c r="A54" s="1"/>
      <c r="B54" s="55"/>
      <c r="C54" s="33"/>
      <c r="D54" s="57"/>
      <c r="E54" s="58"/>
      <c r="F54" s="58"/>
      <c r="G54" s="33"/>
      <c r="H54" s="1"/>
      <c r="M54" s="1"/>
      <c r="R54" s="3"/>
    </row>
    <row r="55" spans="1:18" ht="15.75">
      <c r="A55" s="1"/>
      <c r="B55" s="55"/>
      <c r="C55" s="33"/>
      <c r="D55" s="57"/>
      <c r="E55" s="58"/>
      <c r="F55" s="58"/>
      <c r="G55" s="33"/>
      <c r="H55" s="1"/>
      <c r="M55" s="1"/>
      <c r="R55" s="3"/>
    </row>
    <row r="56" spans="1:18" ht="15.75">
      <c r="A56" s="1"/>
      <c r="B56" s="55"/>
      <c r="C56" s="33"/>
      <c r="D56" s="57"/>
      <c r="E56" s="58"/>
      <c r="F56" s="58"/>
      <c r="G56" s="33"/>
      <c r="H56" s="1"/>
      <c r="M56" s="1"/>
      <c r="R56" s="3"/>
    </row>
    <row r="57" spans="1:18" ht="15.75">
      <c r="A57" s="1"/>
      <c r="B57" s="55"/>
      <c r="C57" s="33"/>
      <c r="D57" s="57"/>
      <c r="E57" s="58"/>
      <c r="F57" s="58"/>
      <c r="G57" s="33"/>
      <c r="H57" s="1"/>
      <c r="M57" s="1"/>
      <c r="R57" s="3"/>
    </row>
    <row r="58" spans="1:18" ht="15.75">
      <c r="A58" s="1"/>
      <c r="B58" s="55"/>
      <c r="C58" s="33"/>
      <c r="D58" s="57"/>
      <c r="E58" s="58"/>
      <c r="F58" s="58"/>
      <c r="G58" s="33"/>
      <c r="H58" s="1"/>
      <c r="M58" s="1"/>
      <c r="R58" s="3"/>
    </row>
    <row r="59" spans="1:18" ht="16.5" thickBot="1">
      <c r="A59" s="1"/>
      <c r="B59" s="56"/>
      <c r="C59" s="34"/>
      <c r="D59" s="56"/>
      <c r="E59" s="59"/>
      <c r="F59" s="59"/>
      <c r="G59" s="34"/>
      <c r="H59" s="1"/>
      <c r="M59" s="1"/>
      <c r="R59" s="3"/>
    </row>
    <row r="60" spans="1:18" ht="16.5" thickBot="1">
      <c r="A60" s="1"/>
      <c r="B60" s="56">
        <f>SUM(B46:B59)</f>
        <v>530</v>
      </c>
      <c r="C60" s="34" t="s">
        <v>66</v>
      </c>
      <c r="D60" s="56">
        <f>SUM(D46:D59)</f>
        <v>389.21999999999997</v>
      </c>
      <c r="E60" s="56">
        <f>SUM(E46:E59)</f>
        <v>0</v>
      </c>
      <c r="F60" s="56">
        <f>SUM(F46:F59)</f>
        <v>0</v>
      </c>
      <c r="G60" s="34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89" t="str">
        <f>'2018'!A23</f>
        <v>Ocio</v>
      </c>
      <c r="C62" s="290"/>
      <c r="D62" s="290"/>
      <c r="E62" s="290"/>
      <c r="F62" s="290"/>
      <c r="G62" s="291"/>
      <c r="H62" s="1"/>
      <c r="M62" s="1"/>
      <c r="R62" s="3"/>
    </row>
    <row r="63" spans="1:18" ht="16.149999999999999" customHeight="1" thickBot="1">
      <c r="A63" s="1"/>
      <c r="B63" s="292"/>
      <c r="C63" s="293"/>
      <c r="D63" s="293"/>
      <c r="E63" s="293"/>
      <c r="F63" s="293"/>
      <c r="G63" s="294"/>
      <c r="H63" s="1"/>
      <c r="M63" s="1"/>
      <c r="R63" s="3"/>
    </row>
    <row r="64" spans="1:18" ht="15.75">
      <c r="A64" s="1"/>
      <c r="B64" s="297" t="s">
        <v>10</v>
      </c>
      <c r="C64" s="296"/>
      <c r="D64" s="295" t="s">
        <v>11</v>
      </c>
      <c r="E64" s="295"/>
      <c r="F64" s="295"/>
      <c r="G64" s="296"/>
      <c r="H64" s="1"/>
      <c r="M64" s="1"/>
      <c r="R64" s="3"/>
    </row>
    <row r="65" spans="1:18" ht="15.75">
      <c r="A65" s="1"/>
      <c r="B65" s="52" t="s">
        <v>32</v>
      </c>
      <c r="C65" s="60" t="s">
        <v>33</v>
      </c>
      <c r="D65" s="52" t="s">
        <v>68</v>
      </c>
      <c r="E65" s="53" t="s">
        <v>69</v>
      </c>
      <c r="F65" s="53" t="s">
        <v>32</v>
      </c>
      <c r="G65" s="60" t="s">
        <v>393</v>
      </c>
      <c r="H65" s="1"/>
      <c r="M65" s="1"/>
      <c r="R65" s="3"/>
    </row>
    <row r="66" spans="1:18" ht="15.75">
      <c r="A66" s="1"/>
      <c r="B66" s="54">
        <v>150</v>
      </c>
      <c r="C66" s="36" t="s">
        <v>36</v>
      </c>
      <c r="D66" s="57"/>
      <c r="E66" s="58"/>
      <c r="F66" s="58">
        <v>10</v>
      </c>
      <c r="G66" s="36" t="s">
        <v>458</v>
      </c>
      <c r="H66" s="1"/>
      <c r="M66" s="1"/>
      <c r="R66" s="3"/>
    </row>
    <row r="67" spans="1:18" ht="15.75">
      <c r="A67" s="1"/>
      <c r="B67" s="55">
        <v>71</v>
      </c>
      <c r="C67" s="33" t="s">
        <v>445</v>
      </c>
      <c r="D67" s="57">
        <f>25.75</f>
        <v>25.75</v>
      </c>
      <c r="E67" s="58"/>
      <c r="F67" s="58">
        <v>1</v>
      </c>
      <c r="G67" s="70" t="s">
        <v>459</v>
      </c>
      <c r="H67" s="1"/>
      <c r="M67" s="1"/>
      <c r="R67" s="3"/>
    </row>
    <row r="68" spans="1:18" ht="15.75">
      <c r="A68" s="1"/>
      <c r="B68" s="55"/>
      <c r="C68" s="33"/>
      <c r="D68" s="57">
        <f>15.3+43</f>
        <v>58.3</v>
      </c>
      <c r="E68" s="58"/>
      <c r="F68" s="58">
        <f>18+30</f>
        <v>48</v>
      </c>
      <c r="G68" s="33" t="s">
        <v>470</v>
      </c>
      <c r="H68" s="1">
        <v>106.3</v>
      </c>
      <c r="I68" s="137" t="s">
        <v>308</v>
      </c>
      <c r="M68" s="1"/>
      <c r="R68" s="3"/>
    </row>
    <row r="69" spans="1:18" ht="15.75">
      <c r="A69" s="1"/>
      <c r="B69" s="55"/>
      <c r="C69" s="33"/>
      <c r="D69" s="57"/>
      <c r="E69" s="58"/>
      <c r="F69" s="58">
        <v>13.9</v>
      </c>
      <c r="G69" s="33" t="s">
        <v>479</v>
      </c>
      <c r="H69" s="1"/>
      <c r="M69" s="1"/>
      <c r="R69" s="3"/>
    </row>
    <row r="70" spans="1:18" ht="15.75">
      <c r="A70" s="1"/>
      <c r="B70" s="55"/>
      <c r="C70" s="33"/>
      <c r="D70" s="57"/>
      <c r="E70" s="58"/>
      <c r="F70" s="58">
        <f>6.5+5+2+4.5</f>
        <v>18</v>
      </c>
      <c r="G70" s="33" t="s">
        <v>483</v>
      </c>
      <c r="H70" s="1"/>
      <c r="M70" s="1"/>
      <c r="R70" s="3"/>
    </row>
    <row r="71" spans="1:18" ht="15.75">
      <c r="A71" s="1"/>
      <c r="B71" s="55"/>
      <c r="C71" s="33"/>
      <c r="D71" s="57">
        <v>30.95</v>
      </c>
      <c r="E71" s="58"/>
      <c r="F71" s="58"/>
      <c r="G71" s="33" t="s">
        <v>428</v>
      </c>
      <c r="H71" s="1"/>
      <c r="M71" s="1"/>
      <c r="R71" s="3"/>
    </row>
    <row r="72" spans="1:18" ht="15.75">
      <c r="A72" s="1"/>
      <c r="B72" s="55"/>
      <c r="C72" s="33"/>
      <c r="D72" s="57"/>
      <c r="E72" s="58"/>
      <c r="F72" s="58"/>
      <c r="G72" s="33"/>
      <c r="H72" s="1"/>
      <c r="M72" s="1"/>
      <c r="R72" s="3"/>
    </row>
    <row r="73" spans="1:18" ht="15.75">
      <c r="A73" s="1"/>
      <c r="B73" s="55"/>
      <c r="C73" s="33"/>
      <c r="D73" s="57"/>
      <c r="E73" s="58"/>
      <c r="F73" s="58"/>
      <c r="G73" s="33"/>
      <c r="H73" s="1"/>
      <c r="M73" s="1"/>
      <c r="R73" s="3"/>
    </row>
    <row r="74" spans="1:18" ht="15.75">
      <c r="A74" s="1"/>
      <c r="B74" s="55"/>
      <c r="C74" s="33"/>
      <c r="D74" s="57"/>
      <c r="E74" s="58"/>
      <c r="F74" s="58"/>
      <c r="G74" s="33"/>
      <c r="H74" s="1"/>
      <c r="M74" s="1"/>
      <c r="R74" s="3"/>
    </row>
    <row r="75" spans="1:18" ht="15.75">
      <c r="A75" s="1"/>
      <c r="B75" s="55"/>
      <c r="C75" s="33"/>
      <c r="D75" s="57"/>
      <c r="E75" s="58"/>
      <c r="F75" s="58"/>
      <c r="G75" s="33"/>
      <c r="H75" s="1"/>
      <c r="M75" s="1"/>
      <c r="R75" s="3"/>
    </row>
    <row r="76" spans="1:18" ht="15.75">
      <c r="A76" s="1"/>
      <c r="B76" s="55"/>
      <c r="C76" s="33"/>
      <c r="D76" s="57"/>
      <c r="E76" s="58"/>
      <c r="F76" s="58"/>
      <c r="G76" s="33"/>
      <c r="H76" s="1"/>
      <c r="M76" s="1"/>
      <c r="R76" s="3"/>
    </row>
    <row r="77" spans="1:18" ht="15.75">
      <c r="A77" s="1"/>
      <c r="B77" s="55"/>
      <c r="C77" s="33"/>
      <c r="D77" s="57"/>
      <c r="E77" s="58"/>
      <c r="F77" s="58"/>
      <c r="G77" s="33"/>
      <c r="H77" s="1"/>
      <c r="M77" s="1"/>
      <c r="R77" s="3"/>
    </row>
    <row r="78" spans="1:18" ht="15.75">
      <c r="A78" s="1"/>
      <c r="B78" s="55"/>
      <c r="C78" s="33"/>
      <c r="D78" s="57"/>
      <c r="E78" s="58"/>
      <c r="F78" s="58"/>
      <c r="G78" s="33"/>
      <c r="H78" s="1"/>
      <c r="M78" s="1"/>
      <c r="R78" s="3"/>
    </row>
    <row r="79" spans="1:18" ht="16.5" thickBot="1">
      <c r="A79" s="1"/>
      <c r="B79" s="56"/>
      <c r="C79" s="34"/>
      <c r="D79" s="56"/>
      <c r="E79" s="59"/>
      <c r="F79" s="59"/>
      <c r="G79" s="34"/>
      <c r="H79" s="1"/>
      <c r="M79" s="1"/>
      <c r="R79" s="3"/>
    </row>
    <row r="80" spans="1:18" ht="16.5" thickBot="1">
      <c r="A80" s="1"/>
      <c r="B80" s="56">
        <f>SUM(B66:B79)</f>
        <v>221</v>
      </c>
      <c r="C80" s="34" t="s">
        <v>66</v>
      </c>
      <c r="D80" s="56">
        <f>SUM(D66:D79)</f>
        <v>115</v>
      </c>
      <c r="E80" s="56">
        <f>SUM(E66:E79)</f>
        <v>0</v>
      </c>
      <c r="F80" s="56">
        <f>SUM(F66:F79)</f>
        <v>90.9</v>
      </c>
      <c r="G80" s="34" t="s">
        <v>66</v>
      </c>
      <c r="H80" s="163">
        <f>SUM(D80:F80)-H68</f>
        <v>99.600000000000009</v>
      </c>
      <c r="I80" s="137" t="s">
        <v>485</v>
      </c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89" t="str">
        <f>'2018'!A24</f>
        <v>Transportes</v>
      </c>
      <c r="C82" s="290"/>
      <c r="D82" s="290"/>
      <c r="E82" s="290"/>
      <c r="F82" s="290"/>
      <c r="G82" s="291"/>
      <c r="H82" s="1"/>
      <c r="M82" s="1"/>
      <c r="R82" s="3"/>
    </row>
    <row r="83" spans="1:18" ht="16.149999999999999" customHeight="1" thickBot="1">
      <c r="A83" s="1"/>
      <c r="B83" s="292"/>
      <c r="C83" s="293"/>
      <c r="D83" s="293"/>
      <c r="E83" s="293"/>
      <c r="F83" s="293"/>
      <c r="G83" s="294"/>
      <c r="H83" s="1"/>
      <c r="M83" s="1"/>
      <c r="R83" s="3"/>
    </row>
    <row r="84" spans="1:18" ht="15.75">
      <c r="A84" s="1"/>
      <c r="B84" s="297" t="s">
        <v>10</v>
      </c>
      <c r="C84" s="296"/>
      <c r="D84" s="295" t="s">
        <v>11</v>
      </c>
      <c r="E84" s="295"/>
      <c r="F84" s="295"/>
      <c r="G84" s="296"/>
      <c r="H84" s="1"/>
      <c r="M84" s="1"/>
      <c r="R84" s="3"/>
    </row>
    <row r="85" spans="1:18" ht="15.75">
      <c r="A85" s="1"/>
      <c r="B85" s="52" t="s">
        <v>32</v>
      </c>
      <c r="C85" s="60" t="s">
        <v>33</v>
      </c>
      <c r="D85" s="52" t="s">
        <v>68</v>
      </c>
      <c r="E85" s="53" t="s">
        <v>69</v>
      </c>
      <c r="F85" s="53" t="s">
        <v>32</v>
      </c>
      <c r="G85" s="60" t="s">
        <v>393</v>
      </c>
      <c r="H85" s="1"/>
      <c r="M85" s="1"/>
      <c r="R85" s="3"/>
    </row>
    <row r="86" spans="1:18" ht="15.75">
      <c r="A86" s="1"/>
      <c r="B86" s="54">
        <v>150</v>
      </c>
      <c r="C86" s="36" t="s">
        <v>51</v>
      </c>
      <c r="D86" s="57">
        <f>53.39+49.42+50.44</f>
        <v>153.25</v>
      </c>
      <c r="E86" s="58"/>
      <c r="F86" s="58"/>
      <c r="G86" s="33" t="s">
        <v>508</v>
      </c>
      <c r="H86" s="1"/>
      <c r="M86" s="1"/>
      <c r="R86" s="3"/>
    </row>
    <row r="87" spans="1:18" ht="15.75">
      <c r="A87" s="1"/>
      <c r="B87" s="55"/>
      <c r="C87" s="33"/>
      <c r="D87" s="57"/>
      <c r="E87" s="58">
        <v>6.3</v>
      </c>
      <c r="F87" s="58"/>
      <c r="G87" s="33" t="s">
        <v>464</v>
      </c>
      <c r="H87" s="1"/>
      <c r="M87" s="1"/>
      <c r="R87" s="3"/>
    </row>
    <row r="88" spans="1:18" ht="15.75">
      <c r="A88" s="1"/>
      <c r="B88" s="55"/>
      <c r="C88" s="33"/>
      <c r="D88" s="57"/>
      <c r="E88" s="58"/>
      <c r="F88" s="58"/>
      <c r="G88" s="33"/>
      <c r="H88" s="1"/>
      <c r="M88" s="1"/>
      <c r="R88" s="3"/>
    </row>
    <row r="89" spans="1:18" ht="15.75">
      <c r="A89" s="1"/>
      <c r="B89" s="55"/>
      <c r="C89" s="33"/>
      <c r="D89" s="57"/>
      <c r="E89" s="58"/>
      <c r="F89" s="58"/>
      <c r="G89" s="33"/>
      <c r="H89" s="1"/>
      <c r="M89" s="1"/>
      <c r="R89" s="3"/>
    </row>
    <row r="90" spans="1:18" ht="15.75">
      <c r="A90" s="1"/>
      <c r="B90" s="55"/>
      <c r="C90" s="33"/>
      <c r="D90" s="57"/>
      <c r="E90" s="58"/>
      <c r="F90" s="58"/>
      <c r="G90" s="33"/>
      <c r="H90" s="1"/>
      <c r="M90" s="1"/>
      <c r="R90" s="3"/>
    </row>
    <row r="91" spans="1:18" ht="15.75">
      <c r="A91" s="1"/>
      <c r="B91" s="55"/>
      <c r="C91" s="33"/>
      <c r="D91" s="57"/>
      <c r="E91" s="58"/>
      <c r="F91" s="58"/>
      <c r="G91" s="33"/>
      <c r="H91" s="1"/>
      <c r="M91" s="1"/>
      <c r="R91" s="3"/>
    </row>
    <row r="92" spans="1:18" ht="15.75">
      <c r="A92" s="1"/>
      <c r="B92" s="55"/>
      <c r="C92" s="33"/>
      <c r="D92" s="57"/>
      <c r="E92" s="58"/>
      <c r="F92" s="58"/>
      <c r="G92" s="33"/>
      <c r="H92" s="1"/>
      <c r="M92" s="1"/>
      <c r="R92" s="3"/>
    </row>
    <row r="93" spans="1:18" ht="15.75">
      <c r="A93" s="1"/>
      <c r="B93" s="55"/>
      <c r="C93" s="33"/>
      <c r="D93" s="57"/>
      <c r="E93" s="58"/>
      <c r="F93" s="58"/>
      <c r="G93" s="33"/>
      <c r="H93" s="1"/>
      <c r="M93" s="1"/>
      <c r="R93" s="3"/>
    </row>
    <row r="94" spans="1:18" ht="15.75">
      <c r="A94" s="1"/>
      <c r="B94" s="55"/>
      <c r="C94" s="33"/>
      <c r="D94" s="57"/>
      <c r="E94" s="58"/>
      <c r="F94" s="58"/>
      <c r="G94" s="33"/>
      <c r="H94" s="1"/>
      <c r="M94" s="1"/>
      <c r="R94" s="3"/>
    </row>
    <row r="95" spans="1:18" ht="15.75">
      <c r="A95" s="1"/>
      <c r="B95" s="55"/>
      <c r="C95" s="33"/>
      <c r="D95" s="57"/>
      <c r="E95" s="58"/>
      <c r="F95" s="58"/>
      <c r="G95" s="33"/>
      <c r="H95" s="1"/>
      <c r="M95" s="1"/>
      <c r="R95" s="3"/>
    </row>
    <row r="96" spans="1:18" ht="15.75">
      <c r="A96" s="1"/>
      <c r="B96" s="55"/>
      <c r="C96" s="33"/>
      <c r="D96" s="57"/>
      <c r="E96" s="58"/>
      <c r="F96" s="58"/>
      <c r="G96" s="33"/>
      <c r="H96" s="1"/>
      <c r="M96" s="1"/>
      <c r="R96" s="3"/>
    </row>
    <row r="97" spans="1:18" ht="15.75">
      <c r="A97" s="1"/>
      <c r="B97" s="55"/>
      <c r="C97" s="33"/>
      <c r="D97" s="57"/>
      <c r="E97" s="58"/>
      <c r="F97" s="58"/>
      <c r="G97" s="33"/>
      <c r="H97" s="1"/>
      <c r="M97" s="1"/>
      <c r="R97" s="3"/>
    </row>
    <row r="98" spans="1:18" ht="15.75">
      <c r="A98" s="1"/>
      <c r="B98" s="55"/>
      <c r="C98" s="33"/>
      <c r="D98" s="57"/>
      <c r="E98" s="58"/>
      <c r="F98" s="58"/>
      <c r="G98" s="33"/>
      <c r="H98" s="1"/>
      <c r="M98" s="1"/>
      <c r="R98" s="3"/>
    </row>
    <row r="99" spans="1:18" ht="16.5" thickBot="1">
      <c r="A99" s="1"/>
      <c r="B99" s="56"/>
      <c r="C99" s="34"/>
      <c r="D99" s="56"/>
      <c r="E99" s="59"/>
      <c r="F99" s="59"/>
      <c r="G99" s="34"/>
      <c r="H99" s="1"/>
      <c r="M99" s="1"/>
      <c r="R99" s="3"/>
    </row>
    <row r="100" spans="1:18" ht="16.5" thickBot="1">
      <c r="A100" s="1"/>
      <c r="B100" s="56">
        <f>SUM(B86:B99)</f>
        <v>150</v>
      </c>
      <c r="C100" s="34" t="s">
        <v>66</v>
      </c>
      <c r="D100" s="56">
        <f>SUM(D86:D99)</f>
        <v>153.25</v>
      </c>
      <c r="E100" s="56">
        <f>SUM(E86:E99)</f>
        <v>6.3</v>
      </c>
      <c r="F100" s="56">
        <f>SUM(F86:F99)</f>
        <v>0</v>
      </c>
      <c r="G100" s="34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89" t="str">
        <f>'2018'!A25</f>
        <v>Coche</v>
      </c>
      <c r="C102" s="290"/>
      <c r="D102" s="290"/>
      <c r="E102" s="290"/>
      <c r="F102" s="290"/>
      <c r="G102" s="291"/>
      <c r="H102" s="1"/>
      <c r="M102" s="1"/>
      <c r="R102" s="3"/>
    </row>
    <row r="103" spans="1:18" ht="16.149999999999999" customHeight="1" thickBot="1">
      <c r="A103" s="1"/>
      <c r="B103" s="292"/>
      <c r="C103" s="293"/>
      <c r="D103" s="293"/>
      <c r="E103" s="293"/>
      <c r="F103" s="293"/>
      <c r="G103" s="294"/>
      <c r="H103" s="1"/>
      <c r="M103" s="1"/>
      <c r="R103" s="3"/>
    </row>
    <row r="104" spans="1:18" ht="15.75">
      <c r="A104" s="1"/>
      <c r="B104" s="297" t="s">
        <v>10</v>
      </c>
      <c r="C104" s="296"/>
      <c r="D104" s="295" t="s">
        <v>11</v>
      </c>
      <c r="E104" s="295"/>
      <c r="F104" s="295"/>
      <c r="G104" s="296"/>
      <c r="H104" s="1"/>
      <c r="M104" s="1"/>
      <c r="R104" s="3"/>
    </row>
    <row r="105" spans="1:18" ht="15.75">
      <c r="A105" s="1"/>
      <c r="B105" s="52" t="s">
        <v>32</v>
      </c>
      <c r="C105" s="60" t="s">
        <v>33</v>
      </c>
      <c r="D105" s="52" t="s">
        <v>68</v>
      </c>
      <c r="E105" s="53" t="s">
        <v>69</v>
      </c>
      <c r="F105" s="53" t="s">
        <v>32</v>
      </c>
      <c r="G105" s="60" t="s">
        <v>33</v>
      </c>
      <c r="H105" s="1"/>
      <c r="M105" s="1"/>
      <c r="R105" s="3"/>
    </row>
    <row r="106" spans="1:18" ht="15.75">
      <c r="A106" s="1"/>
      <c r="B106" s="54">
        <v>260</v>
      </c>
      <c r="C106" s="35" t="s">
        <v>55</v>
      </c>
      <c r="D106" s="57">
        <v>258.47000000000003</v>
      </c>
      <c r="E106" s="58"/>
      <c r="F106" s="58"/>
      <c r="G106" s="70" t="s">
        <v>55</v>
      </c>
      <c r="H106" s="1"/>
      <c r="M106" s="1"/>
      <c r="R106" s="3"/>
    </row>
    <row r="107" spans="1:18" ht="15.75">
      <c r="A107" s="1"/>
      <c r="B107" s="55">
        <v>71</v>
      </c>
      <c r="C107" s="35" t="s">
        <v>56</v>
      </c>
      <c r="D107" s="57">
        <v>70.349999999999994</v>
      </c>
      <c r="E107" s="58"/>
      <c r="F107" s="58"/>
      <c r="G107" s="70" t="s">
        <v>56</v>
      </c>
      <c r="H107" s="1"/>
      <c r="M107" s="1"/>
      <c r="R107" s="3"/>
    </row>
    <row r="108" spans="1:18" ht="15.75">
      <c r="A108" s="1"/>
      <c r="B108" s="55">
        <v>69</v>
      </c>
      <c r="C108" s="35" t="s">
        <v>46</v>
      </c>
      <c r="D108" s="57"/>
      <c r="E108" s="58"/>
      <c r="F108" s="58"/>
      <c r="G108" s="73" t="s">
        <v>88</v>
      </c>
      <c r="H108" s="1"/>
      <c r="M108" s="1"/>
      <c r="R108" s="3"/>
    </row>
    <row r="109" spans="1:18" ht="15.75">
      <c r="A109" s="1"/>
      <c r="B109" s="55"/>
      <c r="C109" s="35"/>
      <c r="D109" s="57"/>
      <c r="E109" s="58"/>
      <c r="F109" s="58"/>
      <c r="G109" s="70"/>
      <c r="H109" s="1"/>
      <c r="M109" s="1"/>
      <c r="R109" s="3"/>
    </row>
    <row r="110" spans="1:18" ht="15.75">
      <c r="A110" s="1"/>
      <c r="B110" s="55"/>
      <c r="C110" s="35"/>
      <c r="D110" s="57"/>
      <c r="E110" s="58"/>
      <c r="F110" s="58"/>
      <c r="G110" s="70"/>
      <c r="H110" s="1"/>
      <c r="M110" s="1"/>
      <c r="R110" s="3"/>
    </row>
    <row r="111" spans="1:18" ht="15.75">
      <c r="A111" s="1"/>
      <c r="B111" s="55"/>
      <c r="C111" s="66"/>
      <c r="D111" s="57"/>
      <c r="E111" s="58"/>
      <c r="F111" s="58"/>
      <c r="G111" s="73"/>
      <c r="H111" s="1"/>
      <c r="M111" s="1"/>
      <c r="R111" s="3"/>
    </row>
    <row r="112" spans="1:18" ht="15.75">
      <c r="A112" s="1"/>
      <c r="B112" s="55"/>
      <c r="C112" s="71"/>
      <c r="D112" s="57"/>
      <c r="E112" s="58"/>
      <c r="F112" s="58"/>
      <c r="G112" s="70"/>
      <c r="H112" s="1"/>
      <c r="M112" s="1"/>
      <c r="R112" s="3"/>
    </row>
    <row r="113" spans="1:18" ht="15.75">
      <c r="A113" s="1"/>
      <c r="B113" s="55"/>
      <c r="C113" s="72"/>
      <c r="D113" s="57"/>
      <c r="E113" s="58"/>
      <c r="F113" s="58"/>
      <c r="G113" s="70"/>
      <c r="H113" s="1"/>
      <c r="M113" s="1"/>
      <c r="R113" s="3"/>
    </row>
    <row r="114" spans="1:18" ht="15.75">
      <c r="A114" s="1"/>
      <c r="B114" s="55"/>
      <c r="C114" s="71"/>
      <c r="D114" s="57"/>
      <c r="E114" s="58"/>
      <c r="F114" s="58"/>
      <c r="G114" s="70"/>
      <c r="H114" s="1"/>
      <c r="M114" s="1"/>
      <c r="R114" s="3"/>
    </row>
    <row r="115" spans="1:18" ht="15.75">
      <c r="A115" s="1"/>
      <c r="B115" s="55"/>
      <c r="C115" s="66"/>
      <c r="D115" s="57"/>
      <c r="E115" s="58"/>
      <c r="F115" s="58"/>
      <c r="G115" s="33"/>
      <c r="H115" s="1"/>
      <c r="M115" s="1"/>
      <c r="R115" s="3"/>
    </row>
    <row r="116" spans="1:18" ht="15.75">
      <c r="A116" s="1"/>
      <c r="B116" s="55"/>
      <c r="C116" s="35"/>
      <c r="D116" s="57"/>
      <c r="E116" s="58"/>
      <c r="F116" s="58"/>
      <c r="G116" s="33"/>
      <c r="H116" s="1"/>
      <c r="M116" s="1"/>
      <c r="R116" s="3"/>
    </row>
    <row r="117" spans="1:18" ht="15.75">
      <c r="A117" s="1"/>
      <c r="B117" s="55"/>
      <c r="C117" s="35"/>
      <c r="D117" s="57"/>
      <c r="E117" s="58"/>
      <c r="F117" s="58"/>
      <c r="G117" s="33"/>
      <c r="H117" s="1"/>
      <c r="M117" s="1"/>
      <c r="R117" s="3"/>
    </row>
    <row r="118" spans="1:18" ht="15.75">
      <c r="A118" s="1"/>
      <c r="B118" s="55"/>
      <c r="C118" s="35"/>
      <c r="D118" s="57"/>
      <c r="E118" s="58"/>
      <c r="F118" s="58"/>
      <c r="G118" s="33"/>
      <c r="H118" s="1"/>
      <c r="M118" s="1"/>
      <c r="R118" s="3"/>
    </row>
    <row r="119" spans="1:18" ht="16.5" thickBot="1">
      <c r="A119" s="1"/>
      <c r="B119" s="56"/>
      <c r="C119" s="37"/>
      <c r="D119" s="56"/>
      <c r="E119" s="59"/>
      <c r="F119" s="59"/>
      <c r="G119" s="34"/>
      <c r="H119" s="1"/>
      <c r="M119" s="1"/>
      <c r="R119" s="3"/>
    </row>
    <row r="120" spans="1:18" ht="16.5" thickBot="1">
      <c r="A120" s="1"/>
      <c r="B120" s="56">
        <f>SUM(B106:B119)</f>
        <v>400</v>
      </c>
      <c r="C120" s="34" t="s">
        <v>66</v>
      </c>
      <c r="D120" s="56">
        <f>SUM(D106:D119)</f>
        <v>328.82000000000005</v>
      </c>
      <c r="E120" s="56">
        <f>SUM(E106:E119)</f>
        <v>0</v>
      </c>
      <c r="F120" s="56">
        <f>SUM(F106:F119)</f>
        <v>0</v>
      </c>
      <c r="G120" s="34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89" t="str">
        <f>'2018'!A26</f>
        <v>Teléfono</v>
      </c>
      <c r="C122" s="290"/>
      <c r="D122" s="290"/>
      <c r="E122" s="290"/>
      <c r="F122" s="290"/>
      <c r="G122" s="291"/>
      <c r="H122" s="1"/>
      <c r="M122" s="1"/>
      <c r="R122" s="3"/>
    </row>
    <row r="123" spans="1:18" ht="16.149999999999999" customHeight="1" thickBot="1">
      <c r="A123" s="1"/>
      <c r="B123" s="292"/>
      <c r="C123" s="293"/>
      <c r="D123" s="293"/>
      <c r="E123" s="293"/>
      <c r="F123" s="293"/>
      <c r="G123" s="294"/>
      <c r="H123" s="1"/>
      <c r="M123" s="1"/>
      <c r="R123" s="3"/>
    </row>
    <row r="124" spans="1:18" ht="15.75">
      <c r="A124" s="1"/>
      <c r="B124" s="297" t="s">
        <v>10</v>
      </c>
      <c r="C124" s="296"/>
      <c r="D124" s="295" t="s">
        <v>11</v>
      </c>
      <c r="E124" s="295"/>
      <c r="F124" s="295"/>
      <c r="G124" s="296"/>
      <c r="H124" s="1"/>
      <c r="M124" s="1"/>
      <c r="R124" s="3"/>
    </row>
    <row r="125" spans="1:18" ht="15.75">
      <c r="A125" s="1"/>
      <c r="B125" s="52" t="s">
        <v>32</v>
      </c>
      <c r="C125" s="60" t="s">
        <v>33</v>
      </c>
      <c r="D125" s="52" t="s">
        <v>68</v>
      </c>
      <c r="E125" s="53" t="s">
        <v>69</v>
      </c>
      <c r="F125" s="53" t="s">
        <v>32</v>
      </c>
      <c r="G125" s="60" t="s">
        <v>33</v>
      </c>
      <c r="H125" s="1"/>
      <c r="M125" s="1"/>
      <c r="R125" s="3"/>
    </row>
    <row r="126" spans="1:18" ht="15.75">
      <c r="A126" s="1"/>
      <c r="B126" s="54">
        <v>27.5</v>
      </c>
      <c r="C126" s="36" t="s">
        <v>57</v>
      </c>
      <c r="D126" s="57">
        <v>27.5</v>
      </c>
      <c r="E126" s="58"/>
      <c r="F126" s="58"/>
      <c r="G126" s="33" t="s">
        <v>57</v>
      </c>
      <c r="H126" s="1"/>
      <c r="M126" s="1"/>
      <c r="R126" s="3"/>
    </row>
    <row r="127" spans="1:18" ht="15.75">
      <c r="A127" s="1"/>
      <c r="B127" s="55">
        <v>12.5</v>
      </c>
      <c r="C127" s="33" t="s">
        <v>58</v>
      </c>
      <c r="D127" s="57"/>
      <c r="E127" s="58"/>
      <c r="F127" s="58"/>
      <c r="G127" s="33" t="s">
        <v>199</v>
      </c>
      <c r="H127" s="1"/>
      <c r="M127" s="1"/>
      <c r="R127" s="3"/>
    </row>
    <row r="128" spans="1:18" ht="15.75">
      <c r="A128" s="1"/>
      <c r="B128" s="55">
        <v>8</v>
      </c>
      <c r="C128" s="33" t="s">
        <v>337</v>
      </c>
      <c r="D128" s="57">
        <v>10</v>
      </c>
      <c r="E128" s="58"/>
      <c r="F128" s="58"/>
      <c r="G128" s="33" t="s">
        <v>219</v>
      </c>
      <c r="H128" s="1"/>
      <c r="M128" s="1"/>
      <c r="R128" s="3"/>
    </row>
    <row r="129" spans="1:18" ht="15.75">
      <c r="A129" s="1"/>
      <c r="B129" s="55"/>
      <c r="C129" s="33"/>
      <c r="D129" s="57"/>
      <c r="E129" s="58">
        <v>7.99</v>
      </c>
      <c r="F129" s="58"/>
      <c r="G129" s="33" t="s">
        <v>337</v>
      </c>
      <c r="H129" s="1"/>
      <c r="M129" s="1"/>
      <c r="R129" s="3"/>
    </row>
    <row r="130" spans="1:18" ht="15.75">
      <c r="A130" s="1"/>
      <c r="B130" s="55"/>
      <c r="C130" s="33"/>
      <c r="D130" s="57"/>
      <c r="E130" s="58"/>
      <c r="F130" s="58"/>
      <c r="G130" s="33"/>
      <c r="H130" s="1"/>
      <c r="M130" s="1"/>
      <c r="R130" s="3"/>
    </row>
    <row r="131" spans="1:18" ht="15.75">
      <c r="A131" s="1"/>
      <c r="B131" s="55"/>
      <c r="C131" s="33"/>
      <c r="D131" s="57"/>
      <c r="E131" s="58"/>
      <c r="F131" s="58"/>
      <c r="G131" s="33"/>
      <c r="H131" s="1"/>
      <c r="M131" s="1"/>
      <c r="R131" s="3"/>
    </row>
    <row r="132" spans="1:18" ht="15.75">
      <c r="A132" s="1"/>
      <c r="B132" s="55"/>
      <c r="C132" s="33"/>
      <c r="D132" s="57"/>
      <c r="E132" s="58"/>
      <c r="F132" s="58"/>
      <c r="G132" s="33"/>
      <c r="H132" s="1"/>
      <c r="M132" s="1"/>
      <c r="R132" s="3"/>
    </row>
    <row r="133" spans="1:18" ht="15.75">
      <c r="A133" s="1"/>
      <c r="B133" s="55"/>
      <c r="C133" s="33"/>
      <c r="D133" s="57"/>
      <c r="E133" s="58"/>
      <c r="F133" s="58"/>
      <c r="G133" s="33"/>
      <c r="H133" s="1"/>
      <c r="M133" s="1"/>
      <c r="R133" s="3"/>
    </row>
    <row r="134" spans="1:18" ht="15.75">
      <c r="A134" s="1"/>
      <c r="B134" s="55"/>
      <c r="C134" s="33"/>
      <c r="D134" s="57"/>
      <c r="E134" s="58"/>
      <c r="F134" s="58"/>
      <c r="G134" s="33"/>
      <c r="H134" s="1"/>
      <c r="M134" s="1"/>
      <c r="R134" s="3"/>
    </row>
    <row r="135" spans="1:18" ht="15.75">
      <c r="A135" s="1"/>
      <c r="B135" s="55"/>
      <c r="C135" s="33"/>
      <c r="D135" s="57"/>
      <c r="E135" s="58"/>
      <c r="F135" s="58"/>
      <c r="G135" s="33"/>
      <c r="H135" s="1"/>
      <c r="M135" s="1"/>
      <c r="R135" s="3"/>
    </row>
    <row r="136" spans="1:18" ht="15.75">
      <c r="A136" s="1"/>
      <c r="B136" s="55"/>
      <c r="C136" s="33"/>
      <c r="D136" s="57"/>
      <c r="E136" s="58"/>
      <c r="F136" s="58"/>
      <c r="G136" s="33"/>
      <c r="H136" s="1"/>
      <c r="M136" s="1"/>
      <c r="R136" s="3"/>
    </row>
    <row r="137" spans="1:18" ht="15.75">
      <c r="A137" s="1"/>
      <c r="B137" s="55"/>
      <c r="C137" s="33"/>
      <c r="D137" s="57"/>
      <c r="E137" s="58"/>
      <c r="F137" s="58"/>
      <c r="G137" s="33"/>
      <c r="H137" s="1"/>
      <c r="M137" s="1"/>
      <c r="R137" s="3"/>
    </row>
    <row r="138" spans="1:18" ht="15.75">
      <c r="A138" s="1"/>
      <c r="B138" s="55"/>
      <c r="C138" s="33"/>
      <c r="D138" s="57"/>
      <c r="E138" s="58"/>
      <c r="F138" s="58"/>
      <c r="G138" s="33"/>
      <c r="H138" s="1"/>
      <c r="M138" s="1"/>
      <c r="R138" s="3"/>
    </row>
    <row r="139" spans="1:18" ht="16.5" thickBot="1">
      <c r="A139" s="1"/>
      <c r="B139" s="56"/>
      <c r="C139" s="34"/>
      <c r="D139" s="56"/>
      <c r="E139" s="59"/>
      <c r="F139" s="59"/>
      <c r="G139" s="34"/>
      <c r="H139" s="1"/>
      <c r="M139" s="1"/>
      <c r="R139" s="3"/>
    </row>
    <row r="140" spans="1:18" ht="16.5" thickBot="1">
      <c r="A140" s="1"/>
      <c r="B140" s="56">
        <f>SUM(B126:B139)</f>
        <v>48</v>
      </c>
      <c r="C140" s="34" t="s">
        <v>66</v>
      </c>
      <c r="D140" s="56">
        <f>SUM(D126:D139)</f>
        <v>37.5</v>
      </c>
      <c r="E140" s="56">
        <f>SUM(E126:E139)</f>
        <v>7.99</v>
      </c>
      <c r="F140" s="56">
        <f>SUM(F126:F139)</f>
        <v>0</v>
      </c>
      <c r="G140" s="34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89" t="str">
        <f>'2018'!A27</f>
        <v>Gatos</v>
      </c>
      <c r="C142" s="290"/>
      <c r="D142" s="290"/>
      <c r="E142" s="290"/>
      <c r="F142" s="290"/>
      <c r="G142" s="291"/>
      <c r="H142" s="1"/>
      <c r="M142" s="1"/>
      <c r="R142" s="3"/>
    </row>
    <row r="143" spans="1:18" ht="16.149999999999999" customHeight="1" thickBot="1">
      <c r="A143" s="1"/>
      <c r="B143" s="292"/>
      <c r="C143" s="293"/>
      <c r="D143" s="293"/>
      <c r="E143" s="293"/>
      <c r="F143" s="293"/>
      <c r="G143" s="294"/>
      <c r="H143" s="1"/>
      <c r="M143" s="1"/>
      <c r="R143" s="3"/>
    </row>
    <row r="144" spans="1:18" ht="15.75">
      <c r="A144" s="1"/>
      <c r="B144" s="297" t="s">
        <v>10</v>
      </c>
      <c r="C144" s="296"/>
      <c r="D144" s="295" t="s">
        <v>11</v>
      </c>
      <c r="E144" s="295"/>
      <c r="F144" s="295"/>
      <c r="G144" s="296"/>
      <c r="H144" s="1"/>
      <c r="M144" s="1"/>
      <c r="R144" s="3"/>
    </row>
    <row r="145" spans="1:22" ht="15.75">
      <c r="A145" s="1"/>
      <c r="B145" s="52" t="s">
        <v>32</v>
      </c>
      <c r="C145" s="60" t="s">
        <v>33</v>
      </c>
      <c r="D145" s="52" t="s">
        <v>68</v>
      </c>
      <c r="E145" s="53" t="s">
        <v>69</v>
      </c>
      <c r="F145" s="53" t="s">
        <v>32</v>
      </c>
      <c r="G145" s="60" t="s">
        <v>393</v>
      </c>
      <c r="H145" s="1"/>
      <c r="M145" s="1"/>
      <c r="R145" s="3"/>
    </row>
    <row r="146" spans="1:22" ht="15.75">
      <c r="A146" s="1"/>
      <c r="B146" s="54">
        <v>50</v>
      </c>
      <c r="C146" s="36" t="s">
        <v>43</v>
      </c>
      <c r="D146" s="57"/>
      <c r="E146" s="58"/>
      <c r="F146" s="58"/>
      <c r="G146" s="33"/>
      <c r="H146" s="1"/>
      <c r="M146" s="1"/>
      <c r="R146" s="3"/>
    </row>
    <row r="147" spans="1:22" ht="15.75">
      <c r="A147" s="1"/>
      <c r="B147" s="55"/>
      <c r="C147" s="33"/>
      <c r="D147" s="57"/>
      <c r="E147" s="58"/>
      <c r="F147" s="58"/>
      <c r="G147" s="33"/>
      <c r="H147" s="1"/>
      <c r="M147" s="1"/>
      <c r="R147" s="3"/>
    </row>
    <row r="148" spans="1:22" ht="15.75">
      <c r="A148" s="1"/>
      <c r="B148" s="55"/>
      <c r="C148" s="33"/>
      <c r="D148" s="57"/>
      <c r="E148" s="58"/>
      <c r="F148" s="58"/>
      <c r="G148" s="33"/>
      <c r="H148" s="1"/>
      <c r="M148" s="1"/>
      <c r="R148" s="3"/>
    </row>
    <row r="149" spans="1:22" ht="15.75">
      <c r="A149" s="1"/>
      <c r="B149" s="55"/>
      <c r="C149" s="33"/>
      <c r="D149" s="57"/>
      <c r="E149" s="58"/>
      <c r="F149" s="58"/>
      <c r="G149" s="33"/>
      <c r="H149" s="1"/>
      <c r="M149" s="1"/>
      <c r="R149" s="3"/>
    </row>
    <row r="150" spans="1:22" ht="15.75">
      <c r="A150" s="1"/>
      <c r="B150" s="55"/>
      <c r="C150" s="33"/>
      <c r="D150" s="57"/>
      <c r="E150" s="58"/>
      <c r="F150" s="58"/>
      <c r="G150" s="33"/>
      <c r="H150" s="1"/>
      <c r="M150" s="1"/>
      <c r="R150" s="3"/>
    </row>
    <row r="151" spans="1:22" ht="15.75">
      <c r="A151" s="1"/>
      <c r="B151" s="55"/>
      <c r="C151" s="33"/>
      <c r="D151" s="57"/>
      <c r="E151" s="58"/>
      <c r="F151" s="58"/>
      <c r="G151" s="33"/>
      <c r="H151" s="1"/>
      <c r="M151" s="1"/>
      <c r="R151" s="3"/>
    </row>
    <row r="152" spans="1:22" ht="15.75">
      <c r="A152" s="1"/>
      <c r="B152" s="55"/>
      <c r="C152" s="33"/>
      <c r="D152" s="57"/>
      <c r="E152" s="58"/>
      <c r="F152" s="58"/>
      <c r="G152" s="33"/>
      <c r="H152" s="1"/>
      <c r="M152" s="1"/>
      <c r="R152" s="3"/>
    </row>
    <row r="153" spans="1:22" ht="15.75">
      <c r="A153" s="1"/>
      <c r="B153" s="55"/>
      <c r="C153" s="33"/>
      <c r="D153" s="57"/>
      <c r="E153" s="58"/>
      <c r="F153" s="58"/>
      <c r="G153" s="33"/>
      <c r="H153" s="1"/>
      <c r="M153" s="1"/>
      <c r="R153" s="3"/>
    </row>
    <row r="154" spans="1:22" ht="15.75">
      <c r="A154" s="1"/>
      <c r="B154" s="55"/>
      <c r="C154" s="33"/>
      <c r="D154" s="57"/>
      <c r="E154" s="58"/>
      <c r="F154" s="58"/>
      <c r="G154" s="33"/>
      <c r="H154" s="1"/>
      <c r="M154" s="1"/>
      <c r="R154" s="3"/>
    </row>
    <row r="155" spans="1:22" ht="15.75">
      <c r="A155" s="1"/>
      <c r="B155" s="55"/>
      <c r="C155" s="33"/>
      <c r="D155" s="57"/>
      <c r="E155" s="58"/>
      <c r="F155" s="58"/>
      <c r="G155" s="33"/>
      <c r="H155" s="1"/>
      <c r="M155" s="1"/>
      <c r="R155" s="3"/>
    </row>
    <row r="156" spans="1:22" ht="15.75">
      <c r="A156" s="1"/>
      <c r="B156" s="55"/>
      <c r="C156" s="33"/>
      <c r="D156" s="57"/>
      <c r="E156" s="58"/>
      <c r="F156" s="58"/>
      <c r="G156" s="33"/>
      <c r="H156" s="1"/>
      <c r="M156" s="1"/>
      <c r="R156" s="3"/>
    </row>
    <row r="157" spans="1:22" ht="15.75">
      <c r="A157" s="1"/>
      <c r="B157" s="55"/>
      <c r="C157" s="33"/>
      <c r="D157" s="57"/>
      <c r="E157" s="58"/>
      <c r="F157" s="58"/>
      <c r="G157" s="33"/>
      <c r="H157" s="1"/>
      <c r="M157" s="1"/>
      <c r="R157" s="3"/>
    </row>
    <row r="158" spans="1:22" ht="15.75">
      <c r="A158" s="1"/>
      <c r="B158" s="55"/>
      <c r="C158" s="33"/>
      <c r="D158" s="57"/>
      <c r="E158" s="58"/>
      <c r="F158" s="58"/>
      <c r="G158" s="33"/>
      <c r="H158" s="1"/>
      <c r="M158" s="1"/>
      <c r="R158" s="3"/>
    </row>
    <row r="159" spans="1:22" ht="16.5" thickBot="1">
      <c r="A159" s="1"/>
      <c r="B159" s="56"/>
      <c r="C159" s="34"/>
      <c r="D159" s="56"/>
      <c r="E159" s="59"/>
      <c r="F159" s="59"/>
      <c r="G159" s="34"/>
      <c r="H159" s="1"/>
      <c r="M159" s="1"/>
      <c r="R159" s="3"/>
    </row>
    <row r="160" spans="1:22" ht="16.5" thickBot="1">
      <c r="A160" s="1"/>
      <c r="B160" s="56">
        <f>SUM(B146:B159)</f>
        <v>50</v>
      </c>
      <c r="C160" s="34" t="s">
        <v>66</v>
      </c>
      <c r="D160" s="56">
        <f>SUM(D146:D159)</f>
        <v>0</v>
      </c>
      <c r="E160" s="56">
        <f>SUM(E146:E159)</f>
        <v>0</v>
      </c>
      <c r="F160" s="56">
        <f>SUM(F146:F159)</f>
        <v>0</v>
      </c>
      <c r="G160" s="34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89" t="str">
        <f>'2018'!A28</f>
        <v>Vacaciones</v>
      </c>
      <c r="C162" s="290"/>
      <c r="D162" s="290"/>
      <c r="E162" s="290"/>
      <c r="F162" s="290"/>
      <c r="G162" s="29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92"/>
      <c r="C163" s="293"/>
      <c r="D163" s="293"/>
      <c r="E163" s="293"/>
      <c r="F163" s="293"/>
      <c r="G163" s="294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97" t="s">
        <v>10</v>
      </c>
      <c r="C164" s="296"/>
      <c r="D164" s="295" t="s">
        <v>11</v>
      </c>
      <c r="E164" s="295"/>
      <c r="F164" s="295"/>
      <c r="G164" s="29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52" t="s">
        <v>32</v>
      </c>
      <c r="C165" s="60" t="s">
        <v>33</v>
      </c>
      <c r="D165" s="52" t="s">
        <v>68</v>
      </c>
      <c r="E165" s="53" t="s">
        <v>69</v>
      </c>
      <c r="F165" s="53" t="s">
        <v>32</v>
      </c>
      <c r="G165" s="60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54">
        <v>200</v>
      </c>
      <c r="C166" s="36" t="s">
        <v>36</v>
      </c>
      <c r="D166" s="57">
        <v>9.5</v>
      </c>
      <c r="E166" s="58"/>
      <c r="F166" s="58"/>
      <c r="G166" s="33" t="s">
        <v>449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55"/>
      <c r="C167" s="33"/>
      <c r="D167" s="57"/>
      <c r="E167" s="58"/>
      <c r="F167" s="58"/>
      <c r="G167" s="33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55"/>
      <c r="C168" s="33"/>
      <c r="D168" s="57"/>
      <c r="E168" s="58"/>
      <c r="F168" s="58"/>
      <c r="G168" s="33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55"/>
      <c r="C169" s="33"/>
      <c r="D169" s="57"/>
      <c r="E169" s="58"/>
      <c r="F169" s="58"/>
      <c r="G169" s="33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55"/>
      <c r="C170" s="33"/>
      <c r="D170" s="57"/>
      <c r="E170" s="58"/>
      <c r="F170" s="58"/>
      <c r="G170" s="33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55"/>
      <c r="C171" s="33"/>
      <c r="D171" s="57"/>
      <c r="E171" s="58"/>
      <c r="F171" s="58"/>
      <c r="G171" s="33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55"/>
      <c r="C172" s="33"/>
      <c r="D172" s="57"/>
      <c r="E172" s="58"/>
      <c r="F172" s="58"/>
      <c r="G172" s="33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55"/>
      <c r="C173" s="33"/>
      <c r="D173" s="57"/>
      <c r="E173" s="58"/>
      <c r="F173" s="58"/>
      <c r="G173" s="33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55"/>
      <c r="C174" s="33"/>
      <c r="D174" s="57"/>
      <c r="E174" s="58"/>
      <c r="F174" s="58"/>
      <c r="G174" s="33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55"/>
      <c r="C175" s="33"/>
      <c r="D175" s="57"/>
      <c r="E175" s="58"/>
      <c r="F175" s="58"/>
      <c r="G175" s="33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55"/>
      <c r="C176" s="33"/>
      <c r="D176" s="57"/>
      <c r="E176" s="58"/>
      <c r="F176" s="58"/>
      <c r="G176" s="33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55"/>
      <c r="C177" s="33"/>
      <c r="D177" s="57"/>
      <c r="E177" s="58"/>
      <c r="F177" s="58"/>
      <c r="G177" s="33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55"/>
      <c r="C178" s="33"/>
      <c r="D178" s="57"/>
      <c r="E178" s="58"/>
      <c r="F178" s="58"/>
      <c r="G178" s="33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56"/>
      <c r="C179" s="34"/>
      <c r="D179" s="56"/>
      <c r="E179" s="59"/>
      <c r="F179" s="59"/>
      <c r="G179" s="34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56">
        <f>SUM(B166:B179)</f>
        <v>200</v>
      </c>
      <c r="C180" s="34" t="s">
        <v>66</v>
      </c>
      <c r="D180" s="56">
        <f>SUM(D166:D179)</f>
        <v>9.5</v>
      </c>
      <c r="E180" s="56">
        <f>SUM(E166:E179)</f>
        <v>0</v>
      </c>
      <c r="F180" s="56">
        <f>SUM(F166:F179)</f>
        <v>0</v>
      </c>
      <c r="G180" s="34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89" t="str">
        <f>'2018'!A29</f>
        <v>Ropa</v>
      </c>
      <c r="C182" s="290"/>
      <c r="D182" s="290"/>
      <c r="E182" s="290"/>
      <c r="F182" s="290"/>
      <c r="G182" s="29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92"/>
      <c r="C183" s="293"/>
      <c r="D183" s="293"/>
      <c r="E183" s="293"/>
      <c r="F183" s="293"/>
      <c r="G183" s="294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97" t="s">
        <v>10</v>
      </c>
      <c r="C184" s="296"/>
      <c r="D184" s="295" t="s">
        <v>11</v>
      </c>
      <c r="E184" s="295"/>
      <c r="F184" s="295"/>
      <c r="G184" s="29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52" t="s">
        <v>32</v>
      </c>
      <c r="C185" s="60" t="s">
        <v>33</v>
      </c>
      <c r="D185" s="52" t="s">
        <v>68</v>
      </c>
      <c r="E185" s="53" t="s">
        <v>69</v>
      </c>
      <c r="F185" s="53" t="s">
        <v>32</v>
      </c>
      <c r="G185" s="60" t="s">
        <v>393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54">
        <v>60</v>
      </c>
      <c r="C186" s="36" t="s">
        <v>43</v>
      </c>
      <c r="D186" s="57">
        <v>29.99</v>
      </c>
      <c r="E186" s="58"/>
      <c r="F186" s="58"/>
      <c r="G186" s="33" t="s">
        <v>454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55"/>
      <c r="C187" s="33"/>
      <c r="D187" s="57">
        <v>35</v>
      </c>
      <c r="E187" s="58"/>
      <c r="F187" s="58"/>
      <c r="G187" s="33" t="s">
        <v>453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55"/>
      <c r="C188" s="33"/>
      <c r="D188" s="57">
        <v>19.989999999999998</v>
      </c>
      <c r="E188" s="58"/>
      <c r="F188" s="58"/>
      <c r="G188" s="33" t="s">
        <v>452</v>
      </c>
    </row>
    <row r="189" spans="1:22">
      <c r="B189" s="55"/>
      <c r="C189" s="33"/>
      <c r="D189" s="57">
        <v>5.99</v>
      </c>
      <c r="E189" s="58"/>
      <c r="F189" s="58"/>
      <c r="G189" s="33" t="s">
        <v>498</v>
      </c>
    </row>
    <row r="190" spans="1:22">
      <c r="B190" s="55"/>
      <c r="C190" s="33"/>
      <c r="D190" s="57">
        <f>60.26-D290</f>
        <v>29.099999999999998</v>
      </c>
      <c r="E190" s="58"/>
      <c r="F190" s="58"/>
      <c r="G190" s="33" t="s">
        <v>501</v>
      </c>
    </row>
    <row r="191" spans="1:22">
      <c r="B191" s="55"/>
      <c r="C191" s="33"/>
      <c r="D191" s="57"/>
      <c r="E191" s="58"/>
      <c r="F191" s="58"/>
      <c r="G191" s="33"/>
    </row>
    <row r="192" spans="1:22">
      <c r="B192" s="55"/>
      <c r="C192" s="33"/>
      <c r="D192" s="57"/>
      <c r="E192" s="58"/>
      <c r="F192" s="58"/>
      <c r="G192" s="33"/>
    </row>
    <row r="193" spans="2:7">
      <c r="B193" s="55"/>
      <c r="C193" s="33"/>
      <c r="D193" s="57"/>
      <c r="E193" s="58"/>
      <c r="F193" s="58"/>
      <c r="G193" s="33"/>
    </row>
    <row r="194" spans="2:7">
      <c r="B194" s="55"/>
      <c r="C194" s="33"/>
      <c r="D194" s="57"/>
      <c r="E194" s="58"/>
      <c r="F194" s="58"/>
      <c r="G194" s="33"/>
    </row>
    <row r="195" spans="2:7">
      <c r="B195" s="55"/>
      <c r="C195" s="33"/>
      <c r="D195" s="57"/>
      <c r="E195" s="58"/>
      <c r="F195" s="58"/>
      <c r="G195" s="33"/>
    </row>
    <row r="196" spans="2:7">
      <c r="B196" s="55"/>
      <c r="C196" s="33"/>
      <c r="D196" s="57"/>
      <c r="E196" s="58"/>
      <c r="F196" s="58"/>
      <c r="G196" s="33"/>
    </row>
    <row r="197" spans="2:7">
      <c r="B197" s="55"/>
      <c r="C197" s="33"/>
      <c r="D197" s="57"/>
      <c r="E197" s="58"/>
      <c r="F197" s="58"/>
      <c r="G197" s="33"/>
    </row>
    <row r="198" spans="2:7">
      <c r="B198" s="55"/>
      <c r="C198" s="33"/>
      <c r="D198" s="57"/>
      <c r="E198" s="58"/>
      <c r="F198" s="58"/>
      <c r="G198" s="33"/>
    </row>
    <row r="199" spans="2:7" ht="15.75" thickBot="1">
      <c r="B199" s="56"/>
      <c r="C199" s="34"/>
      <c r="D199" s="56"/>
      <c r="E199" s="59"/>
      <c r="F199" s="59"/>
      <c r="G199" s="34"/>
    </row>
    <row r="200" spans="2:7" ht="15.75" thickBot="1">
      <c r="B200" s="56">
        <f>SUM(B186:B199)</f>
        <v>60</v>
      </c>
      <c r="C200" s="34" t="s">
        <v>66</v>
      </c>
      <c r="D200" s="56">
        <f>SUM(D186:D199)</f>
        <v>120.06999999999998</v>
      </c>
      <c r="E200" s="56">
        <f>SUM(E186:E199)</f>
        <v>0</v>
      </c>
      <c r="F200" s="56">
        <f>SUM(F186:F199)</f>
        <v>0</v>
      </c>
      <c r="G200" s="34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89" t="str">
        <f>'2018'!A30</f>
        <v>Belleza</v>
      </c>
      <c r="C202" s="290"/>
      <c r="D202" s="290"/>
      <c r="E202" s="290"/>
      <c r="F202" s="290"/>
      <c r="G202" s="291"/>
    </row>
    <row r="203" spans="2:7" ht="15" customHeight="1" thickBot="1">
      <c r="B203" s="292"/>
      <c r="C203" s="293"/>
      <c r="D203" s="293"/>
      <c r="E203" s="293"/>
      <c r="F203" s="293"/>
      <c r="G203" s="294"/>
    </row>
    <row r="204" spans="2:7">
      <c r="B204" s="297" t="s">
        <v>10</v>
      </c>
      <c r="C204" s="296"/>
      <c r="D204" s="295" t="s">
        <v>11</v>
      </c>
      <c r="E204" s="295"/>
      <c r="F204" s="295"/>
      <c r="G204" s="296"/>
    </row>
    <row r="205" spans="2:7">
      <c r="B205" s="52" t="s">
        <v>32</v>
      </c>
      <c r="C205" s="60" t="s">
        <v>33</v>
      </c>
      <c r="D205" s="52" t="s">
        <v>68</v>
      </c>
      <c r="E205" s="53" t="s">
        <v>69</v>
      </c>
      <c r="F205" s="53" t="s">
        <v>32</v>
      </c>
      <c r="G205" s="60" t="s">
        <v>393</v>
      </c>
    </row>
    <row r="206" spans="2:7">
      <c r="B206" s="54">
        <v>35</v>
      </c>
      <c r="C206" s="36"/>
      <c r="D206" s="57">
        <f>20.05-D288</f>
        <v>10.050000000000001</v>
      </c>
      <c r="E206" s="58"/>
      <c r="F206" s="58"/>
      <c r="G206" s="33" t="s">
        <v>495</v>
      </c>
    </row>
    <row r="207" spans="2:7">
      <c r="B207" s="55"/>
      <c r="C207" s="33"/>
      <c r="D207" s="57"/>
      <c r="E207" s="58"/>
      <c r="F207" s="58"/>
      <c r="G207" s="33"/>
    </row>
    <row r="208" spans="2:7">
      <c r="B208" s="55"/>
      <c r="C208" s="33"/>
      <c r="D208" s="57"/>
      <c r="E208" s="58"/>
      <c r="F208" s="58"/>
      <c r="G208" s="33"/>
    </row>
    <row r="209" spans="2:7">
      <c r="B209" s="55"/>
      <c r="C209" s="33"/>
      <c r="D209" s="57"/>
      <c r="E209" s="58"/>
      <c r="F209" s="58"/>
      <c r="G209" s="33"/>
    </row>
    <row r="210" spans="2:7">
      <c r="B210" s="55"/>
      <c r="C210" s="33"/>
      <c r="D210" s="57"/>
      <c r="E210" s="58"/>
      <c r="F210" s="58"/>
      <c r="G210" s="33"/>
    </row>
    <row r="211" spans="2:7">
      <c r="B211" s="55"/>
      <c r="C211" s="33"/>
      <c r="D211" s="57"/>
      <c r="E211" s="58"/>
      <c r="F211" s="58"/>
      <c r="G211" s="33"/>
    </row>
    <row r="212" spans="2:7">
      <c r="B212" s="55"/>
      <c r="C212" s="33"/>
      <c r="D212" s="57"/>
      <c r="E212" s="58"/>
      <c r="F212" s="58"/>
      <c r="G212" s="33"/>
    </row>
    <row r="213" spans="2:7">
      <c r="B213" s="55"/>
      <c r="C213" s="33"/>
      <c r="D213" s="57"/>
      <c r="E213" s="58"/>
      <c r="F213" s="58"/>
      <c r="G213" s="33"/>
    </row>
    <row r="214" spans="2:7">
      <c r="B214" s="55"/>
      <c r="C214" s="33"/>
      <c r="D214" s="57"/>
      <c r="E214" s="58"/>
      <c r="F214" s="58"/>
      <c r="G214" s="33"/>
    </row>
    <row r="215" spans="2:7">
      <c r="B215" s="55"/>
      <c r="C215" s="33"/>
      <c r="D215" s="57"/>
      <c r="E215" s="58"/>
      <c r="F215" s="58"/>
      <c r="G215" s="33"/>
    </row>
    <row r="216" spans="2:7">
      <c r="B216" s="55"/>
      <c r="C216" s="33"/>
      <c r="D216" s="57"/>
      <c r="E216" s="58"/>
      <c r="F216" s="58"/>
      <c r="G216" s="33"/>
    </row>
    <row r="217" spans="2:7">
      <c r="B217" s="55"/>
      <c r="C217" s="33"/>
      <c r="D217" s="57"/>
      <c r="E217" s="58"/>
      <c r="F217" s="58"/>
      <c r="G217" s="33"/>
    </row>
    <row r="218" spans="2:7">
      <c r="B218" s="55"/>
      <c r="C218" s="33"/>
      <c r="D218" s="57"/>
      <c r="E218" s="58"/>
      <c r="F218" s="58"/>
      <c r="G218" s="33"/>
    </row>
    <row r="219" spans="2:7" ht="15.75" thickBot="1">
      <c r="B219" s="56"/>
      <c r="C219" s="34"/>
      <c r="D219" s="56"/>
      <c r="E219" s="59"/>
      <c r="F219" s="59"/>
      <c r="G219" s="34"/>
    </row>
    <row r="220" spans="2:7" ht="15.75" thickBot="1">
      <c r="B220" s="56">
        <f>SUM(B206:B219)</f>
        <v>35</v>
      </c>
      <c r="C220" s="34" t="s">
        <v>66</v>
      </c>
      <c r="D220" s="56">
        <f>SUM(D206:D219)</f>
        <v>10.050000000000001</v>
      </c>
      <c r="E220" s="56">
        <f>SUM(E206:E219)</f>
        <v>0</v>
      </c>
      <c r="F220" s="56">
        <f>SUM(F206:F219)</f>
        <v>0</v>
      </c>
      <c r="G220" s="34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89" t="str">
        <f>'2018'!A31</f>
        <v>Deportes</v>
      </c>
      <c r="C222" s="290"/>
      <c r="D222" s="290"/>
      <c r="E222" s="290"/>
      <c r="F222" s="290"/>
      <c r="G222" s="291"/>
    </row>
    <row r="223" spans="2:7" ht="15" customHeight="1" thickBot="1">
      <c r="B223" s="292"/>
      <c r="C223" s="293"/>
      <c r="D223" s="293"/>
      <c r="E223" s="293"/>
      <c r="F223" s="293"/>
      <c r="G223" s="294"/>
    </row>
    <row r="224" spans="2:7">
      <c r="B224" s="297" t="s">
        <v>10</v>
      </c>
      <c r="C224" s="296"/>
      <c r="D224" s="295" t="s">
        <v>11</v>
      </c>
      <c r="E224" s="295"/>
      <c r="F224" s="295"/>
      <c r="G224" s="296"/>
    </row>
    <row r="225" spans="2:7">
      <c r="B225" s="52" t="s">
        <v>32</v>
      </c>
      <c r="C225" s="60" t="s">
        <v>33</v>
      </c>
      <c r="D225" s="52" t="s">
        <v>68</v>
      </c>
      <c r="E225" s="53" t="s">
        <v>69</v>
      </c>
      <c r="F225" s="53" t="s">
        <v>32</v>
      </c>
      <c r="G225" s="60" t="s">
        <v>33</v>
      </c>
    </row>
    <row r="226" spans="2:7">
      <c r="B226" s="54">
        <v>20</v>
      </c>
      <c r="C226" s="36" t="s">
        <v>50</v>
      </c>
      <c r="D226" s="57">
        <v>20</v>
      </c>
      <c r="E226" s="58"/>
      <c r="F226" s="58"/>
      <c r="G226" s="58" t="s">
        <v>50</v>
      </c>
    </row>
    <row r="227" spans="2:7">
      <c r="B227" s="55">
        <v>65</v>
      </c>
      <c r="C227" s="33" t="s">
        <v>102</v>
      </c>
      <c r="D227" s="57"/>
      <c r="E227" s="58"/>
      <c r="F227" s="58"/>
      <c r="G227" s="33"/>
    </row>
    <row r="228" spans="2:7">
      <c r="B228" s="55">
        <v>5</v>
      </c>
      <c r="C228" s="33" t="s">
        <v>46</v>
      </c>
      <c r="D228" s="57"/>
      <c r="E228" s="58"/>
      <c r="F228" s="58"/>
      <c r="G228" s="33"/>
    </row>
    <row r="229" spans="2:7">
      <c r="B229" s="55"/>
      <c r="C229" s="33"/>
      <c r="D229" s="57"/>
      <c r="E229" s="58"/>
      <c r="F229" s="58"/>
      <c r="G229" s="33"/>
    </row>
    <row r="230" spans="2:7">
      <c r="B230" s="55"/>
      <c r="C230" s="33"/>
      <c r="D230" s="57"/>
      <c r="E230" s="58"/>
      <c r="F230" s="58"/>
      <c r="G230" s="33"/>
    </row>
    <row r="231" spans="2:7">
      <c r="B231" s="55"/>
      <c r="C231" s="33"/>
      <c r="D231" s="57"/>
      <c r="E231" s="58"/>
      <c r="F231" s="58"/>
      <c r="G231" s="33"/>
    </row>
    <row r="232" spans="2:7">
      <c r="B232" s="55"/>
      <c r="C232" s="33"/>
      <c r="D232" s="57"/>
      <c r="E232" s="58"/>
      <c r="F232" s="58"/>
      <c r="G232" s="33"/>
    </row>
    <row r="233" spans="2:7">
      <c r="B233" s="55"/>
      <c r="C233" s="33"/>
      <c r="D233" s="57"/>
      <c r="E233" s="58"/>
      <c r="F233" s="58"/>
      <c r="G233" s="33"/>
    </row>
    <row r="234" spans="2:7">
      <c r="B234" s="55"/>
      <c r="C234" s="33"/>
      <c r="D234" s="57"/>
      <c r="E234" s="58"/>
      <c r="F234" s="58"/>
      <c r="G234" s="33"/>
    </row>
    <row r="235" spans="2:7">
      <c r="B235" s="55"/>
      <c r="C235" s="33"/>
      <c r="D235" s="57"/>
      <c r="E235" s="58"/>
      <c r="F235" s="58"/>
      <c r="G235" s="33"/>
    </row>
    <row r="236" spans="2:7">
      <c r="B236" s="55"/>
      <c r="C236" s="33"/>
      <c r="D236" s="57"/>
      <c r="E236" s="58"/>
      <c r="F236" s="58"/>
      <c r="G236" s="33"/>
    </row>
    <row r="237" spans="2:7">
      <c r="B237" s="55"/>
      <c r="C237" s="33"/>
      <c r="D237" s="57"/>
      <c r="E237" s="58"/>
      <c r="F237" s="58"/>
      <c r="G237" s="33"/>
    </row>
    <row r="238" spans="2:7">
      <c r="B238" s="55"/>
      <c r="C238" s="33"/>
      <c r="D238" s="57"/>
      <c r="E238" s="58"/>
      <c r="F238" s="58"/>
      <c r="G238" s="33"/>
    </row>
    <row r="239" spans="2:7" ht="15.75" thickBot="1">
      <c r="B239" s="56"/>
      <c r="C239" s="34"/>
      <c r="D239" s="56"/>
      <c r="E239" s="59"/>
      <c r="F239" s="59"/>
      <c r="G239" s="34"/>
    </row>
    <row r="240" spans="2:7" ht="15.75" thickBot="1">
      <c r="B240" s="56">
        <f>SUM(B226:B239)</f>
        <v>90</v>
      </c>
      <c r="C240" s="34" t="s">
        <v>66</v>
      </c>
      <c r="D240" s="56">
        <f>SUM(D226:D239)</f>
        <v>20</v>
      </c>
      <c r="E240" s="56">
        <f>SUM(E226:E239)</f>
        <v>0</v>
      </c>
      <c r="F240" s="56">
        <f>SUM(F226:F239)</f>
        <v>0</v>
      </c>
      <c r="G240" s="34" t="s">
        <v>66</v>
      </c>
    </row>
    <row r="241" spans="2:8" ht="15.75" thickBot="1">
      <c r="B241" s="3"/>
      <c r="C241" s="3"/>
      <c r="D241" s="3"/>
      <c r="E241" s="3"/>
    </row>
    <row r="242" spans="2:8" ht="14.45" customHeight="1">
      <c r="B242" s="289" t="str">
        <f>'2018'!A32</f>
        <v>Hogar</v>
      </c>
      <c r="C242" s="290"/>
      <c r="D242" s="290"/>
      <c r="E242" s="290"/>
      <c r="F242" s="290"/>
      <c r="G242" s="291"/>
    </row>
    <row r="243" spans="2:8" ht="15" customHeight="1" thickBot="1">
      <c r="B243" s="292"/>
      <c r="C243" s="293"/>
      <c r="D243" s="293"/>
      <c r="E243" s="293"/>
      <c r="F243" s="293"/>
      <c r="G243" s="294"/>
    </row>
    <row r="244" spans="2:8" ht="15" customHeight="1">
      <c r="B244" s="297" t="s">
        <v>10</v>
      </c>
      <c r="C244" s="296"/>
      <c r="D244" s="295" t="s">
        <v>11</v>
      </c>
      <c r="E244" s="295"/>
      <c r="F244" s="295"/>
      <c r="G244" s="296"/>
    </row>
    <row r="245" spans="2:8" ht="15" customHeight="1">
      <c r="B245" s="52" t="s">
        <v>32</v>
      </c>
      <c r="C245" s="60" t="s">
        <v>33</v>
      </c>
      <c r="D245" s="52" t="s">
        <v>68</v>
      </c>
      <c r="E245" s="53" t="s">
        <v>69</v>
      </c>
      <c r="F245" s="53" t="s">
        <v>32</v>
      </c>
      <c r="G245" s="60" t="s">
        <v>393</v>
      </c>
    </row>
    <row r="246" spans="2:8" ht="15" customHeight="1">
      <c r="B246" s="55">
        <v>80</v>
      </c>
      <c r="C246" s="66"/>
      <c r="D246" s="57">
        <v>10</v>
      </c>
      <c r="E246" s="58"/>
      <c r="F246" s="58"/>
      <c r="G246" s="33" t="s">
        <v>471</v>
      </c>
    </row>
    <row r="247" spans="2:8" ht="15" customHeight="1">
      <c r="B247" s="55"/>
      <c r="C247" s="33"/>
      <c r="D247" s="57">
        <f>28.31</f>
        <v>28.31</v>
      </c>
      <c r="E247" s="58"/>
      <c r="F247" s="58"/>
      <c r="G247" s="33" t="s">
        <v>478</v>
      </c>
    </row>
    <row r="248" spans="2:8">
      <c r="B248" s="55"/>
      <c r="C248" s="33"/>
      <c r="D248" s="57">
        <f>57.39-D289</f>
        <v>49.55</v>
      </c>
      <c r="E248" s="58"/>
      <c r="F248" s="58"/>
      <c r="G248" s="33" t="s">
        <v>502</v>
      </c>
      <c r="H248" s="164"/>
    </row>
    <row r="249" spans="2:8">
      <c r="B249" s="55"/>
      <c r="C249" s="33"/>
      <c r="D249" s="57">
        <v>129</v>
      </c>
      <c r="E249" s="58"/>
      <c r="F249" s="58"/>
      <c r="G249" s="33" t="s">
        <v>505</v>
      </c>
    </row>
    <row r="250" spans="2:8">
      <c r="B250" s="55"/>
      <c r="C250" s="33"/>
      <c r="D250" s="57">
        <v>271.56</v>
      </c>
      <c r="E250" s="58"/>
      <c r="F250" s="58"/>
      <c r="G250" s="33" t="s">
        <v>509</v>
      </c>
    </row>
    <row r="251" spans="2:8">
      <c r="B251" s="55"/>
      <c r="C251" s="33"/>
      <c r="D251" s="57">
        <v>14.06</v>
      </c>
      <c r="E251" s="58"/>
      <c r="F251" s="58"/>
      <c r="G251" s="33" t="s">
        <v>512</v>
      </c>
    </row>
    <row r="252" spans="2:8">
      <c r="B252" s="55"/>
      <c r="C252" s="33"/>
      <c r="D252" s="57"/>
      <c r="E252" s="58"/>
      <c r="F252" s="58"/>
      <c r="G252" s="33"/>
    </row>
    <row r="253" spans="2:8">
      <c r="B253" s="55"/>
      <c r="C253" s="33"/>
      <c r="D253" s="57"/>
      <c r="E253" s="58"/>
      <c r="F253" s="58"/>
      <c r="G253" s="33"/>
    </row>
    <row r="254" spans="2:8">
      <c r="B254" s="55"/>
      <c r="C254" s="33"/>
      <c r="D254" s="57"/>
      <c r="E254" s="58"/>
      <c r="F254" s="58"/>
      <c r="G254" s="33"/>
    </row>
    <row r="255" spans="2:8">
      <c r="B255" s="55"/>
      <c r="C255" s="33"/>
      <c r="D255" s="57"/>
      <c r="E255" s="58"/>
      <c r="F255" s="58"/>
      <c r="G255" s="33"/>
    </row>
    <row r="256" spans="2:8">
      <c r="B256" s="55"/>
      <c r="C256" s="33"/>
      <c r="D256" s="57"/>
      <c r="E256" s="58"/>
      <c r="F256" s="58"/>
      <c r="G256" s="33"/>
    </row>
    <row r="257" spans="2:7">
      <c r="B257" s="55"/>
      <c r="C257" s="33"/>
      <c r="D257" s="57"/>
      <c r="E257" s="58"/>
      <c r="F257" s="58"/>
      <c r="G257" s="33"/>
    </row>
    <row r="258" spans="2:7">
      <c r="B258" s="55"/>
      <c r="C258" s="33"/>
      <c r="D258" s="57"/>
      <c r="E258" s="58"/>
      <c r="F258" s="58"/>
      <c r="G258" s="33"/>
    </row>
    <row r="259" spans="2:7" ht="15.75" thickBot="1">
      <c r="B259" s="56"/>
      <c r="C259" s="34"/>
      <c r="D259" s="56"/>
      <c r="E259" s="59"/>
      <c r="F259" s="59"/>
      <c r="G259" s="34"/>
    </row>
    <row r="260" spans="2:7" ht="15.75" thickBot="1">
      <c r="B260" s="56">
        <f>SUM(B246:B259)</f>
        <v>80</v>
      </c>
      <c r="C260" s="34" t="s">
        <v>66</v>
      </c>
      <c r="D260" s="56">
        <f>SUM(D246:D259)</f>
        <v>502.48</v>
      </c>
      <c r="E260" s="56">
        <f>SUM(E246:E259)</f>
        <v>0</v>
      </c>
      <c r="F260" s="56">
        <f>SUM(F246:F259)</f>
        <v>0</v>
      </c>
      <c r="G260" s="34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89" t="str">
        <f>'2018'!A33</f>
        <v>Formación</v>
      </c>
      <c r="C262" s="290"/>
      <c r="D262" s="290"/>
      <c r="E262" s="290"/>
      <c r="F262" s="290"/>
      <c r="G262" s="291"/>
    </row>
    <row r="263" spans="2:7" ht="15" customHeight="1" thickBot="1">
      <c r="B263" s="292"/>
      <c r="C263" s="293"/>
      <c r="D263" s="293"/>
      <c r="E263" s="293"/>
      <c r="F263" s="293"/>
      <c r="G263" s="294"/>
    </row>
    <row r="264" spans="2:7">
      <c r="B264" s="297" t="s">
        <v>10</v>
      </c>
      <c r="C264" s="296"/>
      <c r="D264" s="295" t="s">
        <v>11</v>
      </c>
      <c r="E264" s="295"/>
      <c r="F264" s="295"/>
      <c r="G264" s="296"/>
    </row>
    <row r="265" spans="2:7">
      <c r="B265" s="52" t="s">
        <v>32</v>
      </c>
      <c r="C265" s="60" t="s">
        <v>33</v>
      </c>
      <c r="D265" s="52" t="s">
        <v>68</v>
      </c>
      <c r="E265" s="53" t="s">
        <v>69</v>
      </c>
      <c r="F265" s="53" t="s">
        <v>32</v>
      </c>
      <c r="G265" s="60" t="s">
        <v>33</v>
      </c>
    </row>
    <row r="266" spans="2:7">
      <c r="B266" s="54">
        <v>10</v>
      </c>
      <c r="C266" s="36"/>
      <c r="D266" s="57"/>
      <c r="E266" s="58"/>
      <c r="F266" s="58"/>
      <c r="G266" s="33"/>
    </row>
    <row r="267" spans="2:7">
      <c r="B267" s="55"/>
      <c r="C267" s="33"/>
      <c r="D267" s="57"/>
      <c r="E267" s="58"/>
      <c r="F267" s="58"/>
      <c r="G267" s="33"/>
    </row>
    <row r="268" spans="2:7">
      <c r="B268" s="55"/>
      <c r="C268" s="33"/>
      <c r="D268" s="57"/>
      <c r="E268" s="58"/>
      <c r="F268" s="58"/>
      <c r="G268" s="33"/>
    </row>
    <row r="269" spans="2:7">
      <c r="B269" s="55"/>
      <c r="C269" s="33"/>
      <c r="D269" s="57"/>
      <c r="E269" s="58"/>
      <c r="F269" s="58"/>
      <c r="G269" s="33"/>
    </row>
    <row r="270" spans="2:7">
      <c r="B270" s="55"/>
      <c r="C270" s="33"/>
      <c r="D270" s="57"/>
      <c r="E270" s="58"/>
      <c r="F270" s="58"/>
      <c r="G270" s="33"/>
    </row>
    <row r="271" spans="2:7">
      <c r="B271" s="55"/>
      <c r="C271" s="33"/>
      <c r="D271" s="57"/>
      <c r="E271" s="58"/>
      <c r="F271" s="58"/>
      <c r="G271" s="33"/>
    </row>
    <row r="272" spans="2:7">
      <c r="B272" s="55"/>
      <c r="C272" s="33"/>
      <c r="D272" s="57"/>
      <c r="E272" s="58"/>
      <c r="F272" s="58"/>
      <c r="G272" s="33"/>
    </row>
    <row r="273" spans="2:7">
      <c r="B273" s="55"/>
      <c r="C273" s="33"/>
      <c r="D273" s="57"/>
      <c r="E273" s="58"/>
      <c r="F273" s="58"/>
      <c r="G273" s="33"/>
    </row>
    <row r="274" spans="2:7">
      <c r="B274" s="55"/>
      <c r="C274" s="33"/>
      <c r="D274" s="57"/>
      <c r="E274" s="58"/>
      <c r="F274" s="58"/>
      <c r="G274" s="33"/>
    </row>
    <row r="275" spans="2:7">
      <c r="B275" s="55"/>
      <c r="C275" s="33"/>
      <c r="D275" s="57"/>
      <c r="E275" s="58"/>
      <c r="F275" s="58"/>
      <c r="G275" s="33"/>
    </row>
    <row r="276" spans="2:7">
      <c r="B276" s="55"/>
      <c r="C276" s="33"/>
      <c r="D276" s="57"/>
      <c r="E276" s="58"/>
      <c r="F276" s="58"/>
      <c r="G276" s="33"/>
    </row>
    <row r="277" spans="2:7">
      <c r="B277" s="55"/>
      <c r="C277" s="33"/>
      <c r="D277" s="57"/>
      <c r="E277" s="58"/>
      <c r="F277" s="58"/>
      <c r="G277" s="33"/>
    </row>
    <row r="278" spans="2:7">
      <c r="B278" s="55"/>
      <c r="C278" s="33"/>
      <c r="D278" s="57"/>
      <c r="E278" s="58"/>
      <c r="F278" s="58"/>
      <c r="G278" s="33"/>
    </row>
    <row r="279" spans="2:7" ht="15.75" thickBot="1">
      <c r="B279" s="56"/>
      <c r="C279" s="34"/>
      <c r="D279" s="56"/>
      <c r="E279" s="59"/>
      <c r="F279" s="59"/>
      <c r="G279" s="34"/>
    </row>
    <row r="280" spans="2:7" ht="15.75" thickBot="1">
      <c r="B280" s="56">
        <f>SUM(B266:B279)</f>
        <v>10</v>
      </c>
      <c r="C280" s="34" t="s">
        <v>66</v>
      </c>
      <c r="D280" s="56">
        <f>SUM(D266:D279)</f>
        <v>0</v>
      </c>
      <c r="E280" s="56">
        <f>SUM(E266:E279)</f>
        <v>0</v>
      </c>
      <c r="F280" s="56">
        <f>SUM(F266:F279)</f>
        <v>0</v>
      </c>
      <c r="G280" s="34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289" t="str">
        <f>'2018'!A34</f>
        <v>Regalos</v>
      </c>
      <c r="C282" s="290"/>
      <c r="D282" s="290"/>
      <c r="E282" s="290"/>
      <c r="F282" s="290"/>
      <c r="G282" s="291"/>
    </row>
    <row r="283" spans="2:7" ht="15" customHeight="1" thickBot="1">
      <c r="B283" s="292"/>
      <c r="C283" s="293"/>
      <c r="D283" s="293"/>
      <c r="E283" s="293"/>
      <c r="F283" s="293"/>
      <c r="G283" s="294"/>
    </row>
    <row r="284" spans="2:7">
      <c r="B284" s="297" t="s">
        <v>10</v>
      </c>
      <c r="C284" s="296"/>
      <c r="D284" s="295" t="s">
        <v>11</v>
      </c>
      <c r="E284" s="295"/>
      <c r="F284" s="295"/>
      <c r="G284" s="296"/>
    </row>
    <row r="285" spans="2:7">
      <c r="B285" s="52" t="s">
        <v>32</v>
      </c>
      <c r="C285" s="60" t="s">
        <v>33</v>
      </c>
      <c r="D285" s="52" t="s">
        <v>68</v>
      </c>
      <c r="E285" s="53" t="s">
        <v>69</v>
      </c>
      <c r="F285" s="53" t="s">
        <v>32</v>
      </c>
      <c r="G285" s="60" t="s">
        <v>393</v>
      </c>
    </row>
    <row r="286" spans="2:7">
      <c r="B286" s="54">
        <v>120</v>
      </c>
      <c r="C286" s="36" t="s">
        <v>36</v>
      </c>
      <c r="D286" s="57">
        <f>6.5</f>
        <v>6.5</v>
      </c>
      <c r="E286" s="58"/>
      <c r="F286" s="58"/>
      <c r="G286" s="33" t="s">
        <v>450</v>
      </c>
    </row>
    <row r="287" spans="2:7">
      <c r="B287" s="55">
        <v>200</v>
      </c>
      <c r="C287" s="33" t="s">
        <v>427</v>
      </c>
      <c r="D287" s="57"/>
      <c r="E287" s="58">
        <v>20.04</v>
      </c>
      <c r="F287" s="58"/>
      <c r="G287" s="33" t="s">
        <v>492</v>
      </c>
    </row>
    <row r="288" spans="2:7">
      <c r="B288" s="55"/>
      <c r="C288" s="33"/>
      <c r="D288" s="57">
        <v>10</v>
      </c>
      <c r="E288" s="58"/>
      <c r="F288" s="58"/>
      <c r="G288" s="33" t="s">
        <v>494</v>
      </c>
    </row>
    <row r="289" spans="2:7">
      <c r="B289" s="55"/>
      <c r="C289" s="33"/>
      <c r="D289" s="57">
        <f>7.84</f>
        <v>7.84</v>
      </c>
      <c r="E289" s="58"/>
      <c r="F289" s="58"/>
      <c r="G289" s="33" t="s">
        <v>503</v>
      </c>
    </row>
    <row r="290" spans="2:7">
      <c r="B290" s="55"/>
      <c r="C290" s="33"/>
      <c r="D290" s="57">
        <f>39-D289</f>
        <v>31.16</v>
      </c>
      <c r="E290" s="58"/>
      <c r="F290" s="58"/>
      <c r="G290" s="33" t="s">
        <v>504</v>
      </c>
    </row>
    <row r="291" spans="2:7">
      <c r="B291" s="55"/>
      <c r="C291" s="33"/>
      <c r="D291" s="57"/>
      <c r="E291" s="58"/>
      <c r="F291" s="58"/>
      <c r="G291" s="33"/>
    </row>
    <row r="292" spans="2:7">
      <c r="B292" s="55"/>
      <c r="C292" s="33"/>
      <c r="D292" s="57"/>
      <c r="E292" s="58"/>
      <c r="F292" s="58"/>
      <c r="G292" s="33"/>
    </row>
    <row r="293" spans="2:7">
      <c r="B293" s="55"/>
      <c r="C293" s="33"/>
      <c r="D293" s="57"/>
      <c r="E293" s="58"/>
      <c r="F293" s="58"/>
      <c r="G293" s="33"/>
    </row>
    <row r="294" spans="2:7">
      <c r="B294" s="55"/>
      <c r="C294" s="33"/>
      <c r="D294" s="57"/>
      <c r="E294" s="58"/>
      <c r="F294" s="58"/>
      <c r="G294" s="33"/>
    </row>
    <row r="295" spans="2:7">
      <c r="B295" s="55"/>
      <c r="C295" s="33"/>
      <c r="D295" s="57"/>
      <c r="E295" s="58"/>
      <c r="F295" s="58"/>
      <c r="G295" s="33"/>
    </row>
    <row r="296" spans="2:7">
      <c r="B296" s="55"/>
      <c r="C296" s="33"/>
      <c r="D296" s="57"/>
      <c r="E296" s="58"/>
      <c r="F296" s="58"/>
      <c r="G296" s="33"/>
    </row>
    <row r="297" spans="2:7">
      <c r="B297" s="55"/>
      <c r="C297" s="33"/>
      <c r="D297" s="57"/>
      <c r="E297" s="58"/>
      <c r="F297" s="58"/>
      <c r="G297" s="33"/>
    </row>
    <row r="298" spans="2:7">
      <c r="B298" s="55"/>
      <c r="C298" s="33"/>
      <c r="D298" s="57"/>
      <c r="E298" s="58"/>
      <c r="F298" s="58"/>
      <c r="G298" s="33"/>
    </row>
    <row r="299" spans="2:7" ht="15.75" thickBot="1">
      <c r="B299" s="56"/>
      <c r="C299" s="34"/>
      <c r="D299" s="56"/>
      <c r="E299" s="59"/>
      <c r="F299" s="59"/>
      <c r="G299" s="34"/>
    </row>
    <row r="300" spans="2:7" ht="15.75" thickBot="1">
      <c r="B300" s="56">
        <f>SUM(B286:B299)</f>
        <v>320</v>
      </c>
      <c r="C300" s="34" t="s">
        <v>66</v>
      </c>
      <c r="D300" s="56">
        <f>SUM(D286:D299)</f>
        <v>55.5</v>
      </c>
      <c r="E300" s="56">
        <f>SUM(E286:E299)</f>
        <v>20.04</v>
      </c>
      <c r="F300" s="56">
        <f>SUM(F286:F299)</f>
        <v>0</v>
      </c>
      <c r="G300" s="34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89" t="str">
        <f>'2018'!A35</f>
        <v>Salud</v>
      </c>
      <c r="C302" s="290"/>
      <c r="D302" s="290"/>
      <c r="E302" s="290"/>
      <c r="F302" s="290"/>
      <c r="G302" s="291"/>
    </row>
    <row r="303" spans="2:7" ht="15" customHeight="1" thickBot="1">
      <c r="B303" s="292"/>
      <c r="C303" s="293"/>
      <c r="D303" s="293"/>
      <c r="E303" s="293"/>
      <c r="F303" s="293"/>
      <c r="G303" s="294"/>
    </row>
    <row r="304" spans="2:7">
      <c r="B304" s="297" t="s">
        <v>10</v>
      </c>
      <c r="C304" s="296"/>
      <c r="D304" s="295" t="s">
        <v>11</v>
      </c>
      <c r="E304" s="295"/>
      <c r="F304" s="295"/>
      <c r="G304" s="296"/>
    </row>
    <row r="305" spans="2:7">
      <c r="B305" s="52" t="s">
        <v>32</v>
      </c>
      <c r="C305" s="60" t="s">
        <v>33</v>
      </c>
      <c r="D305" s="52" t="s">
        <v>68</v>
      </c>
      <c r="E305" s="53" t="s">
        <v>69</v>
      </c>
      <c r="F305" s="53" t="s">
        <v>32</v>
      </c>
      <c r="G305" s="60" t="s">
        <v>393</v>
      </c>
    </row>
    <row r="306" spans="2:7">
      <c r="B306" s="54">
        <v>100</v>
      </c>
      <c r="C306" s="36" t="s">
        <v>60</v>
      </c>
      <c r="D306" s="57">
        <f>34.5*2</f>
        <v>69</v>
      </c>
      <c r="E306" s="58"/>
      <c r="F306" s="58"/>
      <c r="G306" s="33" t="s">
        <v>225</v>
      </c>
    </row>
    <row r="307" spans="2:7">
      <c r="B307" s="84"/>
      <c r="C307" s="66"/>
      <c r="D307" s="57">
        <f>44.33+13.65</f>
        <v>57.98</v>
      </c>
      <c r="E307" s="58"/>
      <c r="F307" s="58"/>
      <c r="G307" s="33" t="s">
        <v>460</v>
      </c>
    </row>
    <row r="308" spans="2:7">
      <c r="B308" s="84"/>
      <c r="C308" s="66"/>
      <c r="D308" s="57">
        <v>42.55</v>
      </c>
      <c r="E308" s="58"/>
      <c r="F308" s="58"/>
      <c r="G308" s="33" t="s">
        <v>481</v>
      </c>
    </row>
    <row r="309" spans="2:7">
      <c r="B309" s="55"/>
      <c r="C309" s="33"/>
      <c r="D309" s="57" t="s">
        <v>482</v>
      </c>
      <c r="E309" s="58"/>
      <c r="F309" s="58"/>
      <c r="G309" s="33"/>
    </row>
    <row r="310" spans="2:7">
      <c r="B310" s="55"/>
      <c r="C310" s="33"/>
      <c r="D310" s="57"/>
      <c r="E310" s="58"/>
      <c r="F310" s="58"/>
      <c r="G310" s="33"/>
    </row>
    <row r="311" spans="2:7">
      <c r="B311" s="55"/>
      <c r="C311" s="33"/>
      <c r="D311" s="57"/>
      <c r="E311" s="58"/>
      <c r="F311" s="58"/>
      <c r="G311" s="33"/>
    </row>
    <row r="312" spans="2:7">
      <c r="B312" s="55"/>
      <c r="C312" s="33"/>
      <c r="D312" s="57"/>
      <c r="E312" s="58"/>
      <c r="F312" s="58"/>
      <c r="G312" s="33"/>
    </row>
    <row r="313" spans="2:7">
      <c r="B313" s="55"/>
      <c r="C313" s="33"/>
      <c r="D313" s="57"/>
      <c r="E313" s="58"/>
      <c r="F313" s="58"/>
      <c r="G313" s="33"/>
    </row>
    <row r="314" spans="2:7">
      <c r="B314" s="55"/>
      <c r="C314" s="33"/>
      <c r="D314" s="57"/>
      <c r="E314" s="58"/>
      <c r="F314" s="58"/>
      <c r="G314" s="33"/>
    </row>
    <row r="315" spans="2:7">
      <c r="B315" s="55"/>
      <c r="C315" s="33"/>
      <c r="D315" s="57"/>
      <c r="E315" s="58"/>
      <c r="F315" s="58"/>
      <c r="G315" s="33"/>
    </row>
    <row r="316" spans="2:7">
      <c r="B316" s="55"/>
      <c r="C316" s="33"/>
      <c r="D316" s="57"/>
      <c r="E316" s="58"/>
      <c r="F316" s="58"/>
      <c r="G316" s="33"/>
    </row>
    <row r="317" spans="2:7">
      <c r="B317" s="55"/>
      <c r="C317" s="33"/>
      <c r="D317" s="57"/>
      <c r="E317" s="58"/>
      <c r="F317" s="58"/>
      <c r="G317" s="33"/>
    </row>
    <row r="318" spans="2:7">
      <c r="B318" s="55"/>
      <c r="C318" s="33"/>
      <c r="D318" s="57"/>
      <c r="E318" s="58"/>
      <c r="F318" s="58"/>
      <c r="G318" s="33"/>
    </row>
    <row r="319" spans="2:7" ht="15.75" thickBot="1">
      <c r="B319" s="56"/>
      <c r="C319" s="34"/>
      <c r="D319" s="56"/>
      <c r="E319" s="59"/>
      <c r="F319" s="59"/>
      <c r="G319" s="34"/>
    </row>
    <row r="320" spans="2:7" ht="15.75" thickBot="1">
      <c r="B320" s="56">
        <f>SUM(B306:B319)</f>
        <v>100</v>
      </c>
      <c r="C320" s="34" t="s">
        <v>66</v>
      </c>
      <c r="D320" s="56">
        <f>SUM(D306:D319)</f>
        <v>169.52999999999997</v>
      </c>
      <c r="E320" s="56">
        <f>SUM(E306:E319)</f>
        <v>0</v>
      </c>
      <c r="F320" s="56">
        <f>SUM(F306:F319)</f>
        <v>0</v>
      </c>
      <c r="G320" s="34" t="s">
        <v>66</v>
      </c>
    </row>
    <row r="321" spans="2:7" ht="15.75" thickBot="1"/>
    <row r="322" spans="2:7" ht="14.45" customHeight="1">
      <c r="B322" s="289" t="str">
        <f>'2018'!A36</f>
        <v>Martina</v>
      </c>
      <c r="C322" s="290"/>
      <c r="D322" s="290"/>
      <c r="E322" s="290"/>
      <c r="F322" s="290"/>
      <c r="G322" s="291"/>
    </row>
    <row r="323" spans="2:7" ht="15" customHeight="1" thickBot="1">
      <c r="B323" s="292"/>
      <c r="C323" s="293"/>
      <c r="D323" s="293"/>
      <c r="E323" s="293"/>
      <c r="F323" s="293"/>
      <c r="G323" s="294"/>
    </row>
    <row r="324" spans="2:7">
      <c r="B324" s="297" t="s">
        <v>10</v>
      </c>
      <c r="C324" s="296"/>
      <c r="D324" s="295" t="s">
        <v>11</v>
      </c>
      <c r="E324" s="295"/>
      <c r="F324" s="295"/>
      <c r="G324" s="296"/>
    </row>
    <row r="325" spans="2:7">
      <c r="B325" s="52" t="s">
        <v>32</v>
      </c>
      <c r="C325" s="60" t="s">
        <v>33</v>
      </c>
      <c r="D325" s="52" t="s">
        <v>68</v>
      </c>
      <c r="E325" s="53" t="s">
        <v>69</v>
      </c>
      <c r="F325" s="53" t="s">
        <v>32</v>
      </c>
      <c r="G325" s="60" t="s">
        <v>393</v>
      </c>
    </row>
    <row r="326" spans="2:7">
      <c r="B326" s="54">
        <v>10</v>
      </c>
      <c r="C326" s="36"/>
      <c r="D326" s="57"/>
      <c r="E326" s="58">
        <v>39.9</v>
      </c>
      <c r="F326" s="58"/>
      <c r="G326" s="33" t="s">
        <v>456</v>
      </c>
    </row>
    <row r="327" spans="2:7">
      <c r="B327" s="55"/>
      <c r="C327" s="33"/>
      <c r="D327" s="57"/>
      <c r="E327" s="58">
        <v>120.56</v>
      </c>
      <c r="F327" s="58"/>
      <c r="G327" s="33" t="s">
        <v>488</v>
      </c>
    </row>
    <row r="328" spans="2:7">
      <c r="B328" s="55"/>
      <c r="C328" s="33"/>
      <c r="D328" s="57">
        <v>12.25</v>
      </c>
      <c r="E328" s="58"/>
      <c r="F328" s="58"/>
      <c r="G328" s="33" t="s">
        <v>499</v>
      </c>
    </row>
    <row r="329" spans="2:7">
      <c r="B329" s="55"/>
      <c r="C329" s="33"/>
      <c r="D329" s="57"/>
      <c r="E329" s="58"/>
      <c r="F329" s="58"/>
      <c r="G329" s="33"/>
    </row>
    <row r="330" spans="2:7">
      <c r="B330" s="55"/>
      <c r="C330" s="33"/>
      <c r="D330" s="57"/>
      <c r="E330" s="58"/>
      <c r="F330" s="58"/>
      <c r="G330" s="33"/>
    </row>
    <row r="331" spans="2:7">
      <c r="B331" s="55"/>
      <c r="C331" s="33"/>
      <c r="D331" s="57"/>
      <c r="E331" s="58"/>
      <c r="F331" s="58"/>
      <c r="G331" s="33"/>
    </row>
    <row r="332" spans="2:7">
      <c r="B332" s="55"/>
      <c r="C332" s="33"/>
      <c r="D332" s="57"/>
      <c r="E332" s="58"/>
      <c r="F332" s="58"/>
      <c r="G332" s="33"/>
    </row>
    <row r="333" spans="2:7">
      <c r="B333" s="55"/>
      <c r="C333" s="33"/>
      <c r="D333" s="57"/>
      <c r="E333" s="58"/>
      <c r="F333" s="58"/>
      <c r="G333" s="33"/>
    </row>
    <row r="334" spans="2:7">
      <c r="B334" s="55"/>
      <c r="C334" s="33"/>
      <c r="D334" s="57"/>
      <c r="E334" s="58"/>
      <c r="F334" s="58"/>
      <c r="G334" s="33"/>
    </row>
    <row r="335" spans="2:7">
      <c r="B335" s="55"/>
      <c r="C335" s="33"/>
      <c r="D335" s="57"/>
      <c r="E335" s="58"/>
      <c r="F335" s="58"/>
      <c r="G335" s="33"/>
    </row>
    <row r="336" spans="2:7">
      <c r="B336" s="55"/>
      <c r="C336" s="33"/>
      <c r="D336" s="57"/>
      <c r="E336" s="58"/>
      <c r="F336" s="58"/>
      <c r="G336" s="33"/>
    </row>
    <row r="337" spans="2:7">
      <c r="B337" s="55"/>
      <c r="C337" s="33"/>
      <c r="D337" s="57"/>
      <c r="E337" s="58"/>
      <c r="F337" s="58"/>
      <c r="G337" s="33"/>
    </row>
    <row r="338" spans="2:7">
      <c r="B338" s="55"/>
      <c r="C338" s="33"/>
      <c r="D338" s="57"/>
      <c r="E338" s="58"/>
      <c r="F338" s="58"/>
      <c r="G338" s="33"/>
    </row>
    <row r="339" spans="2:7" ht="15.75" thickBot="1">
      <c r="B339" s="56"/>
      <c r="C339" s="34"/>
      <c r="D339" s="56"/>
      <c r="E339" s="59"/>
      <c r="F339" s="59"/>
      <c r="G339" s="34"/>
    </row>
    <row r="340" spans="2:7" ht="15.75" thickBot="1">
      <c r="B340" s="56">
        <f>SUM(B326:B339)</f>
        <v>10</v>
      </c>
      <c r="C340" s="34" t="s">
        <v>66</v>
      </c>
      <c r="D340" s="56">
        <f>SUM(D326:D339)</f>
        <v>12.25</v>
      </c>
      <c r="E340" s="56">
        <f>SUM(E326:E339)</f>
        <v>160.46</v>
      </c>
      <c r="F340" s="56">
        <f>SUM(F326:F339)</f>
        <v>0</v>
      </c>
      <c r="G340" s="34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89" t="str">
        <f>'2018'!A37</f>
        <v>Impuestos</v>
      </c>
      <c r="C342" s="290"/>
      <c r="D342" s="290"/>
      <c r="E342" s="290"/>
      <c r="F342" s="290"/>
      <c r="G342" s="291"/>
    </row>
    <row r="343" spans="2:7" ht="15" customHeight="1" thickBot="1">
      <c r="B343" s="292"/>
      <c r="C343" s="293"/>
      <c r="D343" s="293"/>
      <c r="E343" s="293"/>
      <c r="F343" s="293"/>
      <c r="G343" s="294"/>
    </row>
    <row r="344" spans="2:7">
      <c r="B344" s="297" t="s">
        <v>10</v>
      </c>
      <c r="C344" s="296"/>
      <c r="D344" s="295" t="s">
        <v>11</v>
      </c>
      <c r="E344" s="295"/>
      <c r="F344" s="295"/>
      <c r="G344" s="296"/>
    </row>
    <row r="345" spans="2:7">
      <c r="B345" s="52" t="s">
        <v>32</v>
      </c>
      <c r="C345" s="60" t="s">
        <v>33</v>
      </c>
      <c r="D345" s="52" t="s">
        <v>68</v>
      </c>
      <c r="E345" s="53" t="s">
        <v>69</v>
      </c>
      <c r="F345" s="53" t="s">
        <v>32</v>
      </c>
      <c r="G345" s="60" t="s">
        <v>393</v>
      </c>
    </row>
    <row r="346" spans="2:7">
      <c r="B346" s="54">
        <v>30</v>
      </c>
      <c r="C346" s="36" t="s">
        <v>119</v>
      </c>
      <c r="D346" s="57">
        <v>86</v>
      </c>
      <c r="E346" s="58"/>
      <c r="F346" s="58"/>
      <c r="G346" s="33" t="s">
        <v>475</v>
      </c>
    </row>
    <row r="347" spans="2:7">
      <c r="B347" s="55"/>
      <c r="C347" s="33"/>
      <c r="D347" s="57"/>
      <c r="E347" s="58"/>
      <c r="F347" s="58"/>
      <c r="G347" s="33"/>
    </row>
    <row r="348" spans="2:7">
      <c r="B348" s="55"/>
      <c r="C348" s="33"/>
      <c r="D348" s="57"/>
      <c r="E348" s="58"/>
      <c r="F348" s="58"/>
      <c r="G348" s="33"/>
    </row>
    <row r="349" spans="2:7">
      <c r="B349" s="55"/>
      <c r="C349" s="33"/>
      <c r="D349" s="57"/>
      <c r="E349" s="58"/>
      <c r="F349" s="58"/>
      <c r="G349" s="33"/>
    </row>
    <row r="350" spans="2:7">
      <c r="B350" s="55"/>
      <c r="C350" s="33"/>
      <c r="D350" s="57"/>
      <c r="E350" s="58"/>
      <c r="F350" s="58"/>
      <c r="G350" s="33"/>
    </row>
    <row r="351" spans="2:7">
      <c r="B351" s="55"/>
      <c r="C351" s="33"/>
      <c r="D351" s="57"/>
      <c r="E351" s="58"/>
      <c r="F351" s="58"/>
      <c r="G351" s="33"/>
    </row>
    <row r="352" spans="2:7">
      <c r="B352" s="55"/>
      <c r="C352" s="33"/>
      <c r="D352" s="57"/>
      <c r="E352" s="58"/>
      <c r="F352" s="58"/>
      <c r="G352" s="33"/>
    </row>
    <row r="353" spans="2:7">
      <c r="B353" s="55"/>
      <c r="C353" s="33"/>
      <c r="D353" s="57"/>
      <c r="E353" s="58"/>
      <c r="F353" s="58"/>
      <c r="G353" s="33"/>
    </row>
    <row r="354" spans="2:7">
      <c r="B354" s="55"/>
      <c r="C354" s="33"/>
      <c r="D354" s="57"/>
      <c r="E354" s="58"/>
      <c r="F354" s="58"/>
      <c r="G354" s="33"/>
    </row>
    <row r="355" spans="2:7">
      <c r="B355" s="55"/>
      <c r="C355" s="33"/>
      <c r="D355" s="57"/>
      <c r="E355" s="58"/>
      <c r="F355" s="58"/>
      <c r="G355" s="33"/>
    </row>
    <row r="356" spans="2:7">
      <c r="B356" s="55"/>
      <c r="C356" s="33"/>
      <c r="D356" s="57"/>
      <c r="E356" s="58"/>
      <c r="F356" s="58"/>
      <c r="G356" s="33"/>
    </row>
    <row r="357" spans="2:7">
      <c r="B357" s="55"/>
      <c r="C357" s="33"/>
      <c r="D357" s="57"/>
      <c r="E357" s="58"/>
      <c r="F357" s="58"/>
      <c r="G357" s="33"/>
    </row>
    <row r="358" spans="2:7">
      <c r="B358" s="55"/>
      <c r="C358" s="33"/>
      <c r="D358" s="57"/>
      <c r="E358" s="58"/>
      <c r="F358" s="58"/>
      <c r="G358" s="33"/>
    </row>
    <row r="359" spans="2:7" ht="15.75" thickBot="1">
      <c r="B359" s="56"/>
      <c r="C359" s="34"/>
      <c r="D359" s="56"/>
      <c r="E359" s="59"/>
      <c r="F359" s="59"/>
      <c r="G359" s="34"/>
    </row>
    <row r="360" spans="2:7" ht="15.75" thickBot="1">
      <c r="B360" s="56">
        <f>SUM(B346:B359)</f>
        <v>30</v>
      </c>
      <c r="C360" s="34" t="s">
        <v>66</v>
      </c>
      <c r="D360" s="56">
        <f>SUM(D346:D359)</f>
        <v>86</v>
      </c>
      <c r="E360" s="56">
        <f>SUM(E346:E359)</f>
        <v>0</v>
      </c>
      <c r="F360" s="56">
        <f>SUM(F346:F359)</f>
        <v>0</v>
      </c>
      <c r="G360" s="34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89" t="str">
        <f>'2018'!A38</f>
        <v>Gastos Curros</v>
      </c>
      <c r="C362" s="290"/>
      <c r="D362" s="290"/>
      <c r="E362" s="290"/>
      <c r="F362" s="290"/>
      <c r="G362" s="291"/>
    </row>
    <row r="363" spans="2:7" ht="15" customHeight="1" thickBot="1">
      <c r="B363" s="292"/>
      <c r="C363" s="293"/>
      <c r="D363" s="293"/>
      <c r="E363" s="293"/>
      <c r="F363" s="293"/>
      <c r="G363" s="294"/>
    </row>
    <row r="364" spans="2:7">
      <c r="B364" s="297" t="s">
        <v>10</v>
      </c>
      <c r="C364" s="296"/>
      <c r="D364" s="295" t="s">
        <v>11</v>
      </c>
      <c r="E364" s="295"/>
      <c r="F364" s="295"/>
      <c r="G364" s="296"/>
    </row>
    <row r="365" spans="2:7">
      <c r="B365" s="52" t="s">
        <v>32</v>
      </c>
      <c r="C365" s="60" t="s">
        <v>33</v>
      </c>
      <c r="D365" s="52" t="s">
        <v>68</v>
      </c>
      <c r="E365" s="53" t="s">
        <v>69</v>
      </c>
      <c r="F365" s="53" t="s">
        <v>32</v>
      </c>
      <c r="G365" s="60" t="s">
        <v>393</v>
      </c>
    </row>
    <row r="366" spans="2:7">
      <c r="B366" s="54">
        <v>103</v>
      </c>
      <c r="C366" s="36" t="s">
        <v>36</v>
      </c>
      <c r="D366" s="57"/>
      <c r="E366" s="58"/>
      <c r="F366" s="58">
        <f>4.45+3.4+3.4+4+3.4+3.4+3.4+3.4+4.45+3.4+3.4+3.4+2.65-D51+4.5+4.7+3.4</f>
        <v>57.199999999999996</v>
      </c>
      <c r="G366" s="70" t="s">
        <v>91</v>
      </c>
    </row>
    <row r="367" spans="2:7">
      <c r="B367" s="55"/>
      <c r="C367" s="33"/>
      <c r="D367" s="57">
        <v>7.7</v>
      </c>
      <c r="E367" s="58"/>
      <c r="F367" s="58"/>
      <c r="G367" s="70" t="s">
        <v>489</v>
      </c>
    </row>
    <row r="368" spans="2:7">
      <c r="B368" s="55"/>
      <c r="C368" s="33"/>
      <c r="D368" s="57"/>
      <c r="E368" s="58">
        <f>57.08-E287-E507</f>
        <v>25.77</v>
      </c>
      <c r="F368" s="58"/>
      <c r="G368" s="33" t="s">
        <v>490</v>
      </c>
    </row>
    <row r="369" spans="2:7">
      <c r="B369" s="55"/>
      <c r="C369" s="33"/>
      <c r="D369" s="57"/>
      <c r="E369" s="58"/>
      <c r="F369" s="58"/>
      <c r="G369" s="33"/>
    </row>
    <row r="370" spans="2:7">
      <c r="B370" s="55"/>
      <c r="C370" s="33"/>
      <c r="D370" s="57"/>
      <c r="E370" s="58"/>
      <c r="F370" s="58"/>
      <c r="G370" s="33"/>
    </row>
    <row r="371" spans="2:7">
      <c r="B371" s="55"/>
      <c r="C371" s="33"/>
      <c r="D371" s="57"/>
      <c r="E371" s="58"/>
      <c r="F371" s="58"/>
      <c r="G371" s="33"/>
    </row>
    <row r="372" spans="2:7">
      <c r="B372" s="55"/>
      <c r="C372" s="33"/>
      <c r="D372" s="57"/>
      <c r="E372" s="58"/>
      <c r="F372" s="58"/>
      <c r="G372" s="33"/>
    </row>
    <row r="373" spans="2:7">
      <c r="B373" s="55"/>
      <c r="C373" s="33"/>
      <c r="D373" s="57"/>
      <c r="E373" s="58"/>
      <c r="F373" s="58"/>
      <c r="G373" s="33"/>
    </row>
    <row r="374" spans="2:7">
      <c r="B374" s="55"/>
      <c r="C374" s="33"/>
      <c r="D374" s="57"/>
      <c r="E374" s="58"/>
      <c r="F374" s="58"/>
      <c r="G374" s="33"/>
    </row>
    <row r="375" spans="2:7">
      <c r="B375" s="55"/>
      <c r="C375" s="33"/>
      <c r="D375" s="57"/>
      <c r="E375" s="58"/>
      <c r="F375" s="58"/>
      <c r="G375" s="33"/>
    </row>
    <row r="376" spans="2:7">
      <c r="B376" s="55"/>
      <c r="C376" s="33"/>
      <c r="D376" s="57"/>
      <c r="E376" s="58"/>
      <c r="F376" s="58"/>
      <c r="G376" s="33"/>
    </row>
    <row r="377" spans="2:7">
      <c r="B377" s="55"/>
      <c r="C377" s="33"/>
      <c r="D377" s="57"/>
      <c r="E377" s="58"/>
      <c r="F377" s="58"/>
      <c r="G377" s="33"/>
    </row>
    <row r="378" spans="2:7">
      <c r="B378" s="55"/>
      <c r="C378" s="33"/>
      <c r="D378" s="57"/>
      <c r="E378" s="58"/>
      <c r="F378" s="58"/>
      <c r="G378" s="33"/>
    </row>
    <row r="379" spans="2:7" ht="15.75" thickBot="1">
      <c r="B379" s="56"/>
      <c r="C379" s="34"/>
      <c r="D379" s="56"/>
      <c r="E379" s="59"/>
      <c r="F379" s="59"/>
      <c r="G379" s="34"/>
    </row>
    <row r="380" spans="2:7" ht="15.75" thickBot="1">
      <c r="B380" s="56">
        <f>SUM(B366:B379)</f>
        <v>103</v>
      </c>
      <c r="C380" s="34" t="s">
        <v>66</v>
      </c>
      <c r="D380" s="56">
        <f>SUM(D366:D379)</f>
        <v>7.7</v>
      </c>
      <c r="E380" s="56">
        <f>SUM(E366:E379)</f>
        <v>25.77</v>
      </c>
      <c r="F380" s="56">
        <f>SUM(F366:F379)</f>
        <v>57.199999999999996</v>
      </c>
      <c r="G380" s="34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89" t="str">
        <f>'2018'!A39</f>
        <v>Dreamed Holidays</v>
      </c>
      <c r="C382" s="290"/>
      <c r="D382" s="290"/>
      <c r="E382" s="290"/>
      <c r="F382" s="290"/>
      <c r="G382" s="291"/>
    </row>
    <row r="383" spans="2:7" ht="15" customHeight="1" thickBot="1">
      <c r="B383" s="292"/>
      <c r="C383" s="293"/>
      <c r="D383" s="293"/>
      <c r="E383" s="293"/>
      <c r="F383" s="293"/>
      <c r="G383" s="294"/>
    </row>
    <row r="384" spans="2:7">
      <c r="B384" s="297" t="s">
        <v>10</v>
      </c>
      <c r="C384" s="296"/>
      <c r="D384" s="295" t="s">
        <v>11</v>
      </c>
      <c r="E384" s="295"/>
      <c r="F384" s="295"/>
      <c r="G384" s="296"/>
    </row>
    <row r="385" spans="2:7">
      <c r="B385" s="52" t="s">
        <v>32</v>
      </c>
      <c r="C385" s="60" t="s">
        <v>33</v>
      </c>
      <c r="D385" s="52" t="s">
        <v>68</v>
      </c>
      <c r="E385" s="53" t="s">
        <v>69</v>
      </c>
      <c r="F385" s="53" t="s">
        <v>32</v>
      </c>
      <c r="G385" s="60" t="s">
        <v>33</v>
      </c>
    </row>
    <row r="386" spans="2:7">
      <c r="B386" s="54">
        <v>10</v>
      </c>
      <c r="C386" s="36"/>
      <c r="D386" s="57"/>
      <c r="E386" s="58"/>
      <c r="F386" s="58"/>
      <c r="G386" s="33"/>
    </row>
    <row r="387" spans="2:7">
      <c r="B387" s="55"/>
      <c r="C387" s="33"/>
      <c r="D387" s="57"/>
      <c r="E387" s="58"/>
      <c r="F387" s="58"/>
      <c r="G387" s="33"/>
    </row>
    <row r="388" spans="2:7">
      <c r="B388" s="55"/>
      <c r="C388" s="33"/>
      <c r="D388" s="57"/>
      <c r="E388" s="58"/>
      <c r="F388" s="58"/>
      <c r="G388" s="33"/>
    </row>
    <row r="389" spans="2:7">
      <c r="B389" s="55"/>
      <c r="C389" s="33"/>
      <c r="D389" s="57"/>
      <c r="E389" s="58"/>
      <c r="F389" s="58"/>
      <c r="G389" s="33"/>
    </row>
    <row r="390" spans="2:7">
      <c r="B390" s="55"/>
      <c r="C390" s="33"/>
      <c r="D390" s="57"/>
      <c r="E390" s="58"/>
      <c r="F390" s="58"/>
      <c r="G390" s="33"/>
    </row>
    <row r="391" spans="2:7">
      <c r="B391" s="55"/>
      <c r="C391" s="33"/>
      <c r="D391" s="57"/>
      <c r="E391" s="58"/>
      <c r="F391" s="58"/>
      <c r="G391" s="33"/>
    </row>
    <row r="392" spans="2:7">
      <c r="B392" s="55"/>
      <c r="C392" s="33"/>
      <c r="D392" s="57"/>
      <c r="E392" s="58"/>
      <c r="F392" s="58"/>
      <c r="G392" s="33"/>
    </row>
    <row r="393" spans="2:7">
      <c r="B393" s="55"/>
      <c r="C393" s="33"/>
      <c r="D393" s="57"/>
      <c r="E393" s="58"/>
      <c r="F393" s="58"/>
      <c r="G393" s="33"/>
    </row>
    <row r="394" spans="2:7">
      <c r="B394" s="55"/>
      <c r="C394" s="33"/>
      <c r="D394" s="57"/>
      <c r="E394" s="58"/>
      <c r="F394" s="58"/>
      <c r="G394" s="33"/>
    </row>
    <row r="395" spans="2:7">
      <c r="B395" s="55"/>
      <c r="C395" s="33"/>
      <c r="D395" s="57"/>
      <c r="E395" s="58"/>
      <c r="F395" s="58"/>
      <c r="G395" s="33"/>
    </row>
    <row r="396" spans="2:7">
      <c r="B396" s="55"/>
      <c r="C396" s="33"/>
      <c r="D396" s="57"/>
      <c r="E396" s="58"/>
      <c r="F396" s="58"/>
      <c r="G396" s="33"/>
    </row>
    <row r="397" spans="2:7">
      <c r="B397" s="55"/>
      <c r="C397" s="33"/>
      <c r="D397" s="57"/>
      <c r="E397" s="58"/>
      <c r="F397" s="58"/>
      <c r="G397" s="33"/>
    </row>
    <row r="398" spans="2:7">
      <c r="B398" s="55"/>
      <c r="C398" s="33"/>
      <c r="D398" s="57"/>
      <c r="E398" s="58"/>
      <c r="F398" s="58"/>
      <c r="G398" s="33"/>
    </row>
    <row r="399" spans="2:7" ht="15.75" thickBot="1">
      <c r="B399" s="56"/>
      <c r="C399" s="34"/>
      <c r="D399" s="56"/>
      <c r="E399" s="59"/>
      <c r="F399" s="59"/>
      <c r="G399" s="34"/>
    </row>
    <row r="400" spans="2:7" ht="15.75" thickBot="1">
      <c r="B400" s="56">
        <f>SUM(B386:B399)</f>
        <v>10</v>
      </c>
      <c r="C400" s="34" t="s">
        <v>66</v>
      </c>
      <c r="D400" s="56">
        <f>SUM(D386:D399)</f>
        <v>0</v>
      </c>
      <c r="E400" s="56">
        <f>SUM(E386:E399)</f>
        <v>0</v>
      </c>
      <c r="F400" s="56">
        <f>SUM(F386:F399)</f>
        <v>0</v>
      </c>
      <c r="G400" s="34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89" t="str">
        <f>'2018'!A40</f>
        <v>Financieros</v>
      </c>
      <c r="C402" s="290"/>
      <c r="D402" s="290"/>
      <c r="E402" s="290"/>
      <c r="F402" s="290"/>
      <c r="G402" s="291"/>
    </row>
    <row r="403" spans="2:7" ht="15" customHeight="1" thickBot="1">
      <c r="B403" s="292"/>
      <c r="C403" s="293"/>
      <c r="D403" s="293"/>
      <c r="E403" s="293"/>
      <c r="F403" s="293"/>
      <c r="G403" s="294"/>
    </row>
    <row r="404" spans="2:7">
      <c r="B404" s="297" t="s">
        <v>10</v>
      </c>
      <c r="C404" s="296"/>
      <c r="D404" s="295" t="s">
        <v>11</v>
      </c>
      <c r="E404" s="295"/>
      <c r="F404" s="295"/>
      <c r="G404" s="296"/>
    </row>
    <row r="405" spans="2:7">
      <c r="B405" s="52" t="s">
        <v>32</v>
      </c>
      <c r="C405" s="60" t="s">
        <v>33</v>
      </c>
      <c r="D405" s="52" t="s">
        <v>68</v>
      </c>
      <c r="E405" s="53" t="s">
        <v>69</v>
      </c>
      <c r="F405" s="53" t="s">
        <v>32</v>
      </c>
      <c r="G405" s="60" t="s">
        <v>33</v>
      </c>
    </row>
    <row r="406" spans="2:7">
      <c r="B406" s="54"/>
      <c r="C406" s="36"/>
      <c r="D406" s="57"/>
      <c r="E406" s="58"/>
      <c r="F406" s="58"/>
      <c r="G406" s="33"/>
    </row>
    <row r="407" spans="2:7">
      <c r="B407" s="55"/>
      <c r="C407" s="33"/>
      <c r="D407" s="57"/>
      <c r="E407" s="58"/>
      <c r="F407" s="58"/>
      <c r="G407" s="33"/>
    </row>
    <row r="408" spans="2:7">
      <c r="B408" s="55"/>
      <c r="C408" s="33"/>
      <c r="D408" s="57"/>
      <c r="E408" s="58"/>
      <c r="F408" s="58"/>
      <c r="G408" s="33"/>
    </row>
    <row r="409" spans="2:7">
      <c r="B409" s="55"/>
      <c r="C409" s="33"/>
      <c r="D409" s="57"/>
      <c r="E409" s="58"/>
      <c r="F409" s="58"/>
      <c r="G409" s="33"/>
    </row>
    <row r="410" spans="2:7">
      <c r="B410" s="55"/>
      <c r="C410" s="33"/>
      <c r="D410" s="57"/>
      <c r="E410" s="58"/>
      <c r="F410" s="58"/>
      <c r="G410" s="33"/>
    </row>
    <row r="411" spans="2:7">
      <c r="B411" s="55"/>
      <c r="C411" s="33"/>
      <c r="D411" s="57"/>
      <c r="E411" s="58"/>
      <c r="F411" s="58"/>
      <c r="G411" s="33"/>
    </row>
    <row r="412" spans="2:7">
      <c r="B412" s="55"/>
      <c r="C412" s="33"/>
      <c r="D412" s="57"/>
      <c r="E412" s="58"/>
      <c r="F412" s="58"/>
      <c r="G412" s="33"/>
    </row>
    <row r="413" spans="2:7">
      <c r="B413" s="55"/>
      <c r="C413" s="33"/>
      <c r="D413" s="57"/>
      <c r="E413" s="58"/>
      <c r="F413" s="58"/>
      <c r="G413" s="33"/>
    </row>
    <row r="414" spans="2:7">
      <c r="B414" s="55"/>
      <c r="C414" s="33"/>
      <c r="D414" s="57"/>
      <c r="E414" s="58"/>
      <c r="F414" s="58"/>
      <c r="G414" s="33"/>
    </row>
    <row r="415" spans="2:7">
      <c r="B415" s="55"/>
      <c r="C415" s="33"/>
      <c r="D415" s="57"/>
      <c r="E415" s="58"/>
      <c r="F415" s="58"/>
      <c r="G415" s="33"/>
    </row>
    <row r="416" spans="2:7">
      <c r="B416" s="55"/>
      <c r="C416" s="33"/>
      <c r="D416" s="57"/>
      <c r="E416" s="58"/>
      <c r="F416" s="58"/>
      <c r="G416" s="33"/>
    </row>
    <row r="417" spans="2:7">
      <c r="B417" s="55"/>
      <c r="C417" s="33"/>
      <c r="D417" s="57"/>
      <c r="E417" s="58"/>
      <c r="F417" s="58"/>
      <c r="G417" s="33"/>
    </row>
    <row r="418" spans="2:7">
      <c r="B418" s="55"/>
      <c r="C418" s="33"/>
      <c r="D418" s="57"/>
      <c r="E418" s="58"/>
      <c r="F418" s="58"/>
      <c r="G418" s="33"/>
    </row>
    <row r="419" spans="2:7" ht="15.75" thickBot="1">
      <c r="B419" s="56"/>
      <c r="C419" s="34"/>
      <c r="D419" s="56"/>
      <c r="E419" s="59"/>
      <c r="F419" s="59"/>
      <c r="G419" s="34"/>
    </row>
    <row r="420" spans="2:7" ht="15.75" thickBot="1">
      <c r="B420" s="56">
        <f>SUM(B406:B419)</f>
        <v>0</v>
      </c>
      <c r="C420" s="34" t="s">
        <v>66</v>
      </c>
      <c r="D420" s="56">
        <f>SUM(D406:D419)</f>
        <v>0</v>
      </c>
      <c r="E420" s="56">
        <f>SUM(E406:E419)</f>
        <v>0</v>
      </c>
      <c r="F420" s="56">
        <f>SUM(F406:F419)</f>
        <v>0</v>
      </c>
      <c r="G420" s="34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89" t="str">
        <f>'2018'!A41</f>
        <v>Ahorros Colchón</v>
      </c>
      <c r="C422" s="307"/>
      <c r="D422" s="307"/>
      <c r="E422" s="307"/>
      <c r="F422" s="307"/>
      <c r="G422" s="308"/>
    </row>
    <row r="423" spans="2:7" ht="15" customHeight="1" thickBot="1">
      <c r="B423" s="309"/>
      <c r="C423" s="310"/>
      <c r="D423" s="310"/>
      <c r="E423" s="310"/>
      <c r="F423" s="310"/>
      <c r="G423" s="311"/>
    </row>
    <row r="424" spans="2:7">
      <c r="B424" s="297" t="s">
        <v>10</v>
      </c>
      <c r="C424" s="296"/>
      <c r="D424" s="295" t="s">
        <v>11</v>
      </c>
      <c r="E424" s="295"/>
      <c r="F424" s="295"/>
      <c r="G424" s="296"/>
    </row>
    <row r="425" spans="2:7">
      <c r="B425" s="52" t="s">
        <v>32</v>
      </c>
      <c r="C425" s="60" t="s">
        <v>33</v>
      </c>
      <c r="D425" s="52" t="s">
        <v>68</v>
      </c>
      <c r="E425" s="53" t="s">
        <v>69</v>
      </c>
      <c r="F425" s="53" t="s">
        <v>32</v>
      </c>
      <c r="G425" s="60" t="s">
        <v>33</v>
      </c>
    </row>
    <row r="426" spans="2:7">
      <c r="B426" s="54">
        <f>-4618.3+'2018'!AA17</f>
        <v>-190.40000000000055</v>
      </c>
      <c r="C426" s="36" t="s">
        <v>404</v>
      </c>
      <c r="D426" s="57"/>
      <c r="E426" s="58"/>
      <c r="F426" s="58"/>
      <c r="G426" s="33"/>
    </row>
    <row r="427" spans="2:7">
      <c r="B427" s="55"/>
      <c r="C427" s="33"/>
      <c r="D427" s="57"/>
      <c r="E427" s="58"/>
      <c r="F427" s="58"/>
      <c r="G427" s="33"/>
    </row>
    <row r="428" spans="2:7">
      <c r="B428" s="55"/>
      <c r="C428" s="33"/>
      <c r="D428" s="57"/>
      <c r="E428" s="58"/>
      <c r="F428" s="58"/>
      <c r="G428" s="33"/>
    </row>
    <row r="429" spans="2:7">
      <c r="B429" s="55"/>
      <c r="C429" s="33"/>
      <c r="D429" s="57"/>
      <c r="E429" s="58"/>
      <c r="F429" s="58"/>
      <c r="G429" s="33"/>
    </row>
    <row r="430" spans="2:7">
      <c r="B430" s="55"/>
      <c r="C430" s="33"/>
      <c r="D430" s="57"/>
      <c r="E430" s="58"/>
      <c r="F430" s="58"/>
      <c r="G430" s="33"/>
    </row>
    <row r="431" spans="2:7">
      <c r="B431" s="55"/>
      <c r="C431" s="33"/>
      <c r="D431" s="57"/>
      <c r="E431" s="58"/>
      <c r="F431" s="58"/>
      <c r="G431" s="33"/>
    </row>
    <row r="432" spans="2:7">
      <c r="B432" s="55"/>
      <c r="C432" s="33"/>
      <c r="D432" s="57"/>
      <c r="E432" s="58"/>
      <c r="F432" s="58"/>
      <c r="G432" s="33"/>
    </row>
    <row r="433" spans="2:7">
      <c r="B433" s="55"/>
      <c r="C433" s="33"/>
      <c r="D433" s="57"/>
      <c r="E433" s="58"/>
      <c r="F433" s="58"/>
      <c r="G433" s="33"/>
    </row>
    <row r="434" spans="2:7">
      <c r="B434" s="55"/>
      <c r="C434" s="33"/>
      <c r="D434" s="57"/>
      <c r="E434" s="58"/>
      <c r="F434" s="58"/>
      <c r="G434" s="33"/>
    </row>
    <row r="435" spans="2:7">
      <c r="B435" s="55"/>
      <c r="C435" s="33"/>
      <c r="D435" s="57"/>
      <c r="E435" s="58"/>
      <c r="F435" s="58"/>
      <c r="G435" s="33"/>
    </row>
    <row r="436" spans="2:7">
      <c r="B436" s="55"/>
      <c r="C436" s="33"/>
      <c r="D436" s="57"/>
      <c r="E436" s="58"/>
      <c r="F436" s="58"/>
      <c r="G436" s="33"/>
    </row>
    <row r="437" spans="2:7">
      <c r="B437" s="55"/>
      <c r="C437" s="33"/>
      <c r="D437" s="57"/>
      <c r="E437" s="58"/>
      <c r="F437" s="58"/>
      <c r="G437" s="33"/>
    </row>
    <row r="438" spans="2:7">
      <c r="B438" s="55"/>
      <c r="C438" s="33"/>
      <c r="D438" s="57"/>
      <c r="E438" s="58"/>
      <c r="F438" s="58"/>
      <c r="G438" s="33"/>
    </row>
    <row r="439" spans="2:7" ht="15.75" thickBot="1">
      <c r="B439" s="56"/>
      <c r="C439" s="34"/>
      <c r="D439" s="56"/>
      <c r="E439" s="59"/>
      <c r="F439" s="59"/>
      <c r="G439" s="34"/>
    </row>
    <row r="440" spans="2:7" ht="15.75" thickBot="1">
      <c r="B440" s="56">
        <f>SUM(B426:B439)</f>
        <v>-190.40000000000055</v>
      </c>
      <c r="C440" s="34" t="s">
        <v>66</v>
      </c>
      <c r="D440" s="56">
        <f>SUM(D426:D439)</f>
        <v>0</v>
      </c>
      <c r="E440" s="56">
        <f>SUM(E426:E439)</f>
        <v>0</v>
      </c>
      <c r="F440" s="56">
        <f>SUM(F426:F439)</f>
        <v>0</v>
      </c>
      <c r="G440" s="34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89" t="str">
        <f>'2018'!A42</f>
        <v>Dinero Bloqueado</v>
      </c>
      <c r="C442" s="307"/>
      <c r="D442" s="307"/>
      <c r="E442" s="307"/>
      <c r="F442" s="307"/>
      <c r="G442" s="308"/>
    </row>
    <row r="443" spans="2:7" ht="15" customHeight="1" thickBot="1">
      <c r="B443" s="309"/>
      <c r="C443" s="310"/>
      <c r="D443" s="310"/>
      <c r="E443" s="310"/>
      <c r="F443" s="310"/>
      <c r="G443" s="311"/>
    </row>
    <row r="444" spans="2:7">
      <c r="B444" s="297" t="s">
        <v>10</v>
      </c>
      <c r="C444" s="296"/>
      <c r="D444" s="295" t="s">
        <v>11</v>
      </c>
      <c r="E444" s="295"/>
      <c r="F444" s="295"/>
      <c r="G444" s="296"/>
    </row>
    <row r="445" spans="2:7">
      <c r="B445" s="52" t="s">
        <v>32</v>
      </c>
      <c r="C445" s="60" t="s">
        <v>33</v>
      </c>
      <c r="D445" s="52" t="s">
        <v>68</v>
      </c>
      <c r="E445" s="53" t="s">
        <v>69</v>
      </c>
      <c r="F445" s="53" t="s">
        <v>32</v>
      </c>
      <c r="G445" s="60" t="s">
        <v>33</v>
      </c>
    </row>
    <row r="446" spans="2:7">
      <c r="B446" s="54"/>
      <c r="C446" s="36"/>
      <c r="D446" s="57"/>
      <c r="E446" s="58"/>
      <c r="F446" s="58"/>
      <c r="G446" s="33"/>
    </row>
    <row r="447" spans="2:7">
      <c r="B447" s="55"/>
      <c r="C447" s="33"/>
      <c r="D447" s="57"/>
      <c r="E447" s="58"/>
      <c r="F447" s="58"/>
      <c r="G447" s="33"/>
    </row>
    <row r="448" spans="2:7">
      <c r="B448" s="55"/>
      <c r="C448" s="33"/>
      <c r="D448" s="57"/>
      <c r="E448" s="58"/>
      <c r="F448" s="58"/>
      <c r="G448" s="33"/>
    </row>
    <row r="449" spans="2:7">
      <c r="B449" s="55"/>
      <c r="C449" s="33"/>
      <c r="D449" s="57"/>
      <c r="E449" s="58"/>
      <c r="F449" s="58"/>
      <c r="G449" s="33"/>
    </row>
    <row r="450" spans="2:7">
      <c r="B450" s="55"/>
      <c r="C450" s="33"/>
      <c r="D450" s="57"/>
      <c r="E450" s="58"/>
      <c r="F450" s="58"/>
      <c r="G450" s="33"/>
    </row>
    <row r="451" spans="2:7">
      <c r="B451" s="55"/>
      <c r="C451" s="33"/>
      <c r="D451" s="57"/>
      <c r="E451" s="58"/>
      <c r="F451" s="58"/>
      <c r="G451" s="33"/>
    </row>
    <row r="452" spans="2:7">
      <c r="B452" s="55"/>
      <c r="C452" s="33"/>
      <c r="D452" s="57"/>
      <c r="E452" s="58"/>
      <c r="F452" s="58"/>
      <c r="G452" s="33"/>
    </row>
    <row r="453" spans="2:7">
      <c r="B453" s="55"/>
      <c r="C453" s="33"/>
      <c r="D453" s="57"/>
      <c r="E453" s="58"/>
      <c r="F453" s="58"/>
      <c r="G453" s="33"/>
    </row>
    <row r="454" spans="2:7">
      <c r="B454" s="55"/>
      <c r="C454" s="33"/>
      <c r="D454" s="57"/>
      <c r="E454" s="58"/>
      <c r="F454" s="58"/>
      <c r="G454" s="33"/>
    </row>
    <row r="455" spans="2:7">
      <c r="B455" s="55"/>
      <c r="C455" s="33"/>
      <c r="D455" s="57"/>
      <c r="E455" s="58"/>
      <c r="F455" s="58"/>
      <c r="G455" s="33"/>
    </row>
    <row r="456" spans="2:7">
      <c r="B456" s="55"/>
      <c r="C456" s="33"/>
      <c r="D456" s="57"/>
      <c r="E456" s="58"/>
      <c r="F456" s="58"/>
      <c r="G456" s="33"/>
    </row>
    <row r="457" spans="2:7">
      <c r="B457" s="55"/>
      <c r="C457" s="33"/>
      <c r="D457" s="57"/>
      <c r="E457" s="58"/>
      <c r="F457" s="58"/>
      <c r="G457" s="33"/>
    </row>
    <row r="458" spans="2:7">
      <c r="B458" s="55"/>
      <c r="C458" s="33"/>
      <c r="D458" s="57"/>
      <c r="E458" s="58"/>
      <c r="F458" s="58"/>
      <c r="G458" s="33"/>
    </row>
    <row r="459" spans="2:7" ht="15.75" thickBot="1">
      <c r="B459" s="56"/>
      <c r="C459" s="34"/>
      <c r="D459" s="56"/>
      <c r="E459" s="59"/>
      <c r="F459" s="59"/>
      <c r="G459" s="34"/>
    </row>
    <row r="460" spans="2:7" ht="15.75" thickBot="1">
      <c r="B460" s="56">
        <f>SUM(B446:B459)</f>
        <v>0</v>
      </c>
      <c r="C460" s="34" t="s">
        <v>66</v>
      </c>
      <c r="D460" s="56">
        <f>SUM(D446:D459)</f>
        <v>0</v>
      </c>
      <c r="E460" s="56">
        <f>SUM(E446:E459)</f>
        <v>0</v>
      </c>
      <c r="F460" s="56">
        <f>SUM(F446:F459)</f>
        <v>0</v>
      </c>
      <c r="G460" s="34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89" t="str">
        <f>'2018'!A43</f>
        <v>Cartama Finanazas</v>
      </c>
      <c r="C462" s="307"/>
      <c r="D462" s="307"/>
      <c r="E462" s="307"/>
      <c r="F462" s="307"/>
      <c r="G462" s="308"/>
    </row>
    <row r="463" spans="2:7" ht="15" customHeight="1" thickBot="1">
      <c r="B463" s="309"/>
      <c r="C463" s="310"/>
      <c r="D463" s="310"/>
      <c r="E463" s="310"/>
      <c r="F463" s="310"/>
      <c r="G463" s="311"/>
    </row>
    <row r="464" spans="2:7">
      <c r="B464" s="297" t="s">
        <v>10</v>
      </c>
      <c r="C464" s="296"/>
      <c r="D464" s="295" t="s">
        <v>11</v>
      </c>
      <c r="E464" s="295"/>
      <c r="F464" s="295"/>
      <c r="G464" s="296"/>
    </row>
    <row r="465" spans="2:7">
      <c r="B465" s="52" t="s">
        <v>32</v>
      </c>
      <c r="C465" s="60" t="s">
        <v>33</v>
      </c>
      <c r="D465" s="52" t="s">
        <v>68</v>
      </c>
      <c r="E465" s="53" t="s">
        <v>69</v>
      </c>
      <c r="F465" s="53" t="s">
        <v>32</v>
      </c>
      <c r="G465" s="60" t="s">
        <v>33</v>
      </c>
    </row>
    <row r="466" spans="2:7">
      <c r="B466" s="54"/>
      <c r="C466" s="36"/>
      <c r="D466" s="57"/>
      <c r="E466" s="58"/>
      <c r="F466" s="58"/>
      <c r="G466" s="33"/>
    </row>
    <row r="467" spans="2:7">
      <c r="B467" s="55"/>
      <c r="C467" s="33"/>
      <c r="D467" s="57"/>
      <c r="E467" s="58"/>
      <c r="F467" s="58"/>
      <c r="G467" s="33"/>
    </row>
    <row r="468" spans="2:7">
      <c r="B468" s="55"/>
      <c r="C468" s="33"/>
      <c r="D468" s="57"/>
      <c r="E468" s="58"/>
      <c r="F468" s="58"/>
      <c r="G468" s="33"/>
    </row>
    <row r="469" spans="2:7">
      <c r="B469" s="55"/>
      <c r="C469" s="33"/>
      <c r="D469" s="57"/>
      <c r="E469" s="58"/>
      <c r="F469" s="58"/>
      <c r="G469" s="33"/>
    </row>
    <row r="470" spans="2:7">
      <c r="B470" s="55"/>
      <c r="C470" s="33"/>
      <c r="D470" s="57"/>
      <c r="E470" s="58"/>
      <c r="F470" s="58"/>
      <c r="G470" s="33"/>
    </row>
    <row r="471" spans="2:7">
      <c r="B471" s="55"/>
      <c r="C471" s="33"/>
      <c r="D471" s="57"/>
      <c r="E471" s="58"/>
      <c r="F471" s="58"/>
      <c r="G471" s="33"/>
    </row>
    <row r="472" spans="2:7">
      <c r="B472" s="55"/>
      <c r="C472" s="33"/>
      <c r="D472" s="57"/>
      <c r="E472" s="58"/>
      <c r="F472" s="58"/>
      <c r="G472" s="33"/>
    </row>
    <row r="473" spans="2:7">
      <c r="B473" s="55"/>
      <c r="C473" s="33"/>
      <c r="D473" s="57"/>
      <c r="E473" s="58"/>
      <c r="F473" s="58"/>
      <c r="G473" s="33"/>
    </row>
    <row r="474" spans="2:7">
      <c r="B474" s="55"/>
      <c r="C474" s="33"/>
      <c r="D474" s="57"/>
      <c r="E474" s="58"/>
      <c r="F474" s="58"/>
      <c r="G474" s="33"/>
    </row>
    <row r="475" spans="2:7">
      <c r="B475" s="55"/>
      <c r="C475" s="33"/>
      <c r="D475" s="57"/>
      <c r="E475" s="58"/>
      <c r="F475" s="58"/>
      <c r="G475" s="33"/>
    </row>
    <row r="476" spans="2:7">
      <c r="B476" s="55"/>
      <c r="C476" s="33"/>
      <c r="D476" s="57"/>
      <c r="E476" s="58"/>
      <c r="F476" s="58"/>
      <c r="G476" s="33"/>
    </row>
    <row r="477" spans="2:7">
      <c r="B477" s="55"/>
      <c r="C477" s="33"/>
      <c r="D477" s="57"/>
      <c r="E477" s="58"/>
      <c r="F477" s="58"/>
      <c r="G477" s="33"/>
    </row>
    <row r="478" spans="2:7">
      <c r="B478" s="55"/>
      <c r="C478" s="33"/>
      <c r="D478" s="57"/>
      <c r="E478" s="58"/>
      <c r="F478" s="58"/>
      <c r="G478" s="33"/>
    </row>
    <row r="479" spans="2:7" ht="15.75" thickBot="1">
      <c r="B479" s="56"/>
      <c r="C479" s="34"/>
      <c r="D479" s="56"/>
      <c r="E479" s="59"/>
      <c r="F479" s="59"/>
      <c r="G479" s="34"/>
    </row>
    <row r="480" spans="2:7" ht="15.75" thickBot="1">
      <c r="B480" s="56">
        <f>SUM(B466:B479)</f>
        <v>0</v>
      </c>
      <c r="C480" s="34" t="s">
        <v>66</v>
      </c>
      <c r="D480" s="56">
        <f>SUM(D466:D479)</f>
        <v>0</v>
      </c>
      <c r="E480" s="56">
        <f>SUM(E466:E479)</f>
        <v>0</v>
      </c>
      <c r="F480" s="56">
        <f>SUM(F466:F479)</f>
        <v>0</v>
      </c>
      <c r="G480" s="34" t="s">
        <v>66</v>
      </c>
    </row>
    <row r="481" spans="2:7" ht="15.75" thickBot="1"/>
    <row r="482" spans="2:7" ht="14.45" customHeight="1">
      <c r="B482" s="289" t="str">
        <f>'2018'!A44</f>
        <v>NULO</v>
      </c>
      <c r="C482" s="307"/>
      <c r="D482" s="307"/>
      <c r="E482" s="307"/>
      <c r="F482" s="307"/>
      <c r="G482" s="308"/>
    </row>
    <row r="483" spans="2:7" ht="15" customHeight="1" thickBot="1">
      <c r="B483" s="309"/>
      <c r="C483" s="310"/>
      <c r="D483" s="310"/>
      <c r="E483" s="310"/>
      <c r="F483" s="310"/>
      <c r="G483" s="311"/>
    </row>
    <row r="484" spans="2:7">
      <c r="B484" s="297" t="s">
        <v>10</v>
      </c>
      <c r="C484" s="296"/>
      <c r="D484" s="295" t="s">
        <v>11</v>
      </c>
      <c r="E484" s="295"/>
      <c r="F484" s="295"/>
      <c r="G484" s="296"/>
    </row>
    <row r="485" spans="2:7">
      <c r="B485" s="52" t="s">
        <v>32</v>
      </c>
      <c r="C485" s="60" t="s">
        <v>33</v>
      </c>
      <c r="D485" s="52" t="s">
        <v>68</v>
      </c>
      <c r="E485" s="53" t="s">
        <v>69</v>
      </c>
      <c r="F485" s="53" t="s">
        <v>32</v>
      </c>
      <c r="G485" s="60" t="s">
        <v>33</v>
      </c>
    </row>
    <row r="486" spans="2:7">
      <c r="B486" s="54"/>
      <c r="C486" s="36"/>
      <c r="D486" s="57"/>
      <c r="E486" s="58"/>
      <c r="F486" s="58"/>
      <c r="G486" s="33"/>
    </row>
    <row r="487" spans="2:7">
      <c r="B487" s="55"/>
      <c r="C487" s="33"/>
      <c r="D487" s="57"/>
      <c r="E487" s="58"/>
      <c r="F487" s="58"/>
      <c r="G487" s="33"/>
    </row>
    <row r="488" spans="2:7">
      <c r="B488" s="55"/>
      <c r="C488" s="33"/>
      <c r="D488" s="57"/>
      <c r="E488" s="58"/>
      <c r="F488" s="58"/>
      <c r="G488" s="33"/>
    </row>
    <row r="489" spans="2:7">
      <c r="B489" s="55"/>
      <c r="C489" s="33"/>
      <c r="D489" s="57"/>
      <c r="E489" s="58"/>
      <c r="F489" s="58"/>
      <c r="G489" s="33"/>
    </row>
    <row r="490" spans="2:7">
      <c r="B490" s="55"/>
      <c r="C490" s="33"/>
      <c r="D490" s="57"/>
      <c r="E490" s="58"/>
      <c r="F490" s="58"/>
      <c r="G490" s="33"/>
    </row>
    <row r="491" spans="2:7">
      <c r="B491" s="55"/>
      <c r="C491" s="33"/>
      <c r="D491" s="57"/>
      <c r="E491" s="58"/>
      <c r="F491" s="58"/>
      <c r="G491" s="33"/>
    </row>
    <row r="492" spans="2:7">
      <c r="B492" s="55"/>
      <c r="C492" s="33"/>
      <c r="D492" s="57"/>
      <c r="E492" s="58"/>
      <c r="F492" s="58"/>
      <c r="G492" s="33"/>
    </row>
    <row r="493" spans="2:7">
      <c r="B493" s="55"/>
      <c r="C493" s="33"/>
      <c r="D493" s="57"/>
      <c r="E493" s="58"/>
      <c r="F493" s="58"/>
      <c r="G493" s="33"/>
    </row>
    <row r="494" spans="2:7">
      <c r="B494" s="55"/>
      <c r="C494" s="33"/>
      <c r="D494" s="57"/>
      <c r="E494" s="58"/>
      <c r="F494" s="58"/>
      <c r="G494" s="33"/>
    </row>
    <row r="495" spans="2:7">
      <c r="B495" s="55"/>
      <c r="C495" s="33"/>
      <c r="D495" s="57"/>
      <c r="E495" s="58"/>
      <c r="F495" s="58"/>
      <c r="G495" s="33"/>
    </row>
    <row r="496" spans="2:7">
      <c r="B496" s="55"/>
      <c r="C496" s="33"/>
      <c r="D496" s="57"/>
      <c r="E496" s="58"/>
      <c r="F496" s="58"/>
      <c r="G496" s="33"/>
    </row>
    <row r="497" spans="2:7">
      <c r="B497" s="55"/>
      <c r="C497" s="33"/>
      <c r="D497" s="57"/>
      <c r="E497" s="58"/>
      <c r="F497" s="58"/>
      <c r="G497" s="33"/>
    </row>
    <row r="498" spans="2:7">
      <c r="B498" s="55"/>
      <c r="C498" s="33"/>
      <c r="D498" s="57"/>
      <c r="E498" s="58"/>
      <c r="F498" s="58"/>
      <c r="G498" s="33"/>
    </row>
    <row r="499" spans="2:7" ht="15.75" thickBot="1">
      <c r="B499" s="56"/>
      <c r="C499" s="34"/>
      <c r="D499" s="56"/>
      <c r="E499" s="59"/>
      <c r="F499" s="59"/>
      <c r="G499" s="34"/>
    </row>
    <row r="500" spans="2:7" ht="15.75" thickBot="1">
      <c r="B500" s="56">
        <f>SUM(B486:B499)</f>
        <v>0</v>
      </c>
      <c r="C500" s="34" t="s">
        <v>66</v>
      </c>
      <c r="D500" s="56">
        <f>SUM(D486:D499)</f>
        <v>0</v>
      </c>
      <c r="E500" s="56">
        <f>SUM(E486:E499)</f>
        <v>0</v>
      </c>
      <c r="F500" s="56">
        <f>SUM(F486:F499)</f>
        <v>0</v>
      </c>
      <c r="G500" s="34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89" t="str">
        <f>'2018'!A45</f>
        <v>OTROS</v>
      </c>
      <c r="C502" s="307"/>
      <c r="D502" s="307"/>
      <c r="E502" s="307"/>
      <c r="F502" s="307"/>
      <c r="G502" s="308"/>
    </row>
    <row r="503" spans="2:7" ht="15" customHeight="1" thickBot="1">
      <c r="B503" s="309"/>
      <c r="C503" s="310"/>
      <c r="D503" s="310"/>
      <c r="E503" s="310"/>
      <c r="F503" s="310"/>
      <c r="G503" s="311"/>
    </row>
    <row r="504" spans="2:7">
      <c r="B504" s="297" t="s">
        <v>10</v>
      </c>
      <c r="C504" s="296"/>
      <c r="D504" s="295" t="s">
        <v>11</v>
      </c>
      <c r="E504" s="295"/>
      <c r="F504" s="295"/>
      <c r="G504" s="296"/>
    </row>
    <row r="505" spans="2:7">
      <c r="B505" s="52" t="s">
        <v>32</v>
      </c>
      <c r="C505" s="60" t="s">
        <v>33</v>
      </c>
      <c r="D505" s="52" t="s">
        <v>68</v>
      </c>
      <c r="E505" s="53" t="s">
        <v>69</v>
      </c>
      <c r="F505" s="53" t="s">
        <v>32</v>
      </c>
      <c r="G505" s="60" t="s">
        <v>33</v>
      </c>
    </row>
    <row r="506" spans="2:7">
      <c r="B506" s="54"/>
      <c r="C506" s="36"/>
      <c r="D506" s="57">
        <v>7.53</v>
      </c>
      <c r="E506" s="58"/>
      <c r="F506" s="58"/>
      <c r="G506" s="33" t="s">
        <v>491</v>
      </c>
    </row>
    <row r="507" spans="2:7">
      <c r="B507" s="55"/>
      <c r="C507" s="33"/>
      <c r="D507" s="57"/>
      <c r="E507" s="58">
        <v>11.27</v>
      </c>
      <c r="F507" s="58"/>
      <c r="G507" s="33" t="s">
        <v>493</v>
      </c>
    </row>
    <row r="508" spans="2:7">
      <c r="B508" s="55"/>
      <c r="C508" s="33"/>
      <c r="D508" s="57"/>
      <c r="E508" s="58">
        <v>49</v>
      </c>
      <c r="F508" s="58"/>
      <c r="G508" s="33" t="s">
        <v>516</v>
      </c>
    </row>
    <row r="509" spans="2:7">
      <c r="B509" s="55"/>
      <c r="C509" s="33"/>
      <c r="D509" s="57"/>
      <c r="E509" s="58"/>
      <c r="F509" s="58"/>
      <c r="G509" s="33"/>
    </row>
    <row r="510" spans="2:7">
      <c r="B510" s="55"/>
      <c r="C510" s="33"/>
      <c r="D510" s="57"/>
      <c r="E510" s="58"/>
      <c r="F510" s="58"/>
      <c r="G510" s="33"/>
    </row>
    <row r="511" spans="2:7">
      <c r="B511" s="55"/>
      <c r="C511" s="33"/>
      <c r="D511" s="57"/>
      <c r="E511" s="58"/>
      <c r="F511" s="58"/>
      <c r="G511" s="33"/>
    </row>
    <row r="512" spans="2:7">
      <c r="B512" s="55"/>
      <c r="C512" s="33"/>
      <c r="D512" s="57"/>
      <c r="E512" s="58"/>
      <c r="F512" s="58"/>
      <c r="G512" s="33"/>
    </row>
    <row r="513" spans="2:7">
      <c r="B513" s="55"/>
      <c r="C513" s="33"/>
      <c r="D513" s="57"/>
      <c r="E513" s="58"/>
      <c r="F513" s="58"/>
      <c r="G513" s="33"/>
    </row>
    <row r="514" spans="2:7">
      <c r="B514" s="55"/>
      <c r="C514" s="33"/>
      <c r="D514" s="57"/>
      <c r="E514" s="58"/>
      <c r="F514" s="58"/>
      <c r="G514" s="33"/>
    </row>
    <row r="515" spans="2:7">
      <c r="B515" s="55"/>
      <c r="C515" s="33"/>
      <c r="D515" s="57"/>
      <c r="E515" s="58"/>
      <c r="F515" s="58"/>
      <c r="G515" s="33"/>
    </row>
    <row r="516" spans="2:7">
      <c r="B516" s="55"/>
      <c r="C516" s="33"/>
      <c r="D516" s="57"/>
      <c r="E516" s="58"/>
      <c r="F516" s="58"/>
      <c r="G516" s="33"/>
    </row>
    <row r="517" spans="2:7">
      <c r="B517" s="55"/>
      <c r="C517" s="33"/>
      <c r="D517" s="57"/>
      <c r="E517" s="58"/>
      <c r="F517" s="58"/>
      <c r="G517" s="33"/>
    </row>
    <row r="518" spans="2:7">
      <c r="B518" s="55"/>
      <c r="C518" s="33"/>
      <c r="D518" s="57"/>
      <c r="E518" s="58"/>
      <c r="F518" s="58"/>
      <c r="G518" s="33"/>
    </row>
    <row r="519" spans="2:7" ht="15.75" thickBot="1">
      <c r="B519" s="56"/>
      <c r="C519" s="34"/>
      <c r="D519" s="56"/>
      <c r="E519" s="59"/>
      <c r="F519" s="59"/>
      <c r="G519" s="34"/>
    </row>
    <row r="520" spans="2:7" ht="15.75" thickBot="1">
      <c r="B520" s="56">
        <f>SUM(B506:B519)</f>
        <v>0</v>
      </c>
      <c r="C520" s="34" t="s">
        <v>66</v>
      </c>
      <c r="D520" s="56">
        <f>SUM(D506:D519)</f>
        <v>7.53</v>
      </c>
      <c r="E520" s="56">
        <f>SUM(E506:E519)</f>
        <v>60.269999999999996</v>
      </c>
      <c r="F520" s="56">
        <f>SUM(F506:F519)</f>
        <v>0</v>
      </c>
      <c r="G520" s="34" t="s">
        <v>66</v>
      </c>
    </row>
  </sheetData>
  <mergeCells count="111"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700-000000000000}"/>
    <hyperlink ref="I22" location="Trimestre!C39:F40" display="TELÉFONO" xr:uid="{00000000-0004-0000-0700-000001000000}"/>
    <hyperlink ref="I22:L23" location="'2018'!AA7:AD7" display="INGRESOS" xr:uid="{00000000-0004-0000-0700-000002000000}"/>
    <hyperlink ref="B2" location="Trimestre!C25:F26" display="HIPOTECA" xr:uid="{00000000-0004-0000-0700-000003000000}"/>
    <hyperlink ref="B2:G3" location="'2018'!AA20:AD20" display="'2018'!AA20:AD20" xr:uid="{00000000-0004-0000-0700-000004000000}"/>
    <hyperlink ref="B22" location="Trimestre!C25:F26" display="HIPOTECA" xr:uid="{00000000-0004-0000-0700-000005000000}"/>
    <hyperlink ref="B22:G23" location="'2018'!AA21:AD21" display="'2018'!AA21:AD21" xr:uid="{00000000-0004-0000-0700-000006000000}"/>
    <hyperlink ref="B42" location="Trimestre!C25:F26" display="HIPOTECA" xr:uid="{00000000-0004-0000-0700-000007000000}"/>
    <hyperlink ref="B42:G43" location="'2018'!AA22:AD22" display="'2018'!AA22:AD22" xr:uid="{00000000-0004-0000-0700-000008000000}"/>
    <hyperlink ref="B62" location="Trimestre!C25:F26" display="HIPOTECA" xr:uid="{00000000-0004-0000-0700-000009000000}"/>
    <hyperlink ref="B62:G63" location="'2018'!AA23:AD23" display="'2018'!AA23:AD23" xr:uid="{00000000-0004-0000-0700-00000A000000}"/>
    <hyperlink ref="B82" location="Trimestre!C25:F26" display="HIPOTECA" xr:uid="{00000000-0004-0000-0700-00000B000000}"/>
    <hyperlink ref="B82:G83" location="'2018'!AA24:AD24" display="'2018'!AA24:AD24" xr:uid="{00000000-0004-0000-0700-00000C000000}"/>
    <hyperlink ref="B102" location="Trimestre!C25:F26" display="HIPOTECA" xr:uid="{00000000-0004-0000-0700-00000D000000}"/>
    <hyperlink ref="B102:G103" location="'2018'!AA25:AD25" display="'2018'!AA25:AD25" xr:uid="{00000000-0004-0000-0700-00000E000000}"/>
    <hyperlink ref="B122" location="Trimestre!C25:F26" display="HIPOTECA" xr:uid="{00000000-0004-0000-0700-00000F000000}"/>
    <hyperlink ref="B122:G123" location="'2018'!AA26:AD26" display="'2018'!AA26:AD26" xr:uid="{00000000-0004-0000-0700-000010000000}"/>
    <hyperlink ref="B142" location="Trimestre!C25:F26" display="HIPOTECA" xr:uid="{00000000-0004-0000-0700-000011000000}"/>
    <hyperlink ref="B142:G143" location="'2018'!AA27:AD27" display="'2018'!AA27:AD27" xr:uid="{00000000-0004-0000-0700-000012000000}"/>
    <hyperlink ref="B162" location="Trimestre!C25:F26" display="HIPOTECA" xr:uid="{00000000-0004-0000-0700-000013000000}"/>
    <hyperlink ref="B162:G163" location="'2018'!AA28:AD28" display="'2018'!AA28:AD28" xr:uid="{00000000-0004-0000-0700-000014000000}"/>
    <hyperlink ref="B182" location="Trimestre!C25:F26" display="HIPOTECA" xr:uid="{00000000-0004-0000-0700-000015000000}"/>
    <hyperlink ref="B182:G183" location="'2018'!AA29:AD29" display="'2018'!AA29:AD29" xr:uid="{00000000-0004-0000-0700-000016000000}"/>
    <hyperlink ref="B202" location="Trimestre!C25:F26" display="HIPOTECA" xr:uid="{00000000-0004-0000-0700-000017000000}"/>
    <hyperlink ref="B202:G203" location="'2018'!AA30:AD30" display="'2018'!AA30:AD30" xr:uid="{00000000-0004-0000-0700-000018000000}"/>
    <hyperlink ref="B222" location="Trimestre!C25:F26" display="HIPOTECA" xr:uid="{00000000-0004-0000-0700-000019000000}"/>
    <hyperlink ref="B222:G223" location="'2018'!AA31:AD31" display="'2018'!AA31:AD31" xr:uid="{00000000-0004-0000-0700-00001A000000}"/>
    <hyperlink ref="B242" location="Trimestre!C25:F26" display="HIPOTECA" xr:uid="{00000000-0004-0000-0700-00001B000000}"/>
    <hyperlink ref="B242:G243" location="'2018'!AA32:AD32" display="'2018'!AA32:AD32" xr:uid="{00000000-0004-0000-0700-00001C000000}"/>
    <hyperlink ref="B262" location="Trimestre!C25:F26" display="HIPOTECA" xr:uid="{00000000-0004-0000-0700-00001D000000}"/>
    <hyperlink ref="B262:G263" location="'2018'!AA33:AD33" display="'2018'!AA33:AD33" xr:uid="{00000000-0004-0000-0700-00001E000000}"/>
    <hyperlink ref="B282" location="Trimestre!C25:F26" display="HIPOTECA" xr:uid="{00000000-0004-0000-0700-00001F000000}"/>
    <hyperlink ref="B282:G283" location="'2018'!AA34:AD34" display="'2018'!AA34:AD34" xr:uid="{00000000-0004-0000-0700-000020000000}"/>
    <hyperlink ref="B302" location="Trimestre!C25:F26" display="HIPOTECA" xr:uid="{00000000-0004-0000-0700-000021000000}"/>
    <hyperlink ref="B302:G303" location="'2018'!AA35:AD35" display="'2018'!AA35:AD35" xr:uid="{00000000-0004-0000-0700-000022000000}"/>
    <hyperlink ref="B322" location="Trimestre!C25:F26" display="HIPOTECA" xr:uid="{00000000-0004-0000-0700-000023000000}"/>
    <hyperlink ref="B322:G323" location="'2018'!AA36:AD36" display="'2018'!AA36:AD36" xr:uid="{00000000-0004-0000-0700-000024000000}"/>
    <hyperlink ref="B342" location="Trimestre!C25:F26" display="HIPOTECA" xr:uid="{00000000-0004-0000-0700-000025000000}"/>
    <hyperlink ref="B342:G343" location="'2018'!AA37:AD37" display="'2018'!AA37:AD37" xr:uid="{00000000-0004-0000-0700-000026000000}"/>
    <hyperlink ref="B362" location="Trimestre!C25:F26" display="HIPOTECA" xr:uid="{00000000-0004-0000-0700-000027000000}"/>
    <hyperlink ref="B362:G363" location="'2018'!AA38:AD38" display="'2018'!AA38:AD38" xr:uid="{00000000-0004-0000-0700-000028000000}"/>
    <hyperlink ref="B382" location="Trimestre!C25:F26" display="HIPOTECA" xr:uid="{00000000-0004-0000-0700-000029000000}"/>
    <hyperlink ref="B382:G383" location="'2018'!AA39:AD39" display="'2018'!AA39:AD39" xr:uid="{00000000-0004-0000-0700-00002A000000}"/>
    <hyperlink ref="B402" location="Trimestre!C25:F26" display="HIPOTECA" xr:uid="{00000000-0004-0000-0700-00002B000000}"/>
    <hyperlink ref="B402:G403" location="'2018'!AA40:AD40" display="'2018'!AA40:AD40" xr:uid="{00000000-0004-0000-0700-00002C000000}"/>
    <hyperlink ref="B422" location="Trimestre!C25:F26" display="HIPOTECA" xr:uid="{00000000-0004-0000-0700-00002D000000}"/>
    <hyperlink ref="B422:G423" location="'2018'!AA41:AD41" display="'2018'!AA41:AD41" xr:uid="{00000000-0004-0000-0700-00002E000000}"/>
    <hyperlink ref="B442" location="Trimestre!C25:F26" display="HIPOTECA" xr:uid="{00000000-0004-0000-0700-00002F000000}"/>
    <hyperlink ref="B442:G443" location="'2018'!AA42:AD42" display="'2018'!AA42:AD42" xr:uid="{00000000-0004-0000-0700-000030000000}"/>
    <hyperlink ref="B462" location="Trimestre!C25:F26" display="HIPOTECA" xr:uid="{00000000-0004-0000-0700-000031000000}"/>
    <hyperlink ref="B462:G463" location="'2018'!AA43:AD43" display="'2018'!AA43:AD43" xr:uid="{00000000-0004-0000-0700-000032000000}"/>
    <hyperlink ref="B482" location="Trimestre!C25:F26" display="HIPOTECA" xr:uid="{00000000-0004-0000-0700-000033000000}"/>
    <hyperlink ref="B482:G483" location="'2018'!AA44:AD44" display="'2018'!AA44:AD44" xr:uid="{00000000-0004-0000-0700-000034000000}"/>
    <hyperlink ref="B502" location="Trimestre!C25:F26" display="HIPOTECA" xr:uid="{00000000-0004-0000-0700-000035000000}"/>
    <hyperlink ref="B502:G503" location="'2018'!AA45:AD45" display="'2018'!AA45:AD45" xr:uid="{00000000-0004-0000-0700-000036000000}"/>
    <hyperlink ref="I2:L3" location="'2018'!AA4:AD4" display="SALDO REAL" xr:uid="{00000000-0004-0000-0700-000037000000}"/>
  </hyperlink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V520"/>
  <sheetViews>
    <sheetView topLeftCell="A157" workbookViewId="0">
      <selection activeCell="B162" sqref="B162:G163"/>
    </sheetView>
  </sheetViews>
  <sheetFormatPr defaultColWidth="11.42578125" defaultRowHeight="15"/>
  <cols>
    <col min="1" max="1" width="11.42578125" style="137"/>
    <col min="2" max="2" width="10" style="137" customWidth="1"/>
    <col min="3" max="3" width="33.28515625" style="137" customWidth="1"/>
    <col min="4" max="6" width="10" style="137" customWidth="1"/>
    <col min="7" max="7" width="33.28515625" style="137" customWidth="1"/>
    <col min="8" max="9" width="11.42578125" style="137"/>
    <col min="10" max="10" width="31.28515625" style="137" customWidth="1"/>
    <col min="11" max="16384" width="11.42578125" style="137"/>
  </cols>
  <sheetData>
    <row r="1" spans="1:22" ht="16.5" thickBot="1">
      <c r="A1" s="1"/>
      <c r="B1" s="1"/>
      <c r="C1" s="1"/>
      <c r="D1" s="1"/>
      <c r="E1" s="1"/>
      <c r="F1" s="1"/>
      <c r="G1" s="1"/>
      <c r="H1" s="30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89" t="str">
        <f>'2018'!A20</f>
        <v>Cártama Gastos</v>
      </c>
      <c r="C2" s="290"/>
      <c r="D2" s="290"/>
      <c r="E2" s="290"/>
      <c r="F2" s="290"/>
      <c r="G2" s="291"/>
      <c r="H2" s="1"/>
      <c r="I2" s="302" t="s">
        <v>4</v>
      </c>
      <c r="J2" s="290"/>
      <c r="K2" s="290"/>
      <c r="L2" s="291"/>
      <c r="M2" s="1"/>
      <c r="N2" s="1"/>
      <c r="R2" s="3"/>
    </row>
    <row r="3" spans="1:22" ht="16.5" thickBot="1">
      <c r="A3" s="1"/>
      <c r="B3" s="292"/>
      <c r="C3" s="293"/>
      <c r="D3" s="293"/>
      <c r="E3" s="293"/>
      <c r="F3" s="293"/>
      <c r="G3" s="294"/>
      <c r="H3" s="1"/>
      <c r="I3" s="292"/>
      <c r="J3" s="293"/>
      <c r="K3" s="293"/>
      <c r="L3" s="294"/>
      <c r="M3" s="1"/>
      <c r="N3" s="1"/>
      <c r="R3" s="3"/>
    </row>
    <row r="4" spans="1:22" ht="15.75">
      <c r="A4" s="1"/>
      <c r="B4" s="297" t="s">
        <v>10</v>
      </c>
      <c r="C4" s="296"/>
      <c r="D4" s="295" t="s">
        <v>11</v>
      </c>
      <c r="E4" s="295"/>
      <c r="F4" s="295"/>
      <c r="G4" s="296"/>
      <c r="H4" s="1"/>
      <c r="I4" s="88" t="s">
        <v>70</v>
      </c>
      <c r="J4" s="156" t="s">
        <v>71</v>
      </c>
      <c r="K4" s="303" t="s">
        <v>72</v>
      </c>
      <c r="L4" s="304"/>
      <c r="M4" s="1"/>
      <c r="N4" s="1"/>
      <c r="R4" s="3"/>
    </row>
    <row r="5" spans="1:22" ht="15.75">
      <c r="A5" s="1" t="s">
        <v>608</v>
      </c>
      <c r="B5" s="52" t="s">
        <v>32</v>
      </c>
      <c r="C5" s="60" t="s">
        <v>33</v>
      </c>
      <c r="D5" s="52" t="s">
        <v>68</v>
      </c>
      <c r="E5" s="53" t="s">
        <v>69</v>
      </c>
      <c r="F5" s="53" t="s">
        <v>32</v>
      </c>
      <c r="G5" s="60" t="s">
        <v>33</v>
      </c>
      <c r="H5" s="1"/>
      <c r="I5" s="157" t="s">
        <v>73</v>
      </c>
      <c r="J5" s="158" t="s">
        <v>74</v>
      </c>
      <c r="K5" s="305">
        <f>2534.79-49</f>
        <v>2485.79</v>
      </c>
      <c r="L5" s="306"/>
      <c r="M5" s="1"/>
      <c r="N5" s="1"/>
      <c r="R5" s="3"/>
    </row>
    <row r="6" spans="1:22" ht="15.75">
      <c r="A6" s="163">
        <f>'07'!A6+B6-E6</f>
        <v>403.62</v>
      </c>
      <c r="B6" s="54">
        <v>399</v>
      </c>
      <c r="C6" s="36" t="s">
        <v>311</v>
      </c>
      <c r="D6" s="57"/>
      <c r="E6" s="58"/>
      <c r="F6" s="58"/>
      <c r="G6" s="33" t="s">
        <v>35</v>
      </c>
      <c r="H6" s="1"/>
      <c r="I6" s="159" t="s">
        <v>73</v>
      </c>
      <c r="J6" s="158" t="s">
        <v>75</v>
      </c>
      <c r="K6" s="298">
        <v>550</v>
      </c>
      <c r="L6" s="299"/>
      <c r="M6" s="1" t="s">
        <v>394</v>
      </c>
      <c r="N6" s="1"/>
      <c r="R6" s="3"/>
    </row>
    <row r="7" spans="1:22" ht="15.75">
      <c r="A7" s="163">
        <f>'07'!A7+B7-E7</f>
        <v>-209.3</v>
      </c>
      <c r="B7" s="55">
        <v>60</v>
      </c>
      <c r="C7" s="33" t="s">
        <v>325</v>
      </c>
      <c r="D7" s="57"/>
      <c r="E7" s="58"/>
      <c r="F7" s="58"/>
      <c r="G7" s="33" t="s">
        <v>106</v>
      </c>
      <c r="H7" s="82"/>
      <c r="I7" s="159" t="s">
        <v>76</v>
      </c>
      <c r="J7" s="158" t="s">
        <v>77</v>
      </c>
      <c r="K7" s="298">
        <v>6661.07</v>
      </c>
      <c r="L7" s="299"/>
      <c r="M7" s="1"/>
      <c r="N7" s="1"/>
      <c r="R7" s="3"/>
    </row>
    <row r="8" spans="1:22" ht="15.75">
      <c r="A8" s="163">
        <f>'07'!A8+B8-E8</f>
        <v>-228.12</v>
      </c>
      <c r="B8" s="55">
        <v>0</v>
      </c>
      <c r="C8" s="33" t="s">
        <v>38</v>
      </c>
      <c r="D8" s="57"/>
      <c r="E8" s="137">
        <v>108.71</v>
      </c>
      <c r="F8" s="58"/>
      <c r="G8" s="33" t="s">
        <v>38</v>
      </c>
      <c r="H8" s="1"/>
      <c r="I8" s="159" t="s">
        <v>76</v>
      </c>
      <c r="J8" s="158" t="s">
        <v>78</v>
      </c>
      <c r="K8" s="298">
        <v>7000</v>
      </c>
      <c r="L8" s="299"/>
      <c r="M8" s="1"/>
      <c r="N8" s="1"/>
      <c r="R8" s="3"/>
    </row>
    <row r="9" spans="1:22" ht="15.75">
      <c r="A9" s="163">
        <f>'07'!A9+B9-E9</f>
        <v>0</v>
      </c>
      <c r="B9" s="55">
        <v>0</v>
      </c>
      <c r="C9" s="33" t="s">
        <v>40</v>
      </c>
      <c r="D9" s="57"/>
      <c r="E9" s="58"/>
      <c r="F9" s="58"/>
      <c r="G9" s="33" t="s">
        <v>40</v>
      </c>
      <c r="H9" s="1"/>
      <c r="I9" s="159" t="s">
        <v>76</v>
      </c>
      <c r="J9" s="158" t="s">
        <v>267</v>
      </c>
      <c r="K9" s="298">
        <v>659.77</v>
      </c>
      <c r="L9" s="299"/>
      <c r="M9" s="1"/>
      <c r="N9" s="1"/>
      <c r="R9" s="3"/>
    </row>
    <row r="10" spans="1:22" ht="15.75">
      <c r="A10" s="163">
        <f>'07'!A10+B10-E10</f>
        <v>3</v>
      </c>
      <c r="B10" s="55">
        <v>12</v>
      </c>
      <c r="C10" s="33" t="s">
        <v>39</v>
      </c>
      <c r="D10" s="57"/>
      <c r="E10" s="58">
        <v>12</v>
      </c>
      <c r="F10" s="58"/>
      <c r="G10" s="33" t="s">
        <v>39</v>
      </c>
      <c r="H10" s="1"/>
      <c r="I10" s="159" t="s">
        <v>76</v>
      </c>
      <c r="J10" s="158" t="s">
        <v>115</v>
      </c>
      <c r="K10" s="298">
        <v>1800.04</v>
      </c>
      <c r="L10" s="299"/>
      <c r="M10" s="1" t="s">
        <v>265</v>
      </c>
      <c r="N10" s="1"/>
      <c r="R10" s="3"/>
    </row>
    <row r="11" spans="1:22" ht="15.75">
      <c r="A11" s="163">
        <f>'07'!A11+B11-E11</f>
        <v>6.0900000000000141</v>
      </c>
      <c r="B11" s="55">
        <v>31</v>
      </c>
      <c r="C11" s="33" t="s">
        <v>37</v>
      </c>
      <c r="D11" s="57"/>
      <c r="E11" s="58">
        <v>30.24</v>
      </c>
      <c r="F11" s="58"/>
      <c r="G11" s="33" t="s">
        <v>37</v>
      </c>
      <c r="H11" s="1"/>
      <c r="I11" s="159" t="s">
        <v>93</v>
      </c>
      <c r="J11" s="158" t="s">
        <v>94</v>
      </c>
      <c r="K11" s="298">
        <f>220+20</f>
        <v>240</v>
      </c>
      <c r="L11" s="299"/>
      <c r="M11" s="1"/>
      <c r="N11" s="1"/>
      <c r="R11" s="3"/>
    </row>
    <row r="12" spans="1:22" ht="15.75">
      <c r="A12" s="163">
        <f>'07'!A12+B12-E12</f>
        <v>-0.18000000000006366</v>
      </c>
      <c r="B12" s="55"/>
      <c r="C12" s="33"/>
      <c r="D12" s="57"/>
      <c r="E12" s="58"/>
      <c r="F12" s="58"/>
      <c r="G12" s="33"/>
      <c r="H12" s="1"/>
      <c r="I12" s="159" t="s">
        <v>303</v>
      </c>
      <c r="J12" s="158" t="s">
        <v>304</v>
      </c>
      <c r="K12" s="298">
        <v>5092.08</v>
      </c>
      <c r="L12" s="299"/>
      <c r="M12" s="140"/>
      <c r="N12" s="1"/>
      <c r="R12" s="3"/>
    </row>
    <row r="13" spans="1:22" ht="15.75">
      <c r="A13" s="163">
        <f>'07'!A13+B13-E13</f>
        <v>-67.930000000000007</v>
      </c>
      <c r="B13" s="55">
        <v>-285</v>
      </c>
      <c r="C13" s="33" t="s">
        <v>467</v>
      </c>
      <c r="D13" s="57"/>
      <c r="E13" s="58"/>
      <c r="F13" s="58"/>
      <c r="G13" s="33"/>
      <c r="H13" s="1"/>
      <c r="I13" s="159"/>
      <c r="J13" s="158"/>
      <c r="K13" s="298"/>
      <c r="L13" s="299"/>
      <c r="M13" s="1"/>
      <c r="N13" s="1"/>
      <c r="R13" s="3"/>
    </row>
    <row r="14" spans="1:22" ht="15.75">
      <c r="A14" s="163">
        <f>'07'!A14+B14-E14</f>
        <v>200</v>
      </c>
      <c r="B14" s="55">
        <v>25</v>
      </c>
      <c r="C14" s="33" t="s">
        <v>206</v>
      </c>
      <c r="D14" s="57"/>
      <c r="E14" s="58"/>
      <c r="F14" s="58"/>
      <c r="G14" s="33"/>
      <c r="H14" s="1"/>
      <c r="I14" s="159"/>
      <c r="J14" s="158"/>
      <c r="K14" s="298"/>
      <c r="L14" s="299"/>
      <c r="M14" s="1"/>
      <c r="N14" s="1"/>
      <c r="R14" s="3"/>
    </row>
    <row r="15" spans="1:22" ht="15.75">
      <c r="A15" s="163">
        <f>'07'!A15+B15-E15</f>
        <v>35</v>
      </c>
      <c r="B15" s="55">
        <v>7</v>
      </c>
      <c r="C15" s="33" t="s">
        <v>352</v>
      </c>
      <c r="D15" s="57"/>
      <c r="E15" s="58"/>
      <c r="F15" s="58"/>
      <c r="G15" s="33"/>
      <c r="H15" s="1"/>
      <c r="I15" s="159"/>
      <c r="J15" s="158"/>
      <c r="K15" s="298"/>
      <c r="L15" s="299"/>
      <c r="M15" s="1"/>
      <c r="N15" s="1"/>
      <c r="R15" s="3"/>
    </row>
    <row r="16" spans="1:22" ht="15.75">
      <c r="A16" s="163">
        <f>'07'!A16+B16-E16</f>
        <v>0</v>
      </c>
      <c r="B16" s="55">
        <v>20</v>
      </c>
      <c r="C16" s="33" t="s">
        <v>463</v>
      </c>
      <c r="D16" s="57"/>
      <c r="E16" s="58"/>
      <c r="F16" s="58"/>
      <c r="G16" s="33"/>
      <c r="H16" s="1"/>
      <c r="I16" s="159"/>
      <c r="J16" s="158"/>
      <c r="K16" s="298"/>
      <c r="L16" s="299"/>
      <c r="M16" s="1"/>
      <c r="N16" s="1"/>
      <c r="R16" s="3"/>
    </row>
    <row r="17" spans="1:18" ht="15.75">
      <c r="A17" s="1"/>
      <c r="B17" s="55"/>
      <c r="C17" s="33"/>
      <c r="D17" s="57"/>
      <c r="E17" s="58"/>
      <c r="F17" s="58"/>
      <c r="G17" s="33"/>
      <c r="H17" s="1"/>
      <c r="I17" s="159"/>
      <c r="J17" s="158"/>
      <c r="K17" s="298"/>
      <c r="L17" s="299"/>
      <c r="M17" s="1"/>
      <c r="N17" s="1"/>
      <c r="R17" s="3"/>
    </row>
    <row r="18" spans="1:18" ht="16.5" thickBot="1">
      <c r="A18" s="1"/>
      <c r="B18" s="55"/>
      <c r="C18" s="33"/>
      <c r="D18" s="57"/>
      <c r="E18" s="58"/>
      <c r="F18" s="58"/>
      <c r="G18" s="33"/>
      <c r="H18" s="1"/>
      <c r="I18" s="160"/>
      <c r="J18" s="161"/>
      <c r="K18" s="300"/>
      <c r="L18" s="301"/>
      <c r="M18" s="1"/>
      <c r="N18" s="1"/>
      <c r="R18" s="3"/>
    </row>
    <row r="19" spans="1:18" ht="16.5" thickBot="1">
      <c r="A19" s="1"/>
      <c r="B19" s="56"/>
      <c r="C19" s="34"/>
      <c r="D19" s="56"/>
      <c r="E19" s="59"/>
      <c r="F19" s="59"/>
      <c r="G19" s="34"/>
      <c r="H19" s="1"/>
      <c r="I19" s="63" t="s">
        <v>83</v>
      </c>
      <c r="J19" s="37"/>
      <c r="K19" s="300">
        <f>SUM(K5:K18)</f>
        <v>24488.75</v>
      </c>
      <c r="L19" s="301"/>
      <c r="M19" s="1"/>
      <c r="N19" s="1"/>
      <c r="R19" s="3"/>
    </row>
    <row r="20" spans="1:18" ht="16.5" thickBot="1">
      <c r="A20" s="163">
        <f>SUM(A6:A15)</f>
        <v>142.17999999999995</v>
      </c>
      <c r="B20" s="56">
        <f>SUM(B6:B19)</f>
        <v>269</v>
      </c>
      <c r="C20" s="34" t="s">
        <v>66</v>
      </c>
      <c r="D20" s="56">
        <f>SUM(D6:D19)</f>
        <v>0</v>
      </c>
      <c r="E20" s="56">
        <f>SUM(E6:E19)</f>
        <v>150.94999999999999</v>
      </c>
      <c r="F20" s="56">
        <f>SUM(F6:F19)</f>
        <v>0</v>
      </c>
      <c r="G20" s="34" t="s">
        <v>66</v>
      </c>
      <c r="H20" s="1"/>
      <c r="I20" s="137" t="s">
        <v>116</v>
      </c>
      <c r="L20" s="140">
        <f>K19-K10-K12</f>
        <v>17596.629999999997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89" t="str">
        <f>'2018'!A21</f>
        <v>Waterloo</v>
      </c>
      <c r="C22" s="290"/>
      <c r="D22" s="290"/>
      <c r="E22" s="290"/>
      <c r="F22" s="290"/>
      <c r="G22" s="291"/>
      <c r="H22" s="1"/>
      <c r="I22" s="302" t="s">
        <v>6</v>
      </c>
      <c r="J22" s="290"/>
      <c r="K22" s="290"/>
      <c r="L22" s="291"/>
      <c r="M22" s="1"/>
      <c r="R22" s="3"/>
    </row>
    <row r="23" spans="1:18" ht="16.149999999999999" customHeight="1" thickBot="1">
      <c r="A23" s="1"/>
      <c r="B23" s="292"/>
      <c r="C23" s="293"/>
      <c r="D23" s="293"/>
      <c r="E23" s="293"/>
      <c r="F23" s="293"/>
      <c r="G23" s="294"/>
      <c r="H23" s="1"/>
      <c r="I23" s="292"/>
      <c r="J23" s="293"/>
      <c r="K23" s="293"/>
      <c r="L23" s="294"/>
      <c r="M23" s="1"/>
      <c r="R23" s="3"/>
    </row>
    <row r="24" spans="1:18" ht="15.75">
      <c r="A24" s="1"/>
      <c r="B24" s="297" t="s">
        <v>10</v>
      </c>
      <c r="C24" s="296"/>
      <c r="D24" s="295" t="s">
        <v>11</v>
      </c>
      <c r="E24" s="295"/>
      <c r="F24" s="295"/>
      <c r="G24" s="296"/>
      <c r="H24" s="1"/>
      <c r="I24" s="88" t="s">
        <v>33</v>
      </c>
      <c r="J24" s="32" t="s">
        <v>133</v>
      </c>
      <c r="K24" s="303" t="s">
        <v>134</v>
      </c>
      <c r="L24" s="304"/>
      <c r="M24" s="1"/>
      <c r="R24" s="3"/>
    </row>
    <row r="25" spans="1:18" ht="15.75">
      <c r="A25" s="1"/>
      <c r="B25" s="52" t="s">
        <v>32</v>
      </c>
      <c r="C25" s="60" t="s">
        <v>33</v>
      </c>
      <c r="D25" s="52" t="s">
        <v>68</v>
      </c>
      <c r="E25" s="53" t="s">
        <v>69</v>
      </c>
      <c r="F25" s="53" t="s">
        <v>32</v>
      </c>
      <c r="G25" s="60" t="s">
        <v>33</v>
      </c>
      <c r="H25" s="1"/>
      <c r="I25" s="150">
        <v>2</v>
      </c>
      <c r="J25" s="3" t="s">
        <v>517</v>
      </c>
      <c r="K25" s="305">
        <v>269.88</v>
      </c>
      <c r="L25" s="306"/>
      <c r="M25" s="1"/>
      <c r="R25" s="3"/>
    </row>
    <row r="26" spans="1:18" ht="15.75">
      <c r="A26" s="1"/>
      <c r="B26" s="54">
        <v>900</v>
      </c>
      <c r="C26" s="66" t="s">
        <v>42</v>
      </c>
      <c r="D26" s="57">
        <v>900</v>
      </c>
      <c r="E26" s="58"/>
      <c r="F26" s="58"/>
      <c r="G26" s="33" t="s">
        <v>42</v>
      </c>
      <c r="H26" s="1"/>
      <c r="I26" s="151">
        <v>9</v>
      </c>
      <c r="J26" s="35" t="s">
        <v>526</v>
      </c>
      <c r="K26" s="298">
        <v>49</v>
      </c>
      <c r="L26" s="299"/>
      <c r="M26" s="1"/>
      <c r="R26" s="3"/>
    </row>
    <row r="27" spans="1:18" ht="15.75">
      <c r="A27" s="1"/>
      <c r="B27" s="55">
        <v>170</v>
      </c>
      <c r="C27" s="66" t="s">
        <v>44</v>
      </c>
      <c r="D27" s="57">
        <v>167</v>
      </c>
      <c r="E27" s="58"/>
      <c r="F27" s="58"/>
      <c r="G27" s="33" t="s">
        <v>44</v>
      </c>
      <c r="H27" s="1"/>
      <c r="I27" s="151"/>
      <c r="J27" s="35"/>
      <c r="K27" s="298"/>
      <c r="L27" s="299"/>
      <c r="M27" s="1"/>
      <c r="R27" s="3"/>
    </row>
    <row r="28" spans="1:18" ht="15.75">
      <c r="A28" s="1"/>
      <c r="B28" s="55">
        <v>40</v>
      </c>
      <c r="C28" s="66" t="s">
        <v>45</v>
      </c>
      <c r="D28" s="57"/>
      <c r="E28" s="58"/>
      <c r="F28" s="58"/>
      <c r="G28" s="33" t="s">
        <v>45</v>
      </c>
      <c r="H28" s="1"/>
      <c r="I28" s="151"/>
      <c r="J28" s="35"/>
      <c r="K28" s="298"/>
      <c r="L28" s="299"/>
      <c r="M28" s="1"/>
      <c r="R28" s="3"/>
    </row>
    <row r="29" spans="1:18" ht="15.75">
      <c r="A29" s="1"/>
      <c r="B29" s="55">
        <v>18</v>
      </c>
      <c r="C29" s="66" t="s">
        <v>41</v>
      </c>
      <c r="D29" s="57">
        <v>17.46</v>
      </c>
      <c r="E29" s="58"/>
      <c r="F29" s="58"/>
      <c r="G29" s="33" t="s">
        <v>41</v>
      </c>
      <c r="H29" s="1"/>
      <c r="I29" s="151"/>
      <c r="J29" s="35"/>
      <c r="K29" s="298"/>
      <c r="L29" s="299"/>
      <c r="M29" s="1"/>
      <c r="R29" s="3"/>
    </row>
    <row r="30" spans="1:18" ht="15.75">
      <c r="A30" s="1"/>
      <c r="B30" s="55"/>
      <c r="C30" s="66"/>
      <c r="D30" s="57"/>
      <c r="E30" s="58"/>
      <c r="F30" s="58"/>
      <c r="G30" s="33"/>
      <c r="H30" s="1"/>
      <c r="I30" s="151"/>
      <c r="J30" s="35"/>
      <c r="K30" s="298"/>
      <c r="L30" s="299"/>
      <c r="M30" s="1"/>
      <c r="R30" s="3"/>
    </row>
    <row r="31" spans="1:18" ht="15.75">
      <c r="A31" s="1"/>
      <c r="B31" s="55"/>
      <c r="C31" s="33"/>
      <c r="D31" s="57"/>
      <c r="E31" s="58"/>
      <c r="F31" s="58"/>
      <c r="G31" s="33"/>
      <c r="H31" s="1"/>
      <c r="I31" s="151"/>
      <c r="J31" s="35"/>
      <c r="K31" s="298"/>
      <c r="L31" s="299"/>
      <c r="M31" s="1"/>
      <c r="R31" s="3"/>
    </row>
    <row r="32" spans="1:18" ht="15.75">
      <c r="A32" s="1"/>
      <c r="B32" s="55"/>
      <c r="C32" s="33"/>
      <c r="D32" s="57"/>
      <c r="E32" s="58"/>
      <c r="F32" s="58"/>
      <c r="G32" s="33"/>
      <c r="H32" s="1"/>
      <c r="I32" s="151"/>
      <c r="J32" s="35"/>
      <c r="K32" s="298"/>
      <c r="L32" s="299"/>
      <c r="M32" s="1"/>
      <c r="R32" s="3"/>
    </row>
    <row r="33" spans="1:18" ht="15.75">
      <c r="A33" s="1"/>
      <c r="B33" s="55"/>
      <c r="C33" s="33"/>
      <c r="D33" s="57"/>
      <c r="E33" s="58"/>
      <c r="F33" s="58"/>
      <c r="G33" s="33"/>
      <c r="H33" s="1"/>
      <c r="I33" s="151"/>
      <c r="J33" s="35"/>
      <c r="K33" s="298"/>
      <c r="L33" s="299"/>
      <c r="M33" s="1"/>
      <c r="R33" s="3"/>
    </row>
    <row r="34" spans="1:18" ht="15.75">
      <c r="A34" s="1"/>
      <c r="B34" s="55"/>
      <c r="C34" s="33"/>
      <c r="D34" s="57"/>
      <c r="E34" s="58"/>
      <c r="F34" s="58"/>
      <c r="G34" s="33"/>
      <c r="H34" s="1"/>
      <c r="I34" s="151"/>
      <c r="J34" s="35"/>
      <c r="K34" s="298"/>
      <c r="L34" s="299"/>
      <c r="M34" s="1"/>
      <c r="R34" s="3"/>
    </row>
    <row r="35" spans="1:18" ht="15.75">
      <c r="A35" s="1"/>
      <c r="B35" s="55"/>
      <c r="C35" s="33"/>
      <c r="D35" s="57"/>
      <c r="E35" s="58"/>
      <c r="F35" s="58"/>
      <c r="G35" s="33"/>
      <c r="H35" s="1"/>
      <c r="I35" s="151"/>
      <c r="J35" s="35"/>
      <c r="K35" s="298"/>
      <c r="L35" s="299"/>
      <c r="M35" s="1"/>
      <c r="R35" s="3"/>
    </row>
    <row r="36" spans="1:18" ht="15.75">
      <c r="A36" s="1"/>
      <c r="B36" s="55"/>
      <c r="C36" s="33"/>
      <c r="D36" s="57"/>
      <c r="E36" s="58"/>
      <c r="F36" s="58"/>
      <c r="G36" s="33"/>
      <c r="H36" s="1"/>
      <c r="I36" s="151"/>
      <c r="J36" s="35"/>
      <c r="K36" s="298"/>
      <c r="L36" s="299"/>
      <c r="M36" s="1"/>
      <c r="R36" s="3"/>
    </row>
    <row r="37" spans="1:18" ht="15.75">
      <c r="A37" s="1"/>
      <c r="B37" s="55"/>
      <c r="C37" s="33"/>
      <c r="D37" s="57"/>
      <c r="E37" s="58"/>
      <c r="F37" s="58"/>
      <c r="G37" s="33"/>
      <c r="H37" s="1"/>
      <c r="I37" s="151"/>
      <c r="J37" s="35"/>
      <c r="K37" s="298"/>
      <c r="L37" s="299"/>
      <c r="M37" s="1"/>
      <c r="R37" s="3"/>
    </row>
    <row r="38" spans="1:18" ht="16.5" thickBot="1">
      <c r="A38" s="1"/>
      <c r="B38" s="55"/>
      <c r="C38" s="33"/>
      <c r="D38" s="57"/>
      <c r="E38" s="58"/>
      <c r="F38" s="58"/>
      <c r="G38" s="33"/>
      <c r="H38" s="1"/>
      <c r="I38" s="152"/>
      <c r="J38" s="37"/>
      <c r="K38" s="300"/>
      <c r="L38" s="301"/>
      <c r="M38" s="1"/>
      <c r="R38" s="3"/>
    </row>
    <row r="39" spans="1:18" ht="16.5" thickBot="1">
      <c r="A39" s="1"/>
      <c r="B39" s="56"/>
      <c r="C39" s="34"/>
      <c r="D39" s="56"/>
      <c r="E39" s="59"/>
      <c r="F39" s="59"/>
      <c r="G39" s="34"/>
      <c r="H39" s="1"/>
      <c r="M39" s="1"/>
      <c r="R39" s="3"/>
    </row>
    <row r="40" spans="1:18" ht="16.5" thickBot="1">
      <c r="A40" s="1"/>
      <c r="B40" s="56">
        <f>SUM(B26:B39)</f>
        <v>1128</v>
      </c>
      <c r="C40" s="34" t="s">
        <v>66</v>
      </c>
      <c r="D40" s="56">
        <f>SUM(D26:D39)</f>
        <v>1084.46</v>
      </c>
      <c r="E40" s="56">
        <f>SUM(E26:E39)</f>
        <v>0</v>
      </c>
      <c r="F40" s="56">
        <f>SUM(F26:F39)</f>
        <v>0</v>
      </c>
      <c r="G40" s="34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89" t="str">
        <f>'2018'!A22</f>
        <v>Comida+Limpieza</v>
      </c>
      <c r="C42" s="290"/>
      <c r="D42" s="290"/>
      <c r="E42" s="290"/>
      <c r="F42" s="290"/>
      <c r="G42" s="291"/>
      <c r="H42" s="1"/>
      <c r="M42" s="1"/>
      <c r="R42" s="3"/>
    </row>
    <row r="43" spans="1:18" ht="16.149999999999999" customHeight="1" thickBot="1">
      <c r="A43" s="1"/>
      <c r="B43" s="292"/>
      <c r="C43" s="293"/>
      <c r="D43" s="293"/>
      <c r="E43" s="293"/>
      <c r="F43" s="293"/>
      <c r="G43" s="294"/>
      <c r="H43" s="1"/>
      <c r="M43" s="1"/>
      <c r="R43" s="3"/>
    </row>
    <row r="44" spans="1:18" ht="15.75">
      <c r="A44" s="1"/>
      <c r="B44" s="297" t="s">
        <v>10</v>
      </c>
      <c r="C44" s="296"/>
      <c r="D44" s="295" t="s">
        <v>11</v>
      </c>
      <c r="E44" s="295"/>
      <c r="F44" s="295"/>
      <c r="G44" s="296"/>
      <c r="H44" s="1"/>
      <c r="M44" s="1"/>
      <c r="R44" s="3"/>
    </row>
    <row r="45" spans="1:18" ht="15.75">
      <c r="A45" s="1"/>
      <c r="B45" s="52" t="s">
        <v>32</v>
      </c>
      <c r="C45" s="60" t="s">
        <v>33</v>
      </c>
      <c r="D45" s="52" t="s">
        <v>68</v>
      </c>
      <c r="E45" s="53" t="s">
        <v>69</v>
      </c>
      <c r="F45" s="53" t="s">
        <v>32</v>
      </c>
      <c r="G45" s="60" t="s">
        <v>393</v>
      </c>
      <c r="H45" s="1"/>
      <c r="M45" s="1"/>
      <c r="R45" s="3"/>
    </row>
    <row r="46" spans="1:18" ht="15.75">
      <c r="A46" s="1"/>
      <c r="B46" s="54">
        <v>472</v>
      </c>
      <c r="C46" s="36"/>
      <c r="D46" s="57">
        <f>73.6</f>
        <v>73.599999999999994</v>
      </c>
      <c r="E46" s="58"/>
      <c r="F46" s="58"/>
      <c r="G46" s="69" t="s">
        <v>532</v>
      </c>
      <c r="H46" s="1"/>
      <c r="M46" s="1"/>
      <c r="R46" s="3"/>
    </row>
    <row r="47" spans="1:18" ht="15.75">
      <c r="A47" s="1"/>
      <c r="B47" s="55">
        <v>28</v>
      </c>
      <c r="C47" s="33" t="s">
        <v>110</v>
      </c>
      <c r="D47" s="57">
        <f>56.65</f>
        <v>56.65</v>
      </c>
      <c r="E47" s="58"/>
      <c r="F47" s="58"/>
      <c r="G47" s="33" t="s">
        <v>519</v>
      </c>
      <c r="H47" s="1"/>
      <c r="M47" s="1"/>
      <c r="R47" s="3"/>
    </row>
    <row r="48" spans="1:18" ht="15.75">
      <c r="A48" s="1"/>
      <c r="B48" s="55"/>
      <c r="C48" s="33"/>
      <c r="D48" s="57">
        <f>17.09</f>
        <v>17.09</v>
      </c>
      <c r="E48" s="58"/>
      <c r="F48" s="58"/>
      <c r="G48" s="33" t="s">
        <v>520</v>
      </c>
      <c r="H48" s="1"/>
      <c r="M48" s="1"/>
      <c r="R48" s="3"/>
    </row>
    <row r="49" spans="1:18" ht="15.75">
      <c r="A49" s="1"/>
      <c r="B49" s="55"/>
      <c r="C49" s="33"/>
      <c r="D49" s="57">
        <v>8.35</v>
      </c>
      <c r="E49" s="58"/>
      <c r="F49" s="58"/>
      <c r="G49" s="33" t="s">
        <v>523</v>
      </c>
      <c r="H49" s="1"/>
      <c r="M49" s="1"/>
      <c r="R49" s="3"/>
    </row>
    <row r="50" spans="1:18" ht="15.75">
      <c r="A50" s="1"/>
      <c r="B50" s="55"/>
      <c r="C50" s="33"/>
      <c r="D50" s="57">
        <v>6.27</v>
      </c>
      <c r="E50" s="58"/>
      <c r="F50" s="58"/>
      <c r="G50" s="33" t="s">
        <v>524</v>
      </c>
      <c r="H50" s="1"/>
      <c r="M50" s="1"/>
      <c r="R50" s="3"/>
    </row>
    <row r="51" spans="1:18" ht="15.75">
      <c r="A51" s="1"/>
      <c r="B51" s="55"/>
      <c r="C51" s="33"/>
      <c r="D51" s="57">
        <f>79.42-D148</f>
        <v>72.63</v>
      </c>
      <c r="E51" s="58"/>
      <c r="F51" s="58"/>
      <c r="G51" s="33" t="s">
        <v>535</v>
      </c>
      <c r="H51" s="1"/>
      <c r="M51" s="1"/>
      <c r="R51" s="3"/>
    </row>
    <row r="52" spans="1:18" ht="15.75">
      <c r="A52" s="1"/>
      <c r="B52" s="55"/>
      <c r="C52" s="33"/>
      <c r="D52" s="57">
        <v>19</v>
      </c>
      <c r="E52" s="58"/>
      <c r="F52" s="58"/>
      <c r="G52" s="33" t="s">
        <v>537</v>
      </c>
      <c r="H52" s="1"/>
      <c r="M52" s="1"/>
      <c r="R52" s="3"/>
    </row>
    <row r="53" spans="1:18" ht="15.75">
      <c r="A53" s="1"/>
      <c r="B53" s="55"/>
      <c r="C53" s="33"/>
      <c r="D53" s="57">
        <f>49.03-D149</f>
        <v>4.0300000000000011</v>
      </c>
      <c r="E53" s="58"/>
      <c r="F53" s="58"/>
      <c r="G53" s="33" t="s">
        <v>542</v>
      </c>
      <c r="H53" s="1"/>
      <c r="M53" s="1"/>
      <c r="R53" s="3"/>
    </row>
    <row r="54" spans="1:18" ht="15.75">
      <c r="A54" s="1"/>
      <c r="B54" s="55"/>
      <c r="C54" s="33"/>
      <c r="D54" s="57">
        <v>8.59</v>
      </c>
      <c r="E54" s="58"/>
      <c r="F54" s="58"/>
      <c r="G54" s="33" t="s">
        <v>544</v>
      </c>
      <c r="H54" s="1"/>
      <c r="M54" s="1"/>
      <c r="R54" s="3"/>
    </row>
    <row r="55" spans="1:18" ht="15.75">
      <c r="A55" s="1"/>
      <c r="B55" s="55"/>
      <c r="C55" s="33"/>
      <c r="D55" s="57">
        <f>58.47</f>
        <v>58.47</v>
      </c>
      <c r="E55" s="58"/>
      <c r="F55" s="58"/>
      <c r="G55" s="33" t="s">
        <v>545</v>
      </c>
      <c r="H55" s="1"/>
      <c r="M55" s="1"/>
      <c r="R55" s="3"/>
    </row>
    <row r="56" spans="1:18" ht="15.75">
      <c r="A56" s="1"/>
      <c r="B56" s="55"/>
      <c r="C56" s="33"/>
      <c r="D56" s="57">
        <f>45.18</f>
        <v>45.18</v>
      </c>
      <c r="E56" s="58"/>
      <c r="F56" s="58"/>
      <c r="G56" s="33" t="s">
        <v>546</v>
      </c>
      <c r="H56" s="1"/>
      <c r="M56" s="1"/>
      <c r="R56" s="3"/>
    </row>
    <row r="57" spans="1:18" ht="15.75">
      <c r="A57" s="1"/>
      <c r="B57" s="55"/>
      <c r="C57" s="33"/>
      <c r="D57" s="57">
        <f>8.76+9.34</f>
        <v>18.100000000000001</v>
      </c>
      <c r="E57" s="58"/>
      <c r="F57" s="58"/>
      <c r="G57" s="33" t="s">
        <v>566</v>
      </c>
      <c r="H57" s="1"/>
      <c r="M57" s="1"/>
      <c r="R57" s="3"/>
    </row>
    <row r="58" spans="1:18" ht="15.75">
      <c r="A58" s="1"/>
      <c r="B58" s="55"/>
      <c r="C58" s="33"/>
      <c r="D58" s="57">
        <f>9.15+43.15-D167</f>
        <v>19.149999999999999</v>
      </c>
      <c r="E58" s="58"/>
      <c r="F58" s="58"/>
      <c r="G58" s="33" t="s">
        <v>565</v>
      </c>
      <c r="H58" s="1"/>
      <c r="M58" s="1"/>
      <c r="R58" s="3"/>
    </row>
    <row r="59" spans="1:18" ht="16.5" thickBot="1">
      <c r="A59" s="1"/>
      <c r="B59" s="56"/>
      <c r="C59" s="34"/>
      <c r="D59" s="56">
        <v>8.7799999999999994</v>
      </c>
      <c r="E59" s="59"/>
      <c r="F59" s="59"/>
      <c r="G59" s="34" t="s">
        <v>564</v>
      </c>
      <c r="H59" s="1"/>
      <c r="M59" s="1"/>
      <c r="R59" s="3"/>
    </row>
    <row r="60" spans="1:18" ht="16.5" thickBot="1">
      <c r="A60" s="1"/>
      <c r="B60" s="56">
        <f>SUM(B46:B59)</f>
        <v>500</v>
      </c>
      <c r="C60" s="34" t="s">
        <v>66</v>
      </c>
      <c r="D60" s="56">
        <f>SUM(D46:D59)</f>
        <v>415.88999999999993</v>
      </c>
      <c r="E60" s="56">
        <f>SUM(E46:E59)</f>
        <v>0</v>
      </c>
      <c r="F60" s="56">
        <f>SUM(F46:F59)</f>
        <v>0</v>
      </c>
      <c r="G60" s="34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89" t="str">
        <f>'2018'!A23</f>
        <v>Ocio</v>
      </c>
      <c r="C62" s="290"/>
      <c r="D62" s="290"/>
      <c r="E62" s="290"/>
      <c r="F62" s="290"/>
      <c r="G62" s="291"/>
      <c r="H62" s="1"/>
      <c r="M62" s="1"/>
      <c r="R62" s="3"/>
    </row>
    <row r="63" spans="1:18" ht="16.149999999999999" customHeight="1" thickBot="1">
      <c r="A63" s="1"/>
      <c r="B63" s="292"/>
      <c r="C63" s="293"/>
      <c r="D63" s="293"/>
      <c r="E63" s="293"/>
      <c r="F63" s="293"/>
      <c r="G63" s="294"/>
      <c r="H63" s="1"/>
      <c r="M63" s="1"/>
      <c r="R63" s="3"/>
    </row>
    <row r="64" spans="1:18" ht="15.75">
      <c r="A64" s="1"/>
      <c r="B64" s="297" t="s">
        <v>10</v>
      </c>
      <c r="C64" s="296"/>
      <c r="D64" s="295" t="s">
        <v>11</v>
      </c>
      <c r="E64" s="295"/>
      <c r="F64" s="295"/>
      <c r="G64" s="296"/>
      <c r="H64" s="1"/>
      <c r="M64" s="1"/>
      <c r="R64" s="3"/>
    </row>
    <row r="65" spans="1:18" ht="15.75">
      <c r="A65" s="1"/>
      <c r="B65" s="52" t="s">
        <v>32</v>
      </c>
      <c r="C65" s="60" t="s">
        <v>33</v>
      </c>
      <c r="D65" s="52" t="s">
        <v>68</v>
      </c>
      <c r="E65" s="53" t="s">
        <v>69</v>
      </c>
      <c r="F65" s="53" t="s">
        <v>32</v>
      </c>
      <c r="G65" s="60" t="s">
        <v>393</v>
      </c>
      <c r="H65" s="1"/>
      <c r="M65" s="1"/>
      <c r="R65" s="3"/>
    </row>
    <row r="66" spans="1:18" ht="15.75">
      <c r="A66" s="1"/>
      <c r="B66" s="54">
        <v>150</v>
      </c>
      <c r="C66" s="36" t="s">
        <v>36</v>
      </c>
      <c r="D66" s="57"/>
      <c r="E66" s="58"/>
      <c r="F66" s="58">
        <v>4</v>
      </c>
      <c r="G66" s="36" t="s">
        <v>518</v>
      </c>
      <c r="H66" s="1"/>
      <c r="M66" s="1"/>
      <c r="R66" s="3"/>
    </row>
    <row r="67" spans="1:18" ht="15.75">
      <c r="A67" s="1"/>
      <c r="B67" s="55">
        <v>106.3</v>
      </c>
      <c r="C67" s="33" t="s">
        <v>486</v>
      </c>
      <c r="D67" s="57">
        <f>22.8</f>
        <v>22.8</v>
      </c>
      <c r="E67" s="58"/>
      <c r="F67" s="58">
        <v>3</v>
      </c>
      <c r="G67" s="70" t="s">
        <v>529</v>
      </c>
      <c r="H67" s="1"/>
      <c r="M67" s="1"/>
      <c r="R67" s="3"/>
    </row>
    <row r="68" spans="1:18" ht="15.75">
      <c r="A68" s="1"/>
      <c r="B68" s="55"/>
      <c r="C68" s="33"/>
      <c r="D68" s="57">
        <v>10.95</v>
      </c>
      <c r="E68" s="58"/>
      <c r="F68" s="58"/>
      <c r="G68" s="33" t="s">
        <v>528</v>
      </c>
      <c r="H68" s="1"/>
      <c r="M68" s="1"/>
      <c r="R68" s="3"/>
    </row>
    <row r="69" spans="1:18" ht="15.75">
      <c r="A69" s="1"/>
      <c r="B69" s="55"/>
      <c r="C69" s="33"/>
      <c r="D69" s="57">
        <v>15.95</v>
      </c>
      <c r="E69" s="58"/>
      <c r="F69" s="58"/>
      <c r="G69" s="33" t="s">
        <v>540</v>
      </c>
      <c r="H69" s="1"/>
      <c r="M69" s="1"/>
      <c r="R69" s="3"/>
    </row>
    <row r="70" spans="1:18" ht="15.75">
      <c r="A70" s="1"/>
      <c r="B70" s="55"/>
      <c r="C70" s="33"/>
      <c r="D70" s="57">
        <v>58.6</v>
      </c>
      <c r="E70" s="58"/>
      <c r="F70" s="58"/>
      <c r="G70" s="33" t="s">
        <v>552</v>
      </c>
      <c r="H70" s="1"/>
      <c r="M70" s="1"/>
      <c r="R70" s="3"/>
    </row>
    <row r="71" spans="1:18" ht="15.75">
      <c r="A71" s="1"/>
      <c r="B71" s="55"/>
      <c r="C71" s="33"/>
      <c r="D71" s="57">
        <f>35+85.7</f>
        <v>120.7</v>
      </c>
      <c r="E71" s="58"/>
      <c r="F71" s="58"/>
      <c r="G71" s="33" t="s">
        <v>547</v>
      </c>
      <c r="H71" s="1"/>
      <c r="M71" s="1"/>
      <c r="R71" s="3"/>
    </row>
    <row r="72" spans="1:18" ht="15.75">
      <c r="A72" s="1"/>
      <c r="B72" s="55"/>
      <c r="C72" s="33"/>
      <c r="D72" s="57">
        <v>22.8</v>
      </c>
      <c r="E72" s="58"/>
      <c r="F72" s="58"/>
      <c r="G72" s="33" t="s">
        <v>556</v>
      </c>
      <c r="H72" s="1"/>
      <c r="M72" s="1"/>
      <c r="R72" s="3"/>
    </row>
    <row r="73" spans="1:18" ht="15.75">
      <c r="A73" s="1"/>
      <c r="B73" s="55"/>
      <c r="C73" s="33"/>
      <c r="D73" s="57"/>
      <c r="E73" s="58"/>
      <c r="F73" s="58"/>
      <c r="G73" s="33"/>
      <c r="H73" s="1"/>
      <c r="M73" s="1"/>
      <c r="R73" s="3"/>
    </row>
    <row r="74" spans="1:18" ht="15.75">
      <c r="A74" s="1"/>
      <c r="B74" s="55"/>
      <c r="C74" s="33"/>
      <c r="D74" s="57"/>
      <c r="E74" s="58"/>
      <c r="F74" s="58"/>
      <c r="G74" s="33"/>
      <c r="H74" s="1"/>
      <c r="M74" s="1"/>
      <c r="R74" s="3"/>
    </row>
    <row r="75" spans="1:18" ht="15.75">
      <c r="A75" s="1"/>
      <c r="B75" s="55"/>
      <c r="C75" s="33"/>
      <c r="D75" s="57"/>
      <c r="E75" s="58"/>
      <c r="F75" s="58"/>
      <c r="G75" s="33"/>
      <c r="H75" s="1"/>
      <c r="M75" s="1"/>
      <c r="R75" s="3"/>
    </row>
    <row r="76" spans="1:18" ht="15.75">
      <c r="A76" s="1"/>
      <c r="B76" s="55"/>
      <c r="C76" s="33"/>
      <c r="D76" s="57"/>
      <c r="E76" s="58"/>
      <c r="F76" s="58"/>
      <c r="G76" s="33"/>
      <c r="H76" s="1"/>
      <c r="M76" s="1"/>
      <c r="R76" s="3"/>
    </row>
    <row r="77" spans="1:18" ht="15.75">
      <c r="A77" s="1"/>
      <c r="B77" s="55"/>
      <c r="C77" s="33"/>
      <c r="D77" s="57"/>
      <c r="E77" s="58"/>
      <c r="F77" s="58"/>
      <c r="G77" s="33"/>
      <c r="H77" s="1"/>
      <c r="M77" s="1"/>
      <c r="R77" s="3"/>
    </row>
    <row r="78" spans="1:18" ht="15.75">
      <c r="A78" s="1"/>
      <c r="B78" s="55"/>
      <c r="C78" s="33"/>
      <c r="D78" s="57"/>
      <c r="E78" s="58"/>
      <c r="F78" s="58"/>
      <c r="G78" s="33"/>
      <c r="H78" s="1"/>
      <c r="M78" s="1"/>
      <c r="R78" s="3"/>
    </row>
    <row r="79" spans="1:18" ht="16.5" thickBot="1">
      <c r="A79" s="1"/>
      <c r="B79" s="56"/>
      <c r="C79" s="34"/>
      <c r="D79" s="56"/>
      <c r="E79" s="59"/>
      <c r="F79" s="59"/>
      <c r="G79" s="34"/>
      <c r="H79" s="1"/>
      <c r="M79" s="1"/>
      <c r="R79" s="3"/>
    </row>
    <row r="80" spans="1:18" ht="16.5" thickBot="1">
      <c r="A80" s="1"/>
      <c r="B80" s="56">
        <f>SUM(B66:B79)</f>
        <v>256.3</v>
      </c>
      <c r="C80" s="34" t="s">
        <v>66</v>
      </c>
      <c r="D80" s="56">
        <f>SUM(D66:D79)</f>
        <v>251.8</v>
      </c>
      <c r="E80" s="56">
        <f>SUM(E66:E79)</f>
        <v>0</v>
      </c>
      <c r="F80" s="56">
        <f>SUM(F66:F79)</f>
        <v>7</v>
      </c>
      <c r="G80" s="34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89" t="str">
        <f>'2018'!A24</f>
        <v>Transportes</v>
      </c>
      <c r="C82" s="290"/>
      <c r="D82" s="290"/>
      <c r="E82" s="290"/>
      <c r="F82" s="290"/>
      <c r="G82" s="291"/>
      <c r="H82" s="1"/>
      <c r="M82" s="1"/>
      <c r="R82" s="3"/>
    </row>
    <row r="83" spans="1:18" ht="16.149999999999999" customHeight="1" thickBot="1">
      <c r="A83" s="1"/>
      <c r="B83" s="292"/>
      <c r="C83" s="293"/>
      <c r="D83" s="293"/>
      <c r="E83" s="293"/>
      <c r="F83" s="293"/>
      <c r="G83" s="294"/>
      <c r="H83" s="1"/>
      <c r="M83" s="1"/>
      <c r="R83" s="3"/>
    </row>
    <row r="84" spans="1:18" ht="15.75">
      <c r="A84" s="1"/>
      <c r="B84" s="297" t="s">
        <v>10</v>
      </c>
      <c r="C84" s="296"/>
      <c r="D84" s="295" t="s">
        <v>11</v>
      </c>
      <c r="E84" s="295"/>
      <c r="F84" s="295"/>
      <c r="G84" s="296"/>
      <c r="H84" s="1"/>
      <c r="M84" s="1"/>
      <c r="R84" s="3"/>
    </row>
    <row r="85" spans="1:18" ht="15.75">
      <c r="A85" s="1"/>
      <c r="B85" s="52" t="s">
        <v>32</v>
      </c>
      <c r="C85" s="60" t="s">
        <v>33</v>
      </c>
      <c r="D85" s="52" t="s">
        <v>68</v>
      </c>
      <c r="E85" s="53" t="s">
        <v>69</v>
      </c>
      <c r="F85" s="53" t="s">
        <v>32</v>
      </c>
      <c r="G85" s="60" t="s">
        <v>393</v>
      </c>
      <c r="H85" s="1"/>
      <c r="M85" s="1"/>
      <c r="R85" s="3"/>
    </row>
    <row r="86" spans="1:18" ht="15.75">
      <c r="A86" s="1"/>
      <c r="B86" s="54">
        <v>150</v>
      </c>
      <c r="C86" s="36" t="s">
        <v>51</v>
      </c>
      <c r="D86" s="57">
        <v>52.69</v>
      </c>
      <c r="E86" s="58"/>
      <c r="F86" s="58"/>
      <c r="G86" s="33" t="s">
        <v>525</v>
      </c>
      <c r="H86" s="1"/>
      <c r="M86" s="1"/>
      <c r="R86" s="3"/>
    </row>
    <row r="87" spans="1:18" ht="15.75">
      <c r="A87" s="1"/>
      <c r="B87" s="55"/>
      <c r="C87" s="33"/>
      <c r="D87" s="57">
        <v>51.57</v>
      </c>
      <c r="E87" s="58"/>
      <c r="F87" s="58"/>
      <c r="G87" s="33" t="s">
        <v>549</v>
      </c>
      <c r="H87" s="1"/>
      <c r="M87" s="1"/>
      <c r="R87" s="3"/>
    </row>
    <row r="88" spans="1:18" ht="15.75">
      <c r="A88" s="1"/>
      <c r="B88" s="55"/>
      <c r="C88" s="33"/>
      <c r="D88" s="57">
        <v>4.8</v>
      </c>
      <c r="E88" s="58"/>
      <c r="F88" s="58"/>
      <c r="G88" s="33" t="s">
        <v>554</v>
      </c>
      <c r="H88" s="1"/>
      <c r="M88" s="1"/>
      <c r="R88" s="3"/>
    </row>
    <row r="89" spans="1:18" ht="15.75">
      <c r="A89" s="1"/>
      <c r="B89" s="55"/>
      <c r="C89" s="33"/>
      <c r="D89" s="57">
        <v>11.9</v>
      </c>
      <c r="E89" s="58"/>
      <c r="F89" s="58"/>
      <c r="G89" s="33" t="s">
        <v>555</v>
      </c>
      <c r="H89" s="1"/>
      <c r="M89" s="1"/>
      <c r="R89" s="3"/>
    </row>
    <row r="90" spans="1:18" ht="15.75">
      <c r="A90" s="1"/>
      <c r="B90" s="55"/>
      <c r="C90" s="33"/>
      <c r="D90" s="57">
        <v>43.96</v>
      </c>
      <c r="E90" s="58"/>
      <c r="F90" s="58"/>
      <c r="G90" s="33" t="s">
        <v>561</v>
      </c>
      <c r="H90" s="1"/>
      <c r="M90" s="1"/>
      <c r="R90" s="3"/>
    </row>
    <row r="91" spans="1:18" ht="15.75">
      <c r="A91" s="1"/>
      <c r="B91" s="55"/>
      <c r="C91" s="33"/>
      <c r="D91" s="57"/>
      <c r="E91" s="58"/>
      <c r="F91" s="58"/>
      <c r="G91" s="33"/>
      <c r="H91" s="1"/>
      <c r="M91" s="1"/>
      <c r="R91" s="3"/>
    </row>
    <row r="92" spans="1:18" ht="15.75">
      <c r="A92" s="1"/>
      <c r="B92" s="55"/>
      <c r="C92" s="33"/>
      <c r="D92" s="57"/>
      <c r="E92" s="58"/>
      <c r="F92" s="58"/>
      <c r="G92" s="33"/>
      <c r="H92" s="1"/>
      <c r="M92" s="1"/>
      <c r="R92" s="3"/>
    </row>
    <row r="93" spans="1:18" ht="15.75">
      <c r="A93" s="1"/>
      <c r="B93" s="55"/>
      <c r="C93" s="33"/>
      <c r="D93" s="57"/>
      <c r="E93" s="58"/>
      <c r="F93" s="58"/>
      <c r="G93" s="33"/>
      <c r="H93" s="1"/>
      <c r="M93" s="1"/>
      <c r="R93" s="3"/>
    </row>
    <row r="94" spans="1:18" ht="15.75">
      <c r="A94" s="1"/>
      <c r="B94" s="55"/>
      <c r="C94" s="33"/>
      <c r="D94" s="57"/>
      <c r="E94" s="58"/>
      <c r="F94" s="58"/>
      <c r="G94" s="33"/>
      <c r="H94" s="1"/>
      <c r="M94" s="1"/>
      <c r="R94" s="3"/>
    </row>
    <row r="95" spans="1:18" ht="15.75">
      <c r="A95" s="1"/>
      <c r="B95" s="55"/>
      <c r="C95" s="33"/>
      <c r="D95" s="57"/>
      <c r="E95" s="58"/>
      <c r="F95" s="58"/>
      <c r="G95" s="33"/>
      <c r="H95" s="1"/>
      <c r="M95" s="1"/>
      <c r="R95" s="3"/>
    </row>
    <row r="96" spans="1:18" ht="15.75">
      <c r="A96" s="1"/>
      <c r="B96" s="55"/>
      <c r="C96" s="33"/>
      <c r="D96" s="57"/>
      <c r="E96" s="58"/>
      <c r="F96" s="58"/>
      <c r="G96" s="33"/>
      <c r="H96" s="1"/>
      <c r="M96" s="1"/>
      <c r="R96" s="3"/>
    </row>
    <row r="97" spans="1:18" ht="15.75">
      <c r="A97" s="1"/>
      <c r="B97" s="55"/>
      <c r="C97" s="33"/>
      <c r="D97" s="57"/>
      <c r="E97" s="58"/>
      <c r="F97" s="58"/>
      <c r="G97" s="33"/>
      <c r="H97" s="1"/>
      <c r="M97" s="1"/>
      <c r="R97" s="3"/>
    </row>
    <row r="98" spans="1:18" ht="15.75">
      <c r="A98" s="1"/>
      <c r="B98" s="55"/>
      <c r="C98" s="33"/>
      <c r="D98" s="57"/>
      <c r="E98" s="58"/>
      <c r="F98" s="58"/>
      <c r="G98" s="33"/>
      <c r="H98" s="1"/>
      <c r="M98" s="1"/>
      <c r="R98" s="3"/>
    </row>
    <row r="99" spans="1:18" ht="16.5" thickBot="1">
      <c r="A99" s="1"/>
      <c r="B99" s="56"/>
      <c r="C99" s="34"/>
      <c r="D99" s="56"/>
      <c r="E99" s="59"/>
      <c r="F99" s="59"/>
      <c r="G99" s="34"/>
      <c r="H99" s="1"/>
      <c r="M99" s="1"/>
      <c r="R99" s="3"/>
    </row>
    <row r="100" spans="1:18" ht="16.5" thickBot="1">
      <c r="A100" s="1"/>
      <c r="B100" s="56">
        <f>SUM(B86:B99)</f>
        <v>150</v>
      </c>
      <c r="C100" s="34" t="s">
        <v>66</v>
      </c>
      <c r="D100" s="56">
        <f>SUM(D86:D99)</f>
        <v>164.92</v>
      </c>
      <c r="E100" s="56">
        <f>SUM(E86:E99)</f>
        <v>0</v>
      </c>
      <c r="F100" s="56">
        <f>SUM(F86:F99)</f>
        <v>0</v>
      </c>
      <c r="G100" s="34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89" t="str">
        <f>'2018'!A25</f>
        <v>Coche</v>
      </c>
      <c r="C102" s="290"/>
      <c r="D102" s="290"/>
      <c r="E102" s="290"/>
      <c r="F102" s="290"/>
      <c r="G102" s="291"/>
      <c r="H102" s="1"/>
      <c r="M102" s="1"/>
      <c r="R102" s="3"/>
    </row>
    <row r="103" spans="1:18" ht="16.149999999999999" customHeight="1" thickBot="1">
      <c r="A103" s="1"/>
      <c r="B103" s="292"/>
      <c r="C103" s="293"/>
      <c r="D103" s="293"/>
      <c r="E103" s="293"/>
      <c r="F103" s="293"/>
      <c r="G103" s="294"/>
      <c r="H103" s="1"/>
      <c r="M103" s="1"/>
      <c r="R103" s="3"/>
    </row>
    <row r="104" spans="1:18" ht="15.75">
      <c r="A104" s="1"/>
      <c r="B104" s="297" t="s">
        <v>10</v>
      </c>
      <c r="C104" s="296"/>
      <c r="D104" s="295" t="s">
        <v>11</v>
      </c>
      <c r="E104" s="295"/>
      <c r="F104" s="295"/>
      <c r="G104" s="296"/>
      <c r="H104" s="1"/>
      <c r="M104" s="1"/>
      <c r="R104" s="3"/>
    </row>
    <row r="105" spans="1:18" ht="15.75">
      <c r="A105" s="1"/>
      <c r="B105" s="52" t="s">
        <v>32</v>
      </c>
      <c r="C105" s="60" t="s">
        <v>33</v>
      </c>
      <c r="D105" s="52" t="s">
        <v>68</v>
      </c>
      <c r="E105" s="53" t="s">
        <v>69</v>
      </c>
      <c r="F105" s="53" t="s">
        <v>32</v>
      </c>
      <c r="G105" s="60" t="s">
        <v>33</v>
      </c>
      <c r="H105" s="1"/>
      <c r="M105" s="1"/>
      <c r="R105" s="3"/>
    </row>
    <row r="106" spans="1:18" ht="15.75">
      <c r="A106" s="1"/>
      <c r="B106" s="54">
        <v>260</v>
      </c>
      <c r="C106" s="35" t="s">
        <v>55</v>
      </c>
      <c r="D106" s="57">
        <v>258.47000000000003</v>
      </c>
      <c r="E106" s="58"/>
      <c r="F106" s="58"/>
      <c r="G106" s="70" t="s">
        <v>55</v>
      </c>
      <c r="H106" s="1"/>
      <c r="M106" s="1"/>
      <c r="R106" s="3"/>
    </row>
    <row r="107" spans="1:18" ht="15.75">
      <c r="A107" s="1"/>
      <c r="B107" s="55">
        <v>71</v>
      </c>
      <c r="C107" s="35" t="s">
        <v>56</v>
      </c>
      <c r="D107" s="57">
        <v>70.349999999999994</v>
      </c>
      <c r="E107" s="58"/>
      <c r="F107" s="58"/>
      <c r="G107" s="70" t="s">
        <v>56</v>
      </c>
      <c r="H107" s="1"/>
      <c r="M107" s="1"/>
      <c r="R107" s="3"/>
    </row>
    <row r="108" spans="1:18" ht="15.75">
      <c r="A108" s="1"/>
      <c r="B108" s="55">
        <v>69</v>
      </c>
      <c r="C108" s="35" t="s">
        <v>46</v>
      </c>
      <c r="D108" s="57"/>
      <c r="E108" s="58"/>
      <c r="F108" s="58"/>
      <c r="G108" s="73" t="s">
        <v>88</v>
      </c>
      <c r="H108" s="1"/>
      <c r="M108" s="1"/>
      <c r="R108" s="3"/>
    </row>
    <row r="109" spans="1:18" ht="15.75">
      <c r="A109" s="1"/>
      <c r="B109" s="55"/>
      <c r="C109" s="35"/>
      <c r="D109" s="57"/>
      <c r="E109" s="58"/>
      <c r="F109" s="58"/>
      <c r="G109" s="70"/>
      <c r="H109" s="1"/>
      <c r="M109" s="1"/>
      <c r="R109" s="3"/>
    </row>
    <row r="110" spans="1:18" ht="15.75">
      <c r="A110" s="1"/>
      <c r="B110" s="55"/>
      <c r="C110" s="35"/>
      <c r="D110" s="57"/>
      <c r="E110" s="58"/>
      <c r="F110" s="58"/>
      <c r="G110" s="70"/>
      <c r="H110" s="1"/>
      <c r="M110" s="1"/>
      <c r="R110" s="3"/>
    </row>
    <row r="111" spans="1:18" ht="15.75">
      <c r="A111" s="1"/>
      <c r="B111" s="55"/>
      <c r="C111" s="66"/>
      <c r="D111" s="57"/>
      <c r="E111" s="58"/>
      <c r="F111" s="58"/>
      <c r="G111" s="73"/>
      <c r="H111" s="1"/>
      <c r="M111" s="1"/>
      <c r="R111" s="3"/>
    </row>
    <row r="112" spans="1:18" ht="15.75">
      <c r="A112" s="1"/>
      <c r="B112" s="55"/>
      <c r="C112" s="71"/>
      <c r="D112" s="57"/>
      <c r="E112" s="58"/>
      <c r="F112" s="58"/>
      <c r="G112" s="70"/>
      <c r="H112" s="1"/>
      <c r="M112" s="1"/>
      <c r="R112" s="3"/>
    </row>
    <row r="113" spans="1:18" ht="15.75">
      <c r="A113" s="1"/>
      <c r="B113" s="55"/>
      <c r="C113" s="72"/>
      <c r="D113" s="57"/>
      <c r="E113" s="58"/>
      <c r="F113" s="58"/>
      <c r="G113" s="70"/>
      <c r="H113" s="1"/>
      <c r="M113" s="1"/>
      <c r="R113" s="3"/>
    </row>
    <row r="114" spans="1:18" ht="15.75">
      <c r="A114" s="1"/>
      <c r="B114" s="55"/>
      <c r="C114" s="71"/>
      <c r="D114" s="57"/>
      <c r="E114" s="58"/>
      <c r="F114" s="58"/>
      <c r="G114" s="70"/>
      <c r="H114" s="1"/>
      <c r="M114" s="1"/>
      <c r="R114" s="3"/>
    </row>
    <row r="115" spans="1:18" ht="15.75">
      <c r="A115" s="1"/>
      <c r="B115" s="55"/>
      <c r="C115" s="66"/>
      <c r="D115" s="57"/>
      <c r="E115" s="58"/>
      <c r="F115" s="58"/>
      <c r="G115" s="33"/>
      <c r="H115" s="1"/>
      <c r="M115" s="1"/>
      <c r="R115" s="3"/>
    </row>
    <row r="116" spans="1:18" ht="15.75">
      <c r="A116" s="1"/>
      <c r="B116" s="55"/>
      <c r="C116" s="35"/>
      <c r="D116" s="57"/>
      <c r="E116" s="58"/>
      <c r="F116" s="58"/>
      <c r="G116" s="33"/>
      <c r="H116" s="1"/>
      <c r="M116" s="1"/>
      <c r="R116" s="3"/>
    </row>
    <row r="117" spans="1:18" ht="15.75">
      <c r="A117" s="1"/>
      <c r="B117" s="55"/>
      <c r="C117" s="35"/>
      <c r="D117" s="57"/>
      <c r="E117" s="58"/>
      <c r="F117" s="58"/>
      <c r="G117" s="33"/>
      <c r="H117" s="1"/>
      <c r="M117" s="1"/>
      <c r="R117" s="3"/>
    </row>
    <row r="118" spans="1:18" ht="15.75">
      <c r="A118" s="1"/>
      <c r="B118" s="55"/>
      <c r="C118" s="35"/>
      <c r="D118" s="57"/>
      <c r="E118" s="58"/>
      <c r="F118" s="58"/>
      <c r="G118" s="33"/>
      <c r="H118" s="1"/>
      <c r="M118" s="1"/>
      <c r="R118" s="3"/>
    </row>
    <row r="119" spans="1:18" ht="16.5" thickBot="1">
      <c r="A119" s="1"/>
      <c r="B119" s="56"/>
      <c r="C119" s="37"/>
      <c r="D119" s="56"/>
      <c r="E119" s="59"/>
      <c r="F119" s="59"/>
      <c r="G119" s="34"/>
      <c r="H119" s="1"/>
      <c r="M119" s="1"/>
      <c r="R119" s="3"/>
    </row>
    <row r="120" spans="1:18" ht="16.5" thickBot="1">
      <c r="A120" s="1"/>
      <c r="B120" s="56">
        <f>SUM(B106:B119)</f>
        <v>400</v>
      </c>
      <c r="C120" s="34" t="s">
        <v>66</v>
      </c>
      <c r="D120" s="56">
        <f>SUM(D106:D119)</f>
        <v>328.82000000000005</v>
      </c>
      <c r="E120" s="56">
        <f>SUM(E106:E119)</f>
        <v>0</v>
      </c>
      <c r="F120" s="56">
        <f>SUM(F106:F119)</f>
        <v>0</v>
      </c>
      <c r="G120" s="34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89" t="str">
        <f>'2018'!A26</f>
        <v>Teléfono</v>
      </c>
      <c r="C122" s="290"/>
      <c r="D122" s="290"/>
      <c r="E122" s="290"/>
      <c r="F122" s="290"/>
      <c r="G122" s="291"/>
      <c r="H122" s="1"/>
      <c r="M122" s="1"/>
      <c r="R122" s="3"/>
    </row>
    <row r="123" spans="1:18" ht="16.149999999999999" customHeight="1" thickBot="1">
      <c r="A123" s="1"/>
      <c r="B123" s="292"/>
      <c r="C123" s="293"/>
      <c r="D123" s="293"/>
      <c r="E123" s="293"/>
      <c r="F123" s="293"/>
      <c r="G123" s="294"/>
      <c r="H123" s="1"/>
      <c r="M123" s="1"/>
      <c r="R123" s="3"/>
    </row>
    <row r="124" spans="1:18" ht="15.75">
      <c r="A124" s="1"/>
      <c r="B124" s="297" t="s">
        <v>10</v>
      </c>
      <c r="C124" s="296"/>
      <c r="D124" s="295" t="s">
        <v>11</v>
      </c>
      <c r="E124" s="295"/>
      <c r="F124" s="295"/>
      <c r="G124" s="296"/>
      <c r="H124" s="1"/>
      <c r="M124" s="1"/>
      <c r="R124" s="3"/>
    </row>
    <row r="125" spans="1:18" ht="15.75">
      <c r="A125" s="1"/>
      <c r="B125" s="52" t="s">
        <v>32</v>
      </c>
      <c r="C125" s="60" t="s">
        <v>33</v>
      </c>
      <c r="D125" s="52" t="s">
        <v>68</v>
      </c>
      <c r="E125" s="53" t="s">
        <v>69</v>
      </c>
      <c r="F125" s="53" t="s">
        <v>32</v>
      </c>
      <c r="G125" s="60" t="s">
        <v>33</v>
      </c>
      <c r="H125" s="1"/>
      <c r="M125" s="1"/>
      <c r="R125" s="3"/>
    </row>
    <row r="126" spans="1:18" ht="15.75">
      <c r="A126" s="1"/>
      <c r="B126" s="54">
        <v>27.5</v>
      </c>
      <c r="C126" s="36" t="s">
        <v>57</v>
      </c>
      <c r="D126" s="57">
        <v>27.5</v>
      </c>
      <c r="E126" s="58"/>
      <c r="F126" s="58"/>
      <c r="G126" s="33" t="s">
        <v>57</v>
      </c>
      <c r="H126" s="1"/>
      <c r="M126" s="1"/>
      <c r="R126" s="3"/>
    </row>
    <row r="127" spans="1:18" ht="15.75">
      <c r="A127" s="1"/>
      <c r="B127" s="55">
        <v>12.5</v>
      </c>
      <c r="C127" s="33" t="s">
        <v>58</v>
      </c>
      <c r="D127" s="57">
        <v>15</v>
      </c>
      <c r="E127" s="58"/>
      <c r="F127" s="58"/>
      <c r="G127" s="33" t="s">
        <v>199</v>
      </c>
      <c r="H127" s="1"/>
      <c r="M127" s="1"/>
      <c r="R127" s="3"/>
    </row>
    <row r="128" spans="1:18" ht="15.75">
      <c r="A128" s="1"/>
      <c r="B128" s="55">
        <v>8</v>
      </c>
      <c r="C128" s="33" t="s">
        <v>337</v>
      </c>
      <c r="D128" s="57"/>
      <c r="E128" s="58"/>
      <c r="F128" s="58"/>
      <c r="G128" s="33" t="s">
        <v>219</v>
      </c>
      <c r="H128" s="1"/>
      <c r="M128" s="1"/>
      <c r="R128" s="3"/>
    </row>
    <row r="129" spans="1:18" ht="15.75">
      <c r="A129" s="1"/>
      <c r="B129" s="55"/>
      <c r="C129" s="33"/>
      <c r="D129" s="57">
        <v>7.99</v>
      </c>
      <c r="E129" s="58"/>
      <c r="F129" s="58"/>
      <c r="G129" s="33" t="s">
        <v>337</v>
      </c>
      <c r="H129" s="1"/>
      <c r="M129" s="1"/>
      <c r="R129" s="3"/>
    </row>
    <row r="130" spans="1:18" ht="15.75">
      <c r="A130" s="1"/>
      <c r="B130" s="55"/>
      <c r="C130" s="33"/>
      <c r="D130" s="57"/>
      <c r="E130" s="58"/>
      <c r="F130" s="58"/>
      <c r="G130" s="33"/>
      <c r="H130" s="1"/>
      <c r="M130" s="1"/>
      <c r="R130" s="3"/>
    </row>
    <row r="131" spans="1:18" ht="15.75">
      <c r="A131" s="1"/>
      <c r="B131" s="55"/>
      <c r="C131" s="33"/>
      <c r="D131" s="57"/>
      <c r="E131" s="58"/>
      <c r="F131" s="58"/>
      <c r="G131" s="33"/>
      <c r="H131" s="1"/>
      <c r="M131" s="1"/>
      <c r="R131" s="3"/>
    </row>
    <row r="132" spans="1:18" ht="15.75">
      <c r="A132" s="1"/>
      <c r="B132" s="55"/>
      <c r="C132" s="33"/>
      <c r="D132" s="57"/>
      <c r="E132" s="58"/>
      <c r="F132" s="58"/>
      <c r="G132" s="33"/>
      <c r="H132" s="1"/>
      <c r="M132" s="1"/>
      <c r="R132" s="3"/>
    </row>
    <row r="133" spans="1:18" ht="15.75">
      <c r="A133" s="1"/>
      <c r="B133" s="55"/>
      <c r="C133" s="33"/>
      <c r="D133" s="57"/>
      <c r="E133" s="58"/>
      <c r="F133" s="58"/>
      <c r="G133" s="33"/>
      <c r="H133" s="1"/>
      <c r="M133" s="1"/>
      <c r="R133" s="3"/>
    </row>
    <row r="134" spans="1:18" ht="15.75">
      <c r="A134" s="1"/>
      <c r="B134" s="55"/>
      <c r="C134" s="33"/>
      <c r="D134" s="57"/>
      <c r="E134" s="58"/>
      <c r="F134" s="58"/>
      <c r="G134" s="33"/>
      <c r="H134" s="1"/>
      <c r="M134" s="1"/>
      <c r="R134" s="3"/>
    </row>
    <row r="135" spans="1:18" ht="15.75">
      <c r="A135" s="1"/>
      <c r="B135" s="55"/>
      <c r="C135" s="33"/>
      <c r="D135" s="57"/>
      <c r="E135" s="58"/>
      <c r="F135" s="58"/>
      <c r="G135" s="33"/>
      <c r="H135" s="1"/>
      <c r="M135" s="1"/>
      <c r="R135" s="3"/>
    </row>
    <row r="136" spans="1:18" ht="15.75">
      <c r="A136" s="1"/>
      <c r="B136" s="55"/>
      <c r="C136" s="33"/>
      <c r="D136" s="57"/>
      <c r="E136" s="58"/>
      <c r="F136" s="58"/>
      <c r="G136" s="33"/>
      <c r="H136" s="1"/>
      <c r="M136" s="1"/>
      <c r="R136" s="3"/>
    </row>
    <row r="137" spans="1:18" ht="15.75">
      <c r="A137" s="1"/>
      <c r="B137" s="55"/>
      <c r="C137" s="33"/>
      <c r="D137" s="57"/>
      <c r="E137" s="58"/>
      <c r="F137" s="58"/>
      <c r="G137" s="33"/>
      <c r="H137" s="1"/>
      <c r="M137" s="1"/>
      <c r="R137" s="3"/>
    </row>
    <row r="138" spans="1:18" ht="15.75">
      <c r="A138" s="1"/>
      <c r="B138" s="55"/>
      <c r="C138" s="33"/>
      <c r="D138" s="57"/>
      <c r="E138" s="58"/>
      <c r="F138" s="58"/>
      <c r="G138" s="33"/>
      <c r="H138" s="1"/>
      <c r="M138" s="1"/>
      <c r="R138" s="3"/>
    </row>
    <row r="139" spans="1:18" ht="16.5" thickBot="1">
      <c r="A139" s="1"/>
      <c r="B139" s="56"/>
      <c r="C139" s="34"/>
      <c r="D139" s="56"/>
      <c r="E139" s="59"/>
      <c r="F139" s="59"/>
      <c r="G139" s="34"/>
      <c r="H139" s="1"/>
      <c r="M139" s="1"/>
      <c r="R139" s="3"/>
    </row>
    <row r="140" spans="1:18" ht="16.5" thickBot="1">
      <c r="A140" s="1"/>
      <c r="B140" s="56">
        <f>SUM(B126:B139)</f>
        <v>48</v>
      </c>
      <c r="C140" s="34" t="s">
        <v>66</v>
      </c>
      <c r="D140" s="56">
        <f>SUM(D126:D139)</f>
        <v>50.49</v>
      </c>
      <c r="E140" s="56">
        <f>SUM(E126:E139)</f>
        <v>0</v>
      </c>
      <c r="F140" s="56">
        <f>SUM(F126:F139)</f>
        <v>0</v>
      </c>
      <c r="G140" s="34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89" t="str">
        <f>'2018'!A27</f>
        <v>Gatos</v>
      </c>
      <c r="C142" s="290"/>
      <c r="D142" s="290"/>
      <c r="E142" s="290"/>
      <c r="F142" s="290"/>
      <c r="G142" s="291"/>
      <c r="H142" s="1"/>
      <c r="M142" s="1"/>
      <c r="R142" s="3"/>
    </row>
    <row r="143" spans="1:18" ht="16.149999999999999" customHeight="1" thickBot="1">
      <c r="A143" s="1"/>
      <c r="B143" s="292"/>
      <c r="C143" s="293"/>
      <c r="D143" s="293"/>
      <c r="E143" s="293"/>
      <c r="F143" s="293"/>
      <c r="G143" s="294"/>
      <c r="H143" s="1"/>
      <c r="M143" s="1"/>
      <c r="R143" s="3"/>
    </row>
    <row r="144" spans="1:18" ht="15.75">
      <c r="A144" s="1"/>
      <c r="B144" s="297" t="s">
        <v>10</v>
      </c>
      <c r="C144" s="296"/>
      <c r="D144" s="295" t="s">
        <v>11</v>
      </c>
      <c r="E144" s="295"/>
      <c r="F144" s="295"/>
      <c r="G144" s="296"/>
      <c r="H144" s="1"/>
      <c r="M144" s="1"/>
      <c r="R144" s="3"/>
    </row>
    <row r="145" spans="1:22" ht="15.75">
      <c r="A145" s="1"/>
      <c r="B145" s="52" t="s">
        <v>32</v>
      </c>
      <c r="C145" s="60" t="s">
        <v>33</v>
      </c>
      <c r="D145" s="52" t="s">
        <v>68</v>
      </c>
      <c r="E145" s="53" t="s">
        <v>69</v>
      </c>
      <c r="F145" s="53" t="s">
        <v>32</v>
      </c>
      <c r="G145" s="60" t="s">
        <v>393</v>
      </c>
      <c r="H145" s="1"/>
      <c r="M145" s="1"/>
      <c r="R145" s="3"/>
    </row>
    <row r="146" spans="1:22" ht="15.75">
      <c r="A146" s="1"/>
      <c r="B146" s="54">
        <v>50</v>
      </c>
      <c r="C146" s="36" t="s">
        <v>487</v>
      </c>
      <c r="D146" s="57">
        <v>31.56</v>
      </c>
      <c r="E146" s="58"/>
      <c r="F146" s="58"/>
      <c r="G146" s="33" t="s">
        <v>533</v>
      </c>
      <c r="H146" s="1"/>
      <c r="M146" s="1"/>
      <c r="R146" s="3"/>
    </row>
    <row r="147" spans="1:22" ht="15.75">
      <c r="A147" s="1"/>
      <c r="B147" s="55"/>
      <c r="C147" s="33"/>
      <c r="D147" s="57">
        <v>7.48</v>
      </c>
      <c r="E147" s="58"/>
      <c r="F147" s="58"/>
      <c r="G147" s="33" t="s">
        <v>534</v>
      </c>
      <c r="H147" s="1"/>
      <c r="M147" s="1"/>
      <c r="R147" s="3"/>
    </row>
    <row r="148" spans="1:22" ht="15.75">
      <c r="A148" s="1"/>
      <c r="B148" s="55"/>
      <c r="C148" s="33"/>
      <c r="D148" s="57">
        <v>6.79</v>
      </c>
      <c r="E148" s="58"/>
      <c r="F148" s="58"/>
      <c r="G148" s="33" t="s">
        <v>535</v>
      </c>
      <c r="H148" s="1"/>
      <c r="M148" s="1"/>
      <c r="R148" s="3"/>
    </row>
    <row r="149" spans="1:22" ht="15.75">
      <c r="A149" s="1"/>
      <c r="B149" s="55"/>
      <c r="C149" s="33"/>
      <c r="D149" s="57">
        <v>45</v>
      </c>
      <c r="E149" s="58"/>
      <c r="F149" s="58"/>
      <c r="G149" s="33" t="s">
        <v>542</v>
      </c>
      <c r="H149" s="1"/>
      <c r="M149" s="1"/>
      <c r="R149" s="3"/>
    </row>
    <row r="150" spans="1:22" ht="15.75">
      <c r="A150" s="1"/>
      <c r="B150" s="55"/>
      <c r="C150" s="33"/>
      <c r="D150" s="57"/>
      <c r="E150" s="58"/>
      <c r="F150" s="58"/>
      <c r="G150" s="33"/>
      <c r="H150" s="1"/>
      <c r="M150" s="1"/>
      <c r="R150" s="3"/>
    </row>
    <row r="151" spans="1:22" ht="15.75">
      <c r="A151" s="1"/>
      <c r="B151" s="55"/>
      <c r="C151" s="33"/>
      <c r="D151" s="57"/>
      <c r="E151" s="58"/>
      <c r="F151" s="58"/>
      <c r="G151" s="33"/>
      <c r="H151" s="1"/>
      <c r="M151" s="1"/>
      <c r="R151" s="3"/>
    </row>
    <row r="152" spans="1:22" ht="15.75">
      <c r="A152" s="1"/>
      <c r="B152" s="55"/>
      <c r="C152" s="33"/>
      <c r="D152" s="57"/>
      <c r="E152" s="58"/>
      <c r="F152" s="58"/>
      <c r="G152" s="33"/>
      <c r="H152" s="1"/>
      <c r="M152" s="1"/>
      <c r="R152" s="3"/>
    </row>
    <row r="153" spans="1:22" ht="15.75">
      <c r="A153" s="1"/>
      <c r="B153" s="55"/>
      <c r="C153" s="33"/>
      <c r="D153" s="57"/>
      <c r="E153" s="58"/>
      <c r="F153" s="58"/>
      <c r="G153" s="33"/>
      <c r="H153" s="1"/>
      <c r="M153" s="1"/>
      <c r="R153" s="3"/>
    </row>
    <row r="154" spans="1:22" ht="15.75">
      <c r="A154" s="1"/>
      <c r="B154" s="55"/>
      <c r="C154" s="33"/>
      <c r="D154" s="57"/>
      <c r="E154" s="58"/>
      <c r="F154" s="58"/>
      <c r="G154" s="33"/>
      <c r="H154" s="1"/>
      <c r="M154" s="1"/>
      <c r="R154" s="3"/>
    </row>
    <row r="155" spans="1:22" ht="15.75">
      <c r="A155" s="1"/>
      <c r="B155" s="55"/>
      <c r="C155" s="33"/>
      <c r="D155" s="57"/>
      <c r="E155" s="58"/>
      <c r="F155" s="58"/>
      <c r="G155" s="33"/>
      <c r="H155" s="1"/>
      <c r="M155" s="1"/>
      <c r="R155" s="3"/>
    </row>
    <row r="156" spans="1:22" ht="15.75">
      <c r="A156" s="1"/>
      <c r="B156" s="55"/>
      <c r="C156" s="33"/>
      <c r="D156" s="57"/>
      <c r="E156" s="58"/>
      <c r="F156" s="58"/>
      <c r="G156" s="33"/>
      <c r="H156" s="1"/>
      <c r="M156" s="1"/>
      <c r="R156" s="3"/>
    </row>
    <row r="157" spans="1:22" ht="15.75">
      <c r="A157" s="1"/>
      <c r="B157" s="55"/>
      <c r="C157" s="33"/>
      <c r="D157" s="57"/>
      <c r="E157" s="58"/>
      <c r="F157" s="58"/>
      <c r="G157" s="33"/>
      <c r="H157" s="1"/>
      <c r="M157" s="1"/>
      <c r="R157" s="3"/>
    </row>
    <row r="158" spans="1:22" ht="15.75">
      <c r="A158" s="1"/>
      <c r="B158" s="55"/>
      <c r="C158" s="33"/>
      <c r="D158" s="57"/>
      <c r="E158" s="58"/>
      <c r="F158" s="58"/>
      <c r="G158" s="33"/>
      <c r="H158" s="1"/>
      <c r="M158" s="1"/>
      <c r="R158" s="3"/>
    </row>
    <row r="159" spans="1:22" ht="16.5" thickBot="1">
      <c r="A159" s="1"/>
      <c r="B159" s="56"/>
      <c r="C159" s="34"/>
      <c r="D159" s="56"/>
      <c r="E159" s="59"/>
      <c r="F159" s="59"/>
      <c r="G159" s="34"/>
      <c r="H159" s="1"/>
      <c r="M159" s="1"/>
      <c r="R159" s="3"/>
    </row>
    <row r="160" spans="1:22" ht="16.5" thickBot="1">
      <c r="A160" s="1"/>
      <c r="B160" s="56">
        <f>SUM(B146:B159)</f>
        <v>50</v>
      </c>
      <c r="C160" s="34" t="s">
        <v>66</v>
      </c>
      <c r="D160" s="56">
        <f>SUM(D146:D159)</f>
        <v>90.83</v>
      </c>
      <c r="E160" s="56">
        <f>SUM(E146:E159)</f>
        <v>0</v>
      </c>
      <c r="F160" s="56">
        <f>SUM(F146:F159)</f>
        <v>0</v>
      </c>
      <c r="G160" s="34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89" t="str">
        <f>'2018'!A28</f>
        <v>Vacaciones</v>
      </c>
      <c r="C162" s="290"/>
      <c r="D162" s="290"/>
      <c r="E162" s="290"/>
      <c r="F162" s="290"/>
      <c r="G162" s="29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92"/>
      <c r="C163" s="293"/>
      <c r="D163" s="293"/>
      <c r="E163" s="293"/>
      <c r="F163" s="293"/>
      <c r="G163" s="294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97" t="s">
        <v>10</v>
      </c>
      <c r="C164" s="296"/>
      <c r="D164" s="295" t="s">
        <v>11</v>
      </c>
      <c r="E164" s="295"/>
      <c r="F164" s="295"/>
      <c r="G164" s="29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52" t="s">
        <v>32</v>
      </c>
      <c r="C165" s="60" t="s">
        <v>33</v>
      </c>
      <c r="D165" s="52" t="s">
        <v>68</v>
      </c>
      <c r="E165" s="53" t="s">
        <v>69</v>
      </c>
      <c r="F165" s="53" t="s">
        <v>32</v>
      </c>
      <c r="G165" s="60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54">
        <v>200</v>
      </c>
      <c r="C166" s="36" t="s">
        <v>36</v>
      </c>
      <c r="D166" s="57"/>
      <c r="E166" s="58">
        <f>268.68</f>
        <v>268.68</v>
      </c>
      <c r="F166" s="58"/>
      <c r="G166" s="33" t="s">
        <v>543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55"/>
      <c r="C167" s="33"/>
      <c r="D167" s="57">
        <v>33.15</v>
      </c>
      <c r="E167" s="58"/>
      <c r="F167" s="58"/>
      <c r="G167" s="33" t="s">
        <v>567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55"/>
      <c r="C168" s="33"/>
      <c r="D168" s="57">
        <v>3.05</v>
      </c>
      <c r="E168" s="58"/>
      <c r="F168" s="58"/>
      <c r="G168" s="33" t="s">
        <v>568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55"/>
      <c r="C169" s="33"/>
      <c r="D169" s="57"/>
      <c r="E169" s="58"/>
      <c r="F169" s="58"/>
      <c r="G169" s="33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55"/>
      <c r="C170" s="33"/>
      <c r="D170" s="57"/>
      <c r="E170" s="58"/>
      <c r="F170" s="58"/>
      <c r="G170" s="33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55"/>
      <c r="C171" s="33"/>
      <c r="D171" s="57"/>
      <c r="E171" s="58"/>
      <c r="F171" s="58"/>
      <c r="G171" s="33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55"/>
      <c r="C172" s="33"/>
      <c r="D172" s="57"/>
      <c r="E172" s="58"/>
      <c r="F172" s="58"/>
      <c r="G172" s="33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55"/>
      <c r="C173" s="33"/>
      <c r="D173" s="57"/>
      <c r="E173" s="58"/>
      <c r="F173" s="58"/>
      <c r="G173" s="33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55"/>
      <c r="C174" s="33"/>
      <c r="D174" s="57"/>
      <c r="E174" s="58"/>
      <c r="F174" s="58"/>
      <c r="G174" s="33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55"/>
      <c r="C175" s="33"/>
      <c r="D175" s="57"/>
      <c r="E175" s="58"/>
      <c r="F175" s="58"/>
      <c r="G175" s="33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55"/>
      <c r="C176" s="33"/>
      <c r="D176" s="57"/>
      <c r="E176" s="58"/>
      <c r="F176" s="58"/>
      <c r="G176" s="33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55"/>
      <c r="C177" s="33"/>
      <c r="D177" s="57"/>
      <c r="E177" s="58"/>
      <c r="F177" s="58"/>
      <c r="G177" s="33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55"/>
      <c r="C178" s="33"/>
      <c r="D178" s="57"/>
      <c r="E178" s="58"/>
      <c r="F178" s="58"/>
      <c r="G178" s="33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56"/>
      <c r="C179" s="34"/>
      <c r="D179" s="56"/>
      <c r="E179" s="59"/>
      <c r="F179" s="59"/>
      <c r="G179" s="34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56">
        <f>SUM(B166:B179)</f>
        <v>200</v>
      </c>
      <c r="C180" s="34" t="s">
        <v>66</v>
      </c>
      <c r="D180" s="56">
        <f>SUM(D166:D179)</f>
        <v>36.199999999999996</v>
      </c>
      <c r="E180" s="56">
        <f>SUM(E166:E179)</f>
        <v>268.68</v>
      </c>
      <c r="F180" s="56">
        <f>SUM(F166:F179)</f>
        <v>0</v>
      </c>
      <c r="G180" s="34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89" t="str">
        <f>'2018'!A29</f>
        <v>Ropa</v>
      </c>
      <c r="C182" s="290"/>
      <c r="D182" s="290"/>
      <c r="E182" s="290"/>
      <c r="F182" s="290"/>
      <c r="G182" s="29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92"/>
      <c r="C183" s="293"/>
      <c r="D183" s="293"/>
      <c r="E183" s="293"/>
      <c r="F183" s="293"/>
      <c r="G183" s="294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97" t="s">
        <v>10</v>
      </c>
      <c r="C184" s="296"/>
      <c r="D184" s="295" t="s">
        <v>11</v>
      </c>
      <c r="E184" s="295"/>
      <c r="F184" s="295"/>
      <c r="G184" s="29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52" t="s">
        <v>32</v>
      </c>
      <c r="C185" s="60" t="s">
        <v>33</v>
      </c>
      <c r="D185" s="52" t="s">
        <v>68</v>
      </c>
      <c r="E185" s="53" t="s">
        <v>69</v>
      </c>
      <c r="F185" s="53" t="s">
        <v>32</v>
      </c>
      <c r="G185" s="60" t="s">
        <v>393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54">
        <v>70</v>
      </c>
      <c r="C186" s="36" t="s">
        <v>43</v>
      </c>
      <c r="D186" s="57">
        <v>6</v>
      </c>
      <c r="E186" s="58"/>
      <c r="F186" s="58"/>
      <c r="G186" s="33" t="s">
        <v>548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55">
        <v>144.05000000000001</v>
      </c>
      <c r="C187" s="33" t="s">
        <v>513</v>
      </c>
      <c r="D187" s="57">
        <v>19</v>
      </c>
      <c r="E187" s="58"/>
      <c r="F187" s="58"/>
      <c r="G187" s="33" t="s">
        <v>551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55"/>
      <c r="C188" s="33"/>
      <c r="D188" s="57"/>
      <c r="E188" s="58"/>
      <c r="F188" s="58"/>
      <c r="G188" s="33"/>
    </row>
    <row r="189" spans="1:22">
      <c r="B189" s="55"/>
      <c r="C189" s="33"/>
      <c r="D189" s="57"/>
      <c r="E189" s="58"/>
      <c r="F189" s="58"/>
      <c r="G189" s="33"/>
    </row>
    <row r="190" spans="1:22">
      <c r="B190" s="55"/>
      <c r="C190" s="33"/>
      <c r="D190" s="57"/>
      <c r="E190" s="58"/>
      <c r="F190" s="58"/>
      <c r="G190" s="33"/>
    </row>
    <row r="191" spans="1:22">
      <c r="B191" s="55"/>
      <c r="C191" s="33"/>
      <c r="D191" s="57"/>
      <c r="E191" s="58"/>
      <c r="F191" s="58"/>
      <c r="G191" s="33"/>
    </row>
    <row r="192" spans="1:22">
      <c r="B192" s="55"/>
      <c r="C192" s="33"/>
      <c r="D192" s="57"/>
      <c r="E192" s="58"/>
      <c r="F192" s="58"/>
      <c r="G192" s="33"/>
    </row>
    <row r="193" spans="2:7">
      <c r="B193" s="55"/>
      <c r="C193" s="33"/>
      <c r="D193" s="57"/>
      <c r="E193" s="58"/>
      <c r="F193" s="58"/>
      <c r="G193" s="33"/>
    </row>
    <row r="194" spans="2:7">
      <c r="B194" s="55"/>
      <c r="C194" s="33"/>
      <c r="D194" s="57"/>
      <c r="E194" s="58"/>
      <c r="F194" s="58"/>
      <c r="G194" s="33"/>
    </row>
    <row r="195" spans="2:7">
      <c r="B195" s="55"/>
      <c r="C195" s="33"/>
      <c r="D195" s="57"/>
      <c r="E195" s="58"/>
      <c r="F195" s="58"/>
      <c r="G195" s="33"/>
    </row>
    <row r="196" spans="2:7">
      <c r="B196" s="55"/>
      <c r="C196" s="33"/>
      <c r="D196" s="57"/>
      <c r="E196" s="58"/>
      <c r="F196" s="58"/>
      <c r="G196" s="33"/>
    </row>
    <row r="197" spans="2:7">
      <c r="B197" s="55"/>
      <c r="C197" s="33"/>
      <c r="D197" s="57"/>
      <c r="E197" s="58"/>
      <c r="F197" s="58"/>
      <c r="G197" s="33"/>
    </row>
    <row r="198" spans="2:7">
      <c r="B198" s="55"/>
      <c r="C198" s="33"/>
      <c r="D198" s="57"/>
      <c r="E198" s="58"/>
      <c r="F198" s="58"/>
      <c r="G198" s="33"/>
    </row>
    <row r="199" spans="2:7" ht="15.75" thickBot="1">
      <c r="B199" s="56"/>
      <c r="C199" s="34"/>
      <c r="D199" s="56"/>
      <c r="E199" s="59"/>
      <c r="F199" s="59"/>
      <c r="G199" s="34"/>
    </row>
    <row r="200" spans="2:7" ht="15.75" thickBot="1">
      <c r="B200" s="56">
        <f>SUM(B186:B199)</f>
        <v>214.05</v>
      </c>
      <c r="C200" s="34" t="s">
        <v>66</v>
      </c>
      <c r="D200" s="56">
        <f>SUM(D186:D199)</f>
        <v>25</v>
      </c>
      <c r="E200" s="56">
        <f>SUM(E186:E199)</f>
        <v>0</v>
      </c>
      <c r="F200" s="56">
        <f>SUM(F186:F199)</f>
        <v>0</v>
      </c>
      <c r="G200" s="34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89" t="str">
        <f>'2018'!A30</f>
        <v>Belleza</v>
      </c>
      <c r="C202" s="290"/>
      <c r="D202" s="290"/>
      <c r="E202" s="290"/>
      <c r="F202" s="290"/>
      <c r="G202" s="291"/>
    </row>
    <row r="203" spans="2:7" ht="15" customHeight="1" thickBot="1">
      <c r="B203" s="292"/>
      <c r="C203" s="293"/>
      <c r="D203" s="293"/>
      <c r="E203" s="293"/>
      <c r="F203" s="293"/>
      <c r="G203" s="294"/>
    </row>
    <row r="204" spans="2:7">
      <c r="B204" s="297" t="s">
        <v>10</v>
      </c>
      <c r="C204" s="296"/>
      <c r="D204" s="295" t="s">
        <v>11</v>
      </c>
      <c r="E204" s="295"/>
      <c r="F204" s="295"/>
      <c r="G204" s="296"/>
    </row>
    <row r="205" spans="2:7">
      <c r="B205" s="52" t="s">
        <v>32</v>
      </c>
      <c r="C205" s="60" t="s">
        <v>33</v>
      </c>
      <c r="D205" s="52" t="s">
        <v>68</v>
      </c>
      <c r="E205" s="53" t="s">
        <v>69</v>
      </c>
      <c r="F205" s="53" t="s">
        <v>32</v>
      </c>
      <c r="G205" s="60" t="s">
        <v>393</v>
      </c>
    </row>
    <row r="206" spans="2:7">
      <c r="B206" s="54">
        <v>35</v>
      </c>
      <c r="C206" s="36"/>
      <c r="D206" s="57">
        <v>20.63</v>
      </c>
      <c r="E206" s="58"/>
      <c r="F206" s="58"/>
      <c r="G206" s="33" t="s">
        <v>521</v>
      </c>
    </row>
    <row r="207" spans="2:7">
      <c r="B207" s="55"/>
      <c r="C207" s="33"/>
      <c r="D207" s="57">
        <v>40.15</v>
      </c>
      <c r="E207" s="58"/>
      <c r="F207" s="58"/>
      <c r="G207" s="33" t="s">
        <v>538</v>
      </c>
    </row>
    <row r="208" spans="2:7">
      <c r="B208" s="55"/>
      <c r="C208" s="33"/>
      <c r="D208" s="57">
        <v>16.600000000000001</v>
      </c>
      <c r="E208" s="58"/>
      <c r="F208" s="58"/>
      <c r="G208" s="33" t="s">
        <v>550</v>
      </c>
    </row>
    <row r="209" spans="2:7">
      <c r="B209" s="55"/>
      <c r="C209" s="33"/>
      <c r="D209" s="57"/>
      <c r="E209" s="58"/>
      <c r="F209" s="58"/>
      <c r="G209" s="33"/>
    </row>
    <row r="210" spans="2:7">
      <c r="B210" s="55"/>
      <c r="C210" s="33"/>
      <c r="D210" s="57"/>
      <c r="E210" s="58"/>
      <c r="F210" s="58"/>
      <c r="G210" s="33"/>
    </row>
    <row r="211" spans="2:7">
      <c r="B211" s="55"/>
      <c r="C211" s="33"/>
      <c r="D211" s="57"/>
      <c r="E211" s="58"/>
      <c r="F211" s="58"/>
      <c r="G211" s="33"/>
    </row>
    <row r="212" spans="2:7">
      <c r="B212" s="55"/>
      <c r="C212" s="33"/>
      <c r="D212" s="57"/>
      <c r="E212" s="58"/>
      <c r="F212" s="58"/>
      <c r="G212" s="33"/>
    </row>
    <row r="213" spans="2:7">
      <c r="B213" s="55"/>
      <c r="C213" s="33"/>
      <c r="D213" s="57"/>
      <c r="E213" s="58"/>
      <c r="F213" s="58"/>
      <c r="G213" s="33"/>
    </row>
    <row r="214" spans="2:7">
      <c r="B214" s="55"/>
      <c r="C214" s="33"/>
      <c r="D214" s="57"/>
      <c r="E214" s="58"/>
      <c r="F214" s="58"/>
      <c r="G214" s="33"/>
    </row>
    <row r="215" spans="2:7">
      <c r="B215" s="55"/>
      <c r="C215" s="33"/>
      <c r="D215" s="57"/>
      <c r="E215" s="58"/>
      <c r="F215" s="58"/>
      <c r="G215" s="33"/>
    </row>
    <row r="216" spans="2:7">
      <c r="B216" s="55"/>
      <c r="C216" s="33"/>
      <c r="D216" s="57"/>
      <c r="E216" s="58"/>
      <c r="F216" s="58"/>
      <c r="G216" s="33"/>
    </row>
    <row r="217" spans="2:7">
      <c r="B217" s="55"/>
      <c r="C217" s="33"/>
      <c r="D217" s="57"/>
      <c r="E217" s="58"/>
      <c r="F217" s="58"/>
      <c r="G217" s="33"/>
    </row>
    <row r="218" spans="2:7">
      <c r="B218" s="55"/>
      <c r="C218" s="33"/>
      <c r="D218" s="57"/>
      <c r="E218" s="58"/>
      <c r="F218" s="58"/>
      <c r="G218" s="33"/>
    </row>
    <row r="219" spans="2:7" ht="15.75" thickBot="1">
      <c r="B219" s="56"/>
      <c r="C219" s="34"/>
      <c r="D219" s="56"/>
      <c r="E219" s="59"/>
      <c r="F219" s="59"/>
      <c r="G219" s="34"/>
    </row>
    <row r="220" spans="2:7" ht="15.75" thickBot="1">
      <c r="B220" s="56">
        <f>SUM(B206:B219)</f>
        <v>35</v>
      </c>
      <c r="C220" s="34" t="s">
        <v>66</v>
      </c>
      <c r="D220" s="56">
        <f>SUM(D206:D219)</f>
        <v>77.38</v>
      </c>
      <c r="E220" s="56">
        <f>SUM(E206:E219)</f>
        <v>0</v>
      </c>
      <c r="F220" s="56">
        <f>SUM(F206:F219)</f>
        <v>0</v>
      </c>
      <c r="G220" s="34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89" t="str">
        <f>'2018'!A31</f>
        <v>Deportes</v>
      </c>
      <c r="C222" s="290"/>
      <c r="D222" s="290"/>
      <c r="E222" s="290"/>
      <c r="F222" s="290"/>
      <c r="G222" s="291"/>
    </row>
    <row r="223" spans="2:7" ht="15" customHeight="1" thickBot="1">
      <c r="B223" s="292"/>
      <c r="C223" s="293"/>
      <c r="D223" s="293"/>
      <c r="E223" s="293"/>
      <c r="F223" s="293"/>
      <c r="G223" s="294"/>
    </row>
    <row r="224" spans="2:7">
      <c r="B224" s="297" t="s">
        <v>10</v>
      </c>
      <c r="C224" s="296"/>
      <c r="D224" s="295" t="s">
        <v>11</v>
      </c>
      <c r="E224" s="295"/>
      <c r="F224" s="295"/>
      <c r="G224" s="296"/>
    </row>
    <row r="225" spans="2:7">
      <c r="B225" s="52" t="s">
        <v>32</v>
      </c>
      <c r="C225" s="60" t="s">
        <v>33</v>
      </c>
      <c r="D225" s="52" t="s">
        <v>68</v>
      </c>
      <c r="E225" s="53" t="s">
        <v>69</v>
      </c>
      <c r="F225" s="53" t="s">
        <v>32</v>
      </c>
      <c r="G225" s="60" t="s">
        <v>33</v>
      </c>
    </row>
    <row r="226" spans="2:7">
      <c r="B226" s="54">
        <v>20</v>
      </c>
      <c r="C226" s="36" t="s">
        <v>50</v>
      </c>
      <c r="D226" s="57"/>
      <c r="E226" s="58"/>
      <c r="F226" s="58"/>
      <c r="G226" s="58" t="s">
        <v>50</v>
      </c>
    </row>
    <row r="227" spans="2:7">
      <c r="B227" s="55">
        <v>5</v>
      </c>
      <c r="C227" s="33" t="s">
        <v>46</v>
      </c>
      <c r="D227" s="57"/>
      <c r="E227" s="58"/>
      <c r="F227" s="58"/>
      <c r="G227" s="33"/>
    </row>
    <row r="228" spans="2:7">
      <c r="B228" s="55"/>
      <c r="C228" s="33"/>
      <c r="D228" s="57"/>
      <c r="E228" s="58"/>
      <c r="F228" s="58"/>
      <c r="G228" s="33"/>
    </row>
    <row r="229" spans="2:7">
      <c r="B229" s="55"/>
      <c r="C229" s="33"/>
      <c r="D229" s="57"/>
      <c r="E229" s="58"/>
      <c r="F229" s="58"/>
      <c r="G229" s="33"/>
    </row>
    <row r="230" spans="2:7">
      <c r="B230" s="55"/>
      <c r="C230" s="33"/>
      <c r="D230" s="57"/>
      <c r="E230" s="58"/>
      <c r="F230" s="58"/>
      <c r="G230" s="33"/>
    </row>
    <row r="231" spans="2:7">
      <c r="B231" s="55"/>
      <c r="C231" s="33"/>
      <c r="D231" s="57"/>
      <c r="E231" s="58"/>
      <c r="F231" s="58"/>
      <c r="G231" s="33"/>
    </row>
    <row r="232" spans="2:7">
      <c r="B232" s="55"/>
      <c r="C232" s="33"/>
      <c r="D232" s="57"/>
      <c r="E232" s="58"/>
      <c r="F232" s="58"/>
      <c r="G232" s="33"/>
    </row>
    <row r="233" spans="2:7">
      <c r="B233" s="55"/>
      <c r="C233" s="33"/>
      <c r="D233" s="57"/>
      <c r="E233" s="58"/>
      <c r="F233" s="58"/>
      <c r="G233" s="33"/>
    </row>
    <row r="234" spans="2:7">
      <c r="B234" s="55"/>
      <c r="C234" s="33"/>
      <c r="D234" s="57"/>
      <c r="E234" s="58"/>
      <c r="F234" s="58"/>
      <c r="G234" s="33"/>
    </row>
    <row r="235" spans="2:7">
      <c r="B235" s="55"/>
      <c r="C235" s="33"/>
      <c r="D235" s="57"/>
      <c r="E235" s="58"/>
      <c r="F235" s="58"/>
      <c r="G235" s="33"/>
    </row>
    <row r="236" spans="2:7">
      <c r="B236" s="55"/>
      <c r="C236" s="33"/>
      <c r="D236" s="57"/>
      <c r="E236" s="58"/>
      <c r="F236" s="58"/>
      <c r="G236" s="33"/>
    </row>
    <row r="237" spans="2:7">
      <c r="B237" s="55"/>
      <c r="C237" s="33"/>
      <c r="D237" s="57"/>
      <c r="E237" s="58"/>
      <c r="F237" s="58"/>
      <c r="G237" s="33"/>
    </row>
    <row r="238" spans="2:7">
      <c r="B238" s="55"/>
      <c r="C238" s="33"/>
      <c r="D238" s="57"/>
      <c r="E238" s="58"/>
      <c r="F238" s="58"/>
      <c r="G238" s="33"/>
    </row>
    <row r="239" spans="2:7" ht="15.75" thickBot="1">
      <c r="B239" s="56"/>
      <c r="C239" s="34"/>
      <c r="D239" s="56"/>
      <c r="E239" s="59"/>
      <c r="F239" s="59"/>
      <c r="G239" s="34"/>
    </row>
    <row r="240" spans="2:7" ht="15.75" thickBot="1">
      <c r="B240" s="56">
        <f>SUM(B226:B239)</f>
        <v>25</v>
      </c>
      <c r="C240" s="34" t="s">
        <v>66</v>
      </c>
      <c r="D240" s="56">
        <f>SUM(D226:D239)</f>
        <v>0</v>
      </c>
      <c r="E240" s="56">
        <f>SUM(E226:E239)</f>
        <v>0</v>
      </c>
      <c r="F240" s="56">
        <f>SUM(F226:F239)</f>
        <v>0</v>
      </c>
      <c r="G240" s="34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89" t="str">
        <f>'2018'!A32</f>
        <v>Hogar</v>
      </c>
      <c r="C242" s="290"/>
      <c r="D242" s="290"/>
      <c r="E242" s="290"/>
      <c r="F242" s="290"/>
      <c r="G242" s="291"/>
    </row>
    <row r="243" spans="2:7" ht="15" customHeight="1" thickBot="1">
      <c r="B243" s="292"/>
      <c r="C243" s="293"/>
      <c r="D243" s="293"/>
      <c r="E243" s="293"/>
      <c r="F243" s="293"/>
      <c r="G243" s="294"/>
    </row>
    <row r="244" spans="2:7" ht="15" customHeight="1">
      <c r="B244" s="297" t="s">
        <v>10</v>
      </c>
      <c r="C244" s="296"/>
      <c r="D244" s="295" t="s">
        <v>11</v>
      </c>
      <c r="E244" s="295"/>
      <c r="F244" s="295"/>
      <c r="G244" s="296"/>
    </row>
    <row r="245" spans="2:7" ht="15" customHeight="1">
      <c r="B245" s="52" t="s">
        <v>32</v>
      </c>
      <c r="C245" s="60" t="s">
        <v>33</v>
      </c>
      <c r="D245" s="52" t="s">
        <v>68</v>
      </c>
      <c r="E245" s="53" t="s">
        <v>69</v>
      </c>
      <c r="F245" s="53" t="s">
        <v>32</v>
      </c>
      <c r="G245" s="60" t="s">
        <v>393</v>
      </c>
    </row>
    <row r="246" spans="2:7" ht="15" customHeight="1">
      <c r="B246" s="55">
        <v>50</v>
      </c>
      <c r="C246" s="66" t="s">
        <v>514</v>
      </c>
      <c r="D246" s="57">
        <v>12.46</v>
      </c>
      <c r="E246" s="58"/>
      <c r="F246" s="58"/>
      <c r="G246" s="33" t="s">
        <v>522</v>
      </c>
    </row>
    <row r="247" spans="2:7" ht="15" customHeight="1">
      <c r="B247" s="55">
        <v>566.59</v>
      </c>
      <c r="C247" s="33" t="s">
        <v>513</v>
      </c>
      <c r="D247" s="57">
        <f>34.65-D286-D147</f>
        <v>23.169999999999998</v>
      </c>
      <c r="E247" s="58"/>
      <c r="F247" s="58"/>
      <c r="G247" s="33" t="s">
        <v>534</v>
      </c>
    </row>
    <row r="248" spans="2:7">
      <c r="B248" s="55"/>
      <c r="C248" s="33"/>
      <c r="D248" s="57"/>
      <c r="E248" s="58"/>
      <c r="F248" s="58"/>
      <c r="G248" s="33"/>
    </row>
    <row r="249" spans="2:7">
      <c r="B249" s="55"/>
      <c r="C249" s="33"/>
      <c r="D249" s="57"/>
      <c r="E249" s="58"/>
      <c r="F249" s="58"/>
      <c r="G249" s="33"/>
    </row>
    <row r="250" spans="2:7">
      <c r="B250" s="55"/>
      <c r="C250" s="33"/>
      <c r="D250" s="57"/>
      <c r="E250" s="58"/>
      <c r="F250" s="58"/>
      <c r="G250" s="33"/>
    </row>
    <row r="251" spans="2:7">
      <c r="B251" s="55"/>
      <c r="C251" s="33"/>
      <c r="D251" s="57"/>
      <c r="E251" s="58"/>
      <c r="F251" s="58"/>
      <c r="G251" s="33"/>
    </row>
    <row r="252" spans="2:7">
      <c r="B252" s="55"/>
      <c r="C252" s="33"/>
      <c r="D252" s="57"/>
      <c r="E252" s="58"/>
      <c r="F252" s="58"/>
      <c r="G252" s="33"/>
    </row>
    <row r="253" spans="2:7">
      <c r="B253" s="55"/>
      <c r="C253" s="33"/>
      <c r="D253" s="57"/>
      <c r="E253" s="58"/>
      <c r="F253" s="58"/>
      <c r="G253" s="33"/>
    </row>
    <row r="254" spans="2:7">
      <c r="B254" s="55"/>
      <c r="C254" s="33"/>
      <c r="D254" s="57"/>
      <c r="E254" s="58"/>
      <c r="F254" s="58"/>
      <c r="G254" s="33"/>
    </row>
    <row r="255" spans="2:7">
      <c r="B255" s="55"/>
      <c r="C255" s="33"/>
      <c r="D255" s="57"/>
      <c r="E255" s="58"/>
      <c r="F255" s="58"/>
      <c r="G255" s="33"/>
    </row>
    <row r="256" spans="2:7">
      <c r="B256" s="55"/>
      <c r="C256" s="33"/>
      <c r="D256" s="57"/>
      <c r="E256" s="58"/>
      <c r="F256" s="58"/>
      <c r="G256" s="33"/>
    </row>
    <row r="257" spans="2:7">
      <c r="B257" s="55"/>
      <c r="C257" s="33"/>
      <c r="D257" s="57"/>
      <c r="E257" s="58"/>
      <c r="F257" s="58"/>
      <c r="G257" s="33"/>
    </row>
    <row r="258" spans="2:7">
      <c r="B258" s="55"/>
      <c r="C258" s="33"/>
      <c r="D258" s="57"/>
      <c r="E258" s="58"/>
      <c r="F258" s="58"/>
      <c r="G258" s="33"/>
    </row>
    <row r="259" spans="2:7" ht="15.75" thickBot="1">
      <c r="B259" s="56"/>
      <c r="C259" s="34"/>
      <c r="D259" s="56"/>
      <c r="E259" s="59"/>
      <c r="F259" s="59"/>
      <c r="G259" s="34"/>
    </row>
    <row r="260" spans="2:7" ht="15.75" thickBot="1">
      <c r="B260" s="56">
        <f>SUM(B246:B259)</f>
        <v>616.59</v>
      </c>
      <c r="C260" s="34" t="s">
        <v>66</v>
      </c>
      <c r="D260" s="56">
        <f>SUM(D246:D259)</f>
        <v>35.629999999999995</v>
      </c>
      <c r="E260" s="56">
        <f>SUM(E246:E259)</f>
        <v>0</v>
      </c>
      <c r="F260" s="56">
        <f>SUM(F246:F259)</f>
        <v>0</v>
      </c>
      <c r="G260" s="34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89" t="str">
        <f>'2018'!A33</f>
        <v>Formación</v>
      </c>
      <c r="C262" s="290"/>
      <c r="D262" s="290"/>
      <c r="E262" s="290"/>
      <c r="F262" s="290"/>
      <c r="G262" s="291"/>
    </row>
    <row r="263" spans="2:7" ht="15" customHeight="1" thickBot="1">
      <c r="B263" s="292"/>
      <c r="C263" s="293"/>
      <c r="D263" s="293"/>
      <c r="E263" s="293"/>
      <c r="F263" s="293"/>
      <c r="G263" s="294"/>
    </row>
    <row r="264" spans="2:7">
      <c r="B264" s="297" t="s">
        <v>10</v>
      </c>
      <c r="C264" s="296"/>
      <c r="D264" s="295" t="s">
        <v>11</v>
      </c>
      <c r="E264" s="295"/>
      <c r="F264" s="295"/>
      <c r="G264" s="296"/>
    </row>
    <row r="265" spans="2:7">
      <c r="B265" s="52" t="s">
        <v>32</v>
      </c>
      <c r="C265" s="60" t="s">
        <v>33</v>
      </c>
      <c r="D265" s="52" t="s">
        <v>68</v>
      </c>
      <c r="E265" s="53" t="s">
        <v>69</v>
      </c>
      <c r="F265" s="53" t="s">
        <v>32</v>
      </c>
      <c r="G265" s="60" t="s">
        <v>33</v>
      </c>
    </row>
    <row r="266" spans="2:7">
      <c r="B266" s="54">
        <v>50</v>
      </c>
      <c r="C266" s="36" t="s">
        <v>514</v>
      </c>
      <c r="D266" s="57"/>
      <c r="E266" s="58"/>
      <c r="F266" s="58"/>
      <c r="G266" s="33"/>
    </row>
    <row r="267" spans="2:7">
      <c r="B267" s="55"/>
      <c r="C267" s="33"/>
      <c r="D267" s="57"/>
      <c r="E267" s="58"/>
      <c r="F267" s="58"/>
      <c r="G267" s="33"/>
    </row>
    <row r="268" spans="2:7">
      <c r="B268" s="55"/>
      <c r="C268" s="33"/>
      <c r="D268" s="57"/>
      <c r="E268" s="58"/>
      <c r="F268" s="58"/>
      <c r="G268" s="33"/>
    </row>
    <row r="269" spans="2:7">
      <c r="B269" s="55"/>
      <c r="C269" s="33"/>
      <c r="D269" s="57"/>
      <c r="E269" s="58"/>
      <c r="F269" s="58"/>
      <c r="G269" s="33"/>
    </row>
    <row r="270" spans="2:7">
      <c r="B270" s="55"/>
      <c r="C270" s="33"/>
      <c r="D270" s="57"/>
      <c r="E270" s="58"/>
      <c r="F270" s="58"/>
      <c r="G270" s="33"/>
    </row>
    <row r="271" spans="2:7">
      <c r="B271" s="55"/>
      <c r="C271" s="33"/>
      <c r="D271" s="57"/>
      <c r="E271" s="58"/>
      <c r="F271" s="58"/>
      <c r="G271" s="33"/>
    </row>
    <row r="272" spans="2:7">
      <c r="B272" s="55"/>
      <c r="C272" s="33"/>
      <c r="D272" s="57"/>
      <c r="E272" s="58"/>
      <c r="F272" s="58"/>
      <c r="G272" s="33"/>
    </row>
    <row r="273" spans="2:7">
      <c r="B273" s="55"/>
      <c r="C273" s="33"/>
      <c r="D273" s="57"/>
      <c r="E273" s="58"/>
      <c r="F273" s="58"/>
      <c r="G273" s="33"/>
    </row>
    <row r="274" spans="2:7">
      <c r="B274" s="55"/>
      <c r="C274" s="33"/>
      <c r="D274" s="57"/>
      <c r="E274" s="58"/>
      <c r="F274" s="58"/>
      <c r="G274" s="33"/>
    </row>
    <row r="275" spans="2:7">
      <c r="B275" s="55"/>
      <c r="C275" s="33"/>
      <c r="D275" s="57"/>
      <c r="E275" s="58"/>
      <c r="F275" s="58"/>
      <c r="G275" s="33"/>
    </row>
    <row r="276" spans="2:7">
      <c r="B276" s="55"/>
      <c r="C276" s="33"/>
      <c r="D276" s="57"/>
      <c r="E276" s="58"/>
      <c r="F276" s="58"/>
      <c r="G276" s="33"/>
    </row>
    <row r="277" spans="2:7">
      <c r="B277" s="55"/>
      <c r="C277" s="33"/>
      <c r="D277" s="57"/>
      <c r="E277" s="58"/>
      <c r="F277" s="58"/>
      <c r="G277" s="33"/>
    </row>
    <row r="278" spans="2:7">
      <c r="B278" s="55"/>
      <c r="C278" s="33"/>
      <c r="D278" s="57"/>
      <c r="E278" s="58"/>
      <c r="F278" s="58"/>
      <c r="G278" s="33"/>
    </row>
    <row r="279" spans="2:7" ht="15.75" thickBot="1">
      <c r="B279" s="56"/>
      <c r="C279" s="34"/>
      <c r="D279" s="56"/>
      <c r="E279" s="59"/>
      <c r="F279" s="59"/>
      <c r="G279" s="34"/>
    </row>
    <row r="280" spans="2:7" ht="15.75" thickBot="1">
      <c r="B280" s="56">
        <f>SUM(B266:B279)</f>
        <v>50</v>
      </c>
      <c r="C280" s="34" t="s">
        <v>66</v>
      </c>
      <c r="D280" s="56">
        <f>SUM(D266:D279)</f>
        <v>0</v>
      </c>
      <c r="E280" s="56">
        <f>SUM(E266:E279)</f>
        <v>0</v>
      </c>
      <c r="F280" s="56">
        <f>SUM(F266:F279)</f>
        <v>0</v>
      </c>
      <c r="G280" s="34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289" t="str">
        <f>'2018'!A34</f>
        <v>Regalos</v>
      </c>
      <c r="C282" s="290"/>
      <c r="D282" s="290"/>
      <c r="E282" s="290"/>
      <c r="F282" s="290"/>
      <c r="G282" s="291"/>
    </row>
    <row r="283" spans="2:7" ht="15" customHeight="1" thickBot="1">
      <c r="B283" s="292"/>
      <c r="C283" s="293"/>
      <c r="D283" s="293"/>
      <c r="E283" s="293"/>
      <c r="F283" s="293"/>
      <c r="G283" s="294"/>
    </row>
    <row r="284" spans="2:7">
      <c r="B284" s="297" t="s">
        <v>10</v>
      </c>
      <c r="C284" s="296"/>
      <c r="D284" s="295" t="s">
        <v>11</v>
      </c>
      <c r="E284" s="295"/>
      <c r="F284" s="295"/>
      <c r="G284" s="296"/>
    </row>
    <row r="285" spans="2:7">
      <c r="B285" s="52" t="s">
        <v>32</v>
      </c>
      <c r="C285" s="60" t="s">
        <v>33</v>
      </c>
      <c r="D285" s="52" t="s">
        <v>68</v>
      </c>
      <c r="E285" s="53" t="s">
        <v>69</v>
      </c>
      <c r="F285" s="53" t="s">
        <v>32</v>
      </c>
      <c r="G285" s="60" t="s">
        <v>393</v>
      </c>
    </row>
    <row r="286" spans="2:7">
      <c r="B286" s="54">
        <v>120</v>
      </c>
      <c r="C286" s="36" t="s">
        <v>36</v>
      </c>
      <c r="D286" s="57">
        <v>4</v>
      </c>
      <c r="E286" s="58"/>
      <c r="F286" s="58"/>
      <c r="G286" s="33" t="s">
        <v>536</v>
      </c>
    </row>
    <row r="287" spans="2:7">
      <c r="B287" s="55"/>
      <c r="C287" s="33"/>
      <c r="D287" s="57"/>
      <c r="E287" s="58"/>
      <c r="F287" s="58"/>
      <c r="G287" s="33"/>
    </row>
    <row r="288" spans="2:7">
      <c r="B288" s="55"/>
      <c r="C288" s="33"/>
      <c r="D288" s="57"/>
      <c r="E288" s="58"/>
      <c r="F288" s="58"/>
      <c r="G288" s="33"/>
    </row>
    <row r="289" spans="2:7">
      <c r="B289" s="55"/>
      <c r="C289" s="33"/>
      <c r="D289" s="57"/>
      <c r="E289" s="58"/>
      <c r="F289" s="58"/>
      <c r="G289" s="33"/>
    </row>
    <row r="290" spans="2:7">
      <c r="B290" s="55"/>
      <c r="C290" s="33"/>
      <c r="D290" s="57"/>
      <c r="E290" s="58"/>
      <c r="F290" s="58"/>
      <c r="G290" s="33"/>
    </row>
    <row r="291" spans="2:7">
      <c r="B291" s="55"/>
      <c r="C291" s="33"/>
      <c r="D291" s="57"/>
      <c r="E291" s="58"/>
      <c r="F291" s="58"/>
      <c r="G291" s="33"/>
    </row>
    <row r="292" spans="2:7">
      <c r="B292" s="55"/>
      <c r="C292" s="33"/>
      <c r="D292" s="57"/>
      <c r="E292" s="58"/>
      <c r="F292" s="58"/>
      <c r="G292" s="33"/>
    </row>
    <row r="293" spans="2:7">
      <c r="B293" s="55"/>
      <c r="C293" s="33"/>
      <c r="D293" s="57"/>
      <c r="E293" s="58"/>
      <c r="F293" s="58"/>
      <c r="G293" s="33"/>
    </row>
    <row r="294" spans="2:7">
      <c r="B294" s="55"/>
      <c r="C294" s="33"/>
      <c r="D294" s="57"/>
      <c r="E294" s="58"/>
      <c r="F294" s="58"/>
      <c r="G294" s="33"/>
    </row>
    <row r="295" spans="2:7">
      <c r="B295" s="55"/>
      <c r="C295" s="33"/>
      <c r="D295" s="57"/>
      <c r="E295" s="58"/>
      <c r="F295" s="58"/>
      <c r="G295" s="33"/>
    </row>
    <row r="296" spans="2:7">
      <c r="B296" s="55"/>
      <c r="C296" s="33"/>
      <c r="D296" s="57"/>
      <c r="E296" s="58"/>
      <c r="F296" s="58"/>
      <c r="G296" s="33"/>
    </row>
    <row r="297" spans="2:7">
      <c r="B297" s="55"/>
      <c r="C297" s="33"/>
      <c r="D297" s="57"/>
      <c r="E297" s="58"/>
      <c r="F297" s="58"/>
      <c r="G297" s="33"/>
    </row>
    <row r="298" spans="2:7">
      <c r="B298" s="55"/>
      <c r="C298" s="33"/>
      <c r="D298" s="57"/>
      <c r="E298" s="58"/>
      <c r="F298" s="58"/>
      <c r="G298" s="33"/>
    </row>
    <row r="299" spans="2:7" ht="15.75" thickBot="1">
      <c r="B299" s="56"/>
      <c r="C299" s="34"/>
      <c r="D299" s="56"/>
      <c r="E299" s="59"/>
      <c r="F299" s="59"/>
      <c r="G299" s="34"/>
    </row>
    <row r="300" spans="2:7" ht="15.75" thickBot="1">
      <c r="B300" s="56">
        <f>SUM(B286:B299)</f>
        <v>120</v>
      </c>
      <c r="C300" s="34" t="s">
        <v>66</v>
      </c>
      <c r="D300" s="56">
        <f>SUM(D286:D299)</f>
        <v>4</v>
      </c>
      <c r="E300" s="56">
        <f>SUM(E286:E299)</f>
        <v>0</v>
      </c>
      <c r="F300" s="56">
        <f>SUM(F286:F299)</f>
        <v>0</v>
      </c>
      <c r="G300" s="34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89" t="str">
        <f>'2018'!A35</f>
        <v>Salud</v>
      </c>
      <c r="C302" s="290"/>
      <c r="D302" s="290"/>
      <c r="E302" s="290"/>
      <c r="F302" s="290"/>
      <c r="G302" s="291"/>
    </row>
    <row r="303" spans="2:7" ht="15" customHeight="1" thickBot="1">
      <c r="B303" s="292"/>
      <c r="C303" s="293"/>
      <c r="D303" s="293"/>
      <c r="E303" s="293"/>
      <c r="F303" s="293"/>
      <c r="G303" s="294"/>
    </row>
    <row r="304" spans="2:7">
      <c r="B304" s="297" t="s">
        <v>10</v>
      </c>
      <c r="C304" s="296"/>
      <c r="D304" s="295" t="s">
        <v>11</v>
      </c>
      <c r="E304" s="295"/>
      <c r="F304" s="295"/>
      <c r="G304" s="296"/>
    </row>
    <row r="305" spans="2:7">
      <c r="B305" s="52" t="s">
        <v>32</v>
      </c>
      <c r="C305" s="60" t="s">
        <v>33</v>
      </c>
      <c r="D305" s="52" t="s">
        <v>68</v>
      </c>
      <c r="E305" s="53" t="s">
        <v>69</v>
      </c>
      <c r="F305" s="53" t="s">
        <v>32</v>
      </c>
      <c r="G305" s="60" t="s">
        <v>393</v>
      </c>
    </row>
    <row r="306" spans="2:7">
      <c r="B306" s="54">
        <v>100</v>
      </c>
      <c r="C306" s="36" t="s">
        <v>472</v>
      </c>
      <c r="D306" s="57">
        <v>125</v>
      </c>
      <c r="E306" s="58"/>
      <c r="F306" s="58"/>
      <c r="G306" s="33" t="s">
        <v>562</v>
      </c>
    </row>
    <row r="307" spans="2:7">
      <c r="B307" s="84"/>
      <c r="C307" s="66"/>
      <c r="D307" s="57"/>
      <c r="E307" s="58"/>
      <c r="F307" s="58"/>
      <c r="G307" s="33"/>
    </row>
    <row r="308" spans="2:7">
      <c r="B308" s="84"/>
      <c r="C308" s="66"/>
      <c r="D308" s="57"/>
      <c r="E308" s="58"/>
      <c r="F308" s="58"/>
      <c r="G308" s="33"/>
    </row>
    <row r="309" spans="2:7">
      <c r="B309" s="55"/>
      <c r="C309" s="33"/>
      <c r="D309" s="57"/>
      <c r="E309" s="58"/>
      <c r="F309" s="58"/>
      <c r="G309" s="33"/>
    </row>
    <row r="310" spans="2:7">
      <c r="B310" s="55"/>
      <c r="C310" s="33"/>
      <c r="D310" s="57"/>
      <c r="E310" s="58"/>
      <c r="F310" s="58"/>
      <c r="G310" s="33"/>
    </row>
    <row r="311" spans="2:7">
      <c r="B311" s="55"/>
      <c r="C311" s="33"/>
      <c r="D311" s="57"/>
      <c r="E311" s="58"/>
      <c r="F311" s="58"/>
      <c r="G311" s="33"/>
    </row>
    <row r="312" spans="2:7">
      <c r="B312" s="55"/>
      <c r="C312" s="33"/>
      <c r="D312" s="57"/>
      <c r="E312" s="58"/>
      <c r="F312" s="58"/>
      <c r="G312" s="33"/>
    </row>
    <row r="313" spans="2:7">
      <c r="B313" s="55"/>
      <c r="C313" s="33"/>
      <c r="D313" s="57"/>
      <c r="E313" s="58"/>
      <c r="F313" s="58"/>
      <c r="G313" s="33"/>
    </row>
    <row r="314" spans="2:7">
      <c r="B314" s="55"/>
      <c r="C314" s="33"/>
      <c r="D314" s="57"/>
      <c r="E314" s="58"/>
      <c r="F314" s="58"/>
      <c r="G314" s="33"/>
    </row>
    <row r="315" spans="2:7">
      <c r="B315" s="55"/>
      <c r="C315" s="33"/>
      <c r="D315" s="57"/>
      <c r="E315" s="58"/>
      <c r="F315" s="58"/>
      <c r="G315" s="33"/>
    </row>
    <row r="316" spans="2:7">
      <c r="B316" s="55"/>
      <c r="C316" s="33"/>
      <c r="D316" s="57"/>
      <c r="E316" s="58"/>
      <c r="F316" s="58"/>
      <c r="G316" s="33"/>
    </row>
    <row r="317" spans="2:7">
      <c r="B317" s="55"/>
      <c r="C317" s="33"/>
      <c r="D317" s="57"/>
      <c r="E317" s="58"/>
      <c r="F317" s="58"/>
      <c r="G317" s="33"/>
    </row>
    <row r="318" spans="2:7">
      <c r="B318" s="55"/>
      <c r="C318" s="33"/>
      <c r="D318" s="57"/>
      <c r="E318" s="58"/>
      <c r="F318" s="58"/>
      <c r="G318" s="33"/>
    </row>
    <row r="319" spans="2:7" ht="15.75" thickBot="1">
      <c r="B319" s="56"/>
      <c r="C319" s="34"/>
      <c r="D319" s="56"/>
      <c r="E319" s="59"/>
      <c r="F319" s="59"/>
      <c r="G319" s="34"/>
    </row>
    <row r="320" spans="2:7" ht="15.75" thickBot="1">
      <c r="B320" s="56">
        <f>SUM(B306:B319)</f>
        <v>100</v>
      </c>
      <c r="C320" s="34" t="s">
        <v>66</v>
      </c>
      <c r="D320" s="56">
        <f>SUM(D306:D319)</f>
        <v>125</v>
      </c>
      <c r="E320" s="56">
        <f>SUM(E306:E319)</f>
        <v>0</v>
      </c>
      <c r="F320" s="56">
        <f>SUM(F306:F319)</f>
        <v>0</v>
      </c>
      <c r="G320" s="34" t="s">
        <v>66</v>
      </c>
    </row>
    <row r="321" spans="2:7" ht="15.75" thickBot="1"/>
    <row r="322" spans="2:7" ht="14.45" customHeight="1">
      <c r="B322" s="289" t="str">
        <f>'2018'!A36</f>
        <v>Martina</v>
      </c>
      <c r="C322" s="290"/>
      <c r="D322" s="290"/>
      <c r="E322" s="290"/>
      <c r="F322" s="290"/>
      <c r="G322" s="291"/>
    </row>
    <row r="323" spans="2:7" ht="15" customHeight="1" thickBot="1">
      <c r="B323" s="292"/>
      <c r="C323" s="293"/>
      <c r="D323" s="293"/>
      <c r="E323" s="293"/>
      <c r="F323" s="293"/>
      <c r="G323" s="294"/>
    </row>
    <row r="324" spans="2:7">
      <c r="B324" s="297" t="s">
        <v>10</v>
      </c>
      <c r="C324" s="296"/>
      <c r="D324" s="295" t="s">
        <v>11</v>
      </c>
      <c r="E324" s="295"/>
      <c r="F324" s="295"/>
      <c r="G324" s="296"/>
    </row>
    <row r="325" spans="2:7">
      <c r="B325" s="52" t="s">
        <v>32</v>
      </c>
      <c r="C325" s="60" t="s">
        <v>33</v>
      </c>
      <c r="D325" s="52" t="s">
        <v>68</v>
      </c>
      <c r="E325" s="53" t="s">
        <v>69</v>
      </c>
      <c r="F325" s="53" t="s">
        <v>32</v>
      </c>
      <c r="G325" s="60" t="s">
        <v>393</v>
      </c>
    </row>
    <row r="326" spans="2:7">
      <c r="B326" s="54">
        <v>90</v>
      </c>
      <c r="C326" s="36" t="s">
        <v>514</v>
      </c>
      <c r="D326" s="57">
        <v>4.3499999999999996</v>
      </c>
      <c r="E326" s="58"/>
      <c r="F326" s="58"/>
      <c r="G326" s="33" t="s">
        <v>557</v>
      </c>
    </row>
    <row r="327" spans="2:7">
      <c r="B327" s="55">
        <v>0.02</v>
      </c>
      <c r="C327" s="33" t="s">
        <v>515</v>
      </c>
      <c r="D327" s="57"/>
      <c r="E327" s="58"/>
      <c r="F327" s="58"/>
      <c r="G327" s="33"/>
    </row>
    <row r="328" spans="2:7">
      <c r="B328" s="55">
        <v>241.71</v>
      </c>
      <c r="C328" s="33" t="s">
        <v>513</v>
      </c>
      <c r="D328" s="57"/>
      <c r="E328" s="58"/>
      <c r="F328" s="58"/>
      <c r="G328" s="33"/>
    </row>
    <row r="329" spans="2:7">
      <c r="B329" s="55"/>
      <c r="C329" s="33"/>
      <c r="D329" s="57"/>
      <c r="E329" s="58"/>
      <c r="F329" s="58"/>
      <c r="G329" s="33"/>
    </row>
    <row r="330" spans="2:7">
      <c r="B330" s="55"/>
      <c r="C330" s="33"/>
      <c r="D330" s="57"/>
      <c r="E330" s="58"/>
      <c r="F330" s="58"/>
      <c r="G330" s="33"/>
    </row>
    <row r="331" spans="2:7">
      <c r="B331" s="55"/>
      <c r="C331" s="33"/>
      <c r="D331" s="57"/>
      <c r="E331" s="58"/>
      <c r="F331" s="58"/>
      <c r="G331" s="33"/>
    </row>
    <row r="332" spans="2:7">
      <c r="B332" s="55"/>
      <c r="C332" s="33"/>
      <c r="D332" s="57"/>
      <c r="E332" s="58"/>
      <c r="F332" s="58"/>
      <c r="G332" s="33"/>
    </row>
    <row r="333" spans="2:7">
      <c r="B333" s="55"/>
      <c r="C333" s="33"/>
      <c r="D333" s="57"/>
      <c r="E333" s="58"/>
      <c r="F333" s="58"/>
      <c r="G333" s="33"/>
    </row>
    <row r="334" spans="2:7">
      <c r="B334" s="55"/>
      <c r="C334" s="33"/>
      <c r="D334" s="57"/>
      <c r="E334" s="58"/>
      <c r="F334" s="58"/>
      <c r="G334" s="33"/>
    </row>
    <row r="335" spans="2:7">
      <c r="B335" s="55"/>
      <c r="C335" s="33"/>
      <c r="D335" s="57"/>
      <c r="E335" s="58"/>
      <c r="F335" s="58"/>
      <c r="G335" s="33"/>
    </row>
    <row r="336" spans="2:7">
      <c r="B336" s="55"/>
      <c r="C336" s="33"/>
      <c r="D336" s="57"/>
      <c r="E336" s="58"/>
      <c r="F336" s="58"/>
      <c r="G336" s="33"/>
    </row>
    <row r="337" spans="2:7">
      <c r="B337" s="55"/>
      <c r="C337" s="33"/>
      <c r="D337" s="57"/>
      <c r="E337" s="58"/>
      <c r="F337" s="58"/>
      <c r="G337" s="33"/>
    </row>
    <row r="338" spans="2:7">
      <c r="B338" s="55"/>
      <c r="C338" s="33"/>
      <c r="D338" s="57"/>
      <c r="E338" s="58"/>
      <c r="F338" s="58"/>
      <c r="G338" s="33"/>
    </row>
    <row r="339" spans="2:7" ht="15.75" thickBot="1">
      <c r="B339" s="56"/>
      <c r="C339" s="34"/>
      <c r="D339" s="56"/>
      <c r="E339" s="59"/>
      <c r="F339" s="59"/>
      <c r="G339" s="34"/>
    </row>
    <row r="340" spans="2:7" ht="15.75" thickBot="1">
      <c r="B340" s="56">
        <f>SUM(B326:B339)</f>
        <v>331.73</v>
      </c>
      <c r="C340" s="34" t="s">
        <v>66</v>
      </c>
      <c r="D340" s="56">
        <f>SUM(D326:D339)</f>
        <v>4.3499999999999996</v>
      </c>
      <c r="E340" s="56">
        <f>SUM(E326:E339)</f>
        <v>0</v>
      </c>
      <c r="F340" s="56">
        <f>SUM(F326:F339)</f>
        <v>0</v>
      </c>
      <c r="G340" s="34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89" t="str">
        <f>'2018'!A37</f>
        <v>Impuestos</v>
      </c>
      <c r="C342" s="290"/>
      <c r="D342" s="290"/>
      <c r="E342" s="290"/>
      <c r="F342" s="290"/>
      <c r="G342" s="291"/>
    </row>
    <row r="343" spans="2:7" ht="15" customHeight="1" thickBot="1">
      <c r="B343" s="292"/>
      <c r="C343" s="293"/>
      <c r="D343" s="293"/>
      <c r="E343" s="293"/>
      <c r="F343" s="293"/>
      <c r="G343" s="294"/>
    </row>
    <row r="344" spans="2:7">
      <c r="B344" s="297" t="s">
        <v>10</v>
      </c>
      <c r="C344" s="296"/>
      <c r="D344" s="295" t="s">
        <v>11</v>
      </c>
      <c r="E344" s="295"/>
      <c r="F344" s="295"/>
      <c r="G344" s="296"/>
    </row>
    <row r="345" spans="2:7">
      <c r="B345" s="52" t="s">
        <v>32</v>
      </c>
      <c r="C345" s="60" t="s">
        <v>33</v>
      </c>
      <c r="D345" s="52" t="s">
        <v>68</v>
      </c>
      <c r="E345" s="53" t="s">
        <v>69</v>
      </c>
      <c r="F345" s="53" t="s">
        <v>32</v>
      </c>
      <c r="G345" s="60" t="s">
        <v>393</v>
      </c>
    </row>
    <row r="346" spans="2:7">
      <c r="B346" s="54">
        <v>30</v>
      </c>
      <c r="C346" s="36" t="s">
        <v>119</v>
      </c>
      <c r="D346" s="57"/>
      <c r="E346" s="58"/>
      <c r="F346" s="58"/>
      <c r="G346" s="33"/>
    </row>
    <row r="347" spans="2:7">
      <c r="B347" s="55">
        <v>20</v>
      </c>
      <c r="C347" s="33" t="s">
        <v>474</v>
      </c>
      <c r="D347" s="57"/>
      <c r="E347" s="58"/>
      <c r="F347" s="58"/>
      <c r="G347" s="33"/>
    </row>
    <row r="348" spans="2:7">
      <c r="B348" s="55"/>
      <c r="C348" s="33"/>
      <c r="D348" s="57"/>
      <c r="E348" s="58"/>
      <c r="F348" s="58"/>
      <c r="G348" s="33"/>
    </row>
    <row r="349" spans="2:7">
      <c r="B349" s="55"/>
      <c r="C349" s="33"/>
      <c r="D349" s="57"/>
      <c r="E349" s="58"/>
      <c r="F349" s="58"/>
      <c r="G349" s="33"/>
    </row>
    <row r="350" spans="2:7">
      <c r="B350" s="55"/>
      <c r="C350" s="33"/>
      <c r="D350" s="57"/>
      <c r="E350" s="58"/>
      <c r="F350" s="58"/>
      <c r="G350" s="33"/>
    </row>
    <row r="351" spans="2:7">
      <c r="B351" s="55"/>
      <c r="C351" s="33"/>
      <c r="D351" s="57"/>
      <c r="E351" s="58"/>
      <c r="F351" s="58"/>
      <c r="G351" s="33"/>
    </row>
    <row r="352" spans="2:7">
      <c r="B352" s="55"/>
      <c r="C352" s="33"/>
      <c r="D352" s="57"/>
      <c r="E352" s="58"/>
      <c r="F352" s="58"/>
      <c r="G352" s="33"/>
    </row>
    <row r="353" spans="2:7">
      <c r="B353" s="55"/>
      <c r="C353" s="33"/>
      <c r="D353" s="57"/>
      <c r="E353" s="58"/>
      <c r="F353" s="58"/>
      <c r="G353" s="33"/>
    </row>
    <row r="354" spans="2:7">
      <c r="B354" s="55"/>
      <c r="C354" s="33"/>
      <c r="D354" s="57"/>
      <c r="E354" s="58"/>
      <c r="F354" s="58"/>
      <c r="G354" s="33"/>
    </row>
    <row r="355" spans="2:7">
      <c r="B355" s="55"/>
      <c r="C355" s="33"/>
      <c r="D355" s="57"/>
      <c r="E355" s="58"/>
      <c r="F355" s="58"/>
      <c r="G355" s="33"/>
    </row>
    <row r="356" spans="2:7">
      <c r="B356" s="55"/>
      <c r="C356" s="33"/>
      <c r="D356" s="57"/>
      <c r="E356" s="58"/>
      <c r="F356" s="58"/>
      <c r="G356" s="33"/>
    </row>
    <row r="357" spans="2:7">
      <c r="B357" s="55"/>
      <c r="C357" s="33"/>
      <c r="D357" s="57"/>
      <c r="E357" s="58"/>
      <c r="F357" s="58"/>
      <c r="G357" s="33"/>
    </row>
    <row r="358" spans="2:7">
      <c r="B358" s="55"/>
      <c r="C358" s="33"/>
      <c r="D358" s="57"/>
      <c r="E358" s="58"/>
      <c r="F358" s="58"/>
      <c r="G358" s="33"/>
    </row>
    <row r="359" spans="2:7" ht="15.75" thickBot="1">
      <c r="B359" s="56"/>
      <c r="C359" s="34"/>
      <c r="D359" s="56"/>
      <c r="E359" s="59"/>
      <c r="F359" s="59"/>
      <c r="G359" s="34"/>
    </row>
    <row r="360" spans="2:7" ht="15.75" thickBot="1">
      <c r="B360" s="56">
        <f>SUM(B346:B359)</f>
        <v>50</v>
      </c>
      <c r="C360" s="34" t="s">
        <v>66</v>
      </c>
      <c r="D360" s="56">
        <f>SUM(D346:D359)</f>
        <v>0</v>
      </c>
      <c r="E360" s="56">
        <f>SUM(E346:E359)</f>
        <v>0</v>
      </c>
      <c r="F360" s="56">
        <f>SUM(F346:F359)</f>
        <v>0</v>
      </c>
      <c r="G360" s="34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89" t="str">
        <f>'2018'!A38</f>
        <v>Gastos Curros</v>
      </c>
      <c r="C362" s="290"/>
      <c r="D362" s="290"/>
      <c r="E362" s="290"/>
      <c r="F362" s="290"/>
      <c r="G362" s="291"/>
    </row>
    <row r="363" spans="2:7" ht="15" customHeight="1" thickBot="1">
      <c r="B363" s="292"/>
      <c r="C363" s="293"/>
      <c r="D363" s="293"/>
      <c r="E363" s="293"/>
      <c r="F363" s="293"/>
      <c r="G363" s="294"/>
    </row>
    <row r="364" spans="2:7">
      <c r="B364" s="297" t="s">
        <v>10</v>
      </c>
      <c r="C364" s="296"/>
      <c r="D364" s="295" t="s">
        <v>11</v>
      </c>
      <c r="E364" s="295"/>
      <c r="F364" s="295"/>
      <c r="G364" s="296"/>
    </row>
    <row r="365" spans="2:7">
      <c r="B365" s="52" t="s">
        <v>32</v>
      </c>
      <c r="C365" s="60" t="s">
        <v>33</v>
      </c>
      <c r="D365" s="52" t="s">
        <v>68</v>
      </c>
      <c r="E365" s="53" t="s">
        <v>69</v>
      </c>
      <c r="F365" s="53" t="s">
        <v>32</v>
      </c>
      <c r="G365" s="60" t="s">
        <v>393</v>
      </c>
    </row>
    <row r="366" spans="2:7">
      <c r="B366" s="54">
        <v>70</v>
      </c>
      <c r="C366" s="36" t="s">
        <v>36</v>
      </c>
      <c r="D366" s="57"/>
      <c r="E366" s="58"/>
      <c r="F366" s="58">
        <f>4+2.8+3.5+3.7+3.4+2.8+3.4+2.8+4.45+2.8+5</f>
        <v>38.65</v>
      </c>
      <c r="G366" s="70" t="s">
        <v>91</v>
      </c>
    </row>
    <row r="367" spans="2:7">
      <c r="B367" s="55">
        <v>26.77</v>
      </c>
      <c r="C367" s="33" t="s">
        <v>511</v>
      </c>
      <c r="D367" s="57">
        <v>40.49</v>
      </c>
      <c r="E367" s="58"/>
      <c r="F367" s="58"/>
      <c r="G367" s="70" t="s">
        <v>539</v>
      </c>
    </row>
    <row r="368" spans="2:7">
      <c r="B368" s="55"/>
      <c r="C368" s="33"/>
      <c r="D368" s="57"/>
      <c r="E368" s="58">
        <v>57.65</v>
      </c>
      <c r="F368" s="58"/>
      <c r="G368" s="33" t="s">
        <v>541</v>
      </c>
    </row>
    <row r="369" spans="2:7">
      <c r="B369" s="55"/>
      <c r="C369" s="33"/>
      <c r="D369" s="57"/>
      <c r="E369" s="58"/>
      <c r="F369" s="58">
        <v>2.85</v>
      </c>
      <c r="G369" s="33" t="s">
        <v>553</v>
      </c>
    </row>
    <row r="370" spans="2:7">
      <c r="B370" s="55"/>
      <c r="C370" s="33"/>
      <c r="D370" s="57"/>
      <c r="E370" s="58"/>
      <c r="F370" s="58"/>
      <c r="G370" s="33"/>
    </row>
    <row r="371" spans="2:7">
      <c r="B371" s="55"/>
      <c r="C371" s="33"/>
      <c r="D371" s="57"/>
      <c r="E371" s="58"/>
      <c r="F371" s="58"/>
      <c r="G371" s="33"/>
    </row>
    <row r="372" spans="2:7">
      <c r="B372" s="55"/>
      <c r="C372" s="33"/>
      <c r="D372" s="57"/>
      <c r="E372" s="58"/>
      <c r="F372" s="58"/>
      <c r="G372" s="33"/>
    </row>
    <row r="373" spans="2:7">
      <c r="B373" s="55"/>
      <c r="C373" s="33"/>
      <c r="D373" s="57"/>
      <c r="E373" s="58"/>
      <c r="F373" s="58"/>
      <c r="G373" s="33"/>
    </row>
    <row r="374" spans="2:7">
      <c r="B374" s="55"/>
      <c r="C374" s="33"/>
      <c r="D374" s="57"/>
      <c r="E374" s="58"/>
      <c r="F374" s="58"/>
      <c r="G374" s="33"/>
    </row>
    <row r="375" spans="2:7">
      <c r="B375" s="55"/>
      <c r="C375" s="33"/>
      <c r="D375" s="57"/>
      <c r="E375" s="58"/>
      <c r="F375" s="58"/>
      <c r="G375" s="33"/>
    </row>
    <row r="376" spans="2:7">
      <c r="B376" s="55"/>
      <c r="C376" s="33"/>
      <c r="D376" s="57"/>
      <c r="E376" s="58"/>
      <c r="F376" s="58"/>
      <c r="G376" s="33"/>
    </row>
    <row r="377" spans="2:7">
      <c r="B377" s="55"/>
      <c r="C377" s="33"/>
      <c r="D377" s="57"/>
      <c r="E377" s="58"/>
      <c r="F377" s="58"/>
      <c r="G377" s="33"/>
    </row>
    <row r="378" spans="2:7">
      <c r="B378" s="55"/>
      <c r="C378" s="33"/>
      <c r="D378" s="57"/>
      <c r="E378" s="58"/>
      <c r="F378" s="58"/>
      <c r="G378" s="33"/>
    </row>
    <row r="379" spans="2:7" ht="15.75" thickBot="1">
      <c r="B379" s="56"/>
      <c r="C379" s="34"/>
      <c r="D379" s="56"/>
      <c r="E379" s="59"/>
      <c r="F379" s="59"/>
      <c r="G379" s="34"/>
    </row>
    <row r="380" spans="2:7" ht="15.75" thickBot="1">
      <c r="B380" s="56">
        <f>SUM(B366:B379)</f>
        <v>96.77</v>
      </c>
      <c r="C380" s="34" t="s">
        <v>66</v>
      </c>
      <c r="D380" s="56">
        <f>SUM(D366:D379)</f>
        <v>40.49</v>
      </c>
      <c r="E380" s="56">
        <f>SUM(E366:E379)</f>
        <v>57.65</v>
      </c>
      <c r="F380" s="56">
        <f>SUM(F366:F379)</f>
        <v>41.5</v>
      </c>
      <c r="G380" s="34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89" t="str">
        <f>'2018'!A39</f>
        <v>Dreamed Holidays</v>
      </c>
      <c r="C382" s="290"/>
      <c r="D382" s="290"/>
      <c r="E382" s="290"/>
      <c r="F382" s="290"/>
      <c r="G382" s="291"/>
    </row>
    <row r="383" spans="2:7" ht="15" customHeight="1" thickBot="1">
      <c r="B383" s="292"/>
      <c r="C383" s="293"/>
      <c r="D383" s="293"/>
      <c r="E383" s="293"/>
      <c r="F383" s="293"/>
      <c r="G383" s="294"/>
    </row>
    <row r="384" spans="2:7">
      <c r="B384" s="297" t="s">
        <v>10</v>
      </c>
      <c r="C384" s="296"/>
      <c r="D384" s="295" t="s">
        <v>11</v>
      </c>
      <c r="E384" s="295"/>
      <c r="F384" s="295"/>
      <c r="G384" s="296"/>
    </row>
    <row r="385" spans="2:7">
      <c r="B385" s="52" t="s">
        <v>32</v>
      </c>
      <c r="C385" s="60" t="s">
        <v>33</v>
      </c>
      <c r="D385" s="52" t="s">
        <v>68</v>
      </c>
      <c r="E385" s="53" t="s">
        <v>69</v>
      </c>
      <c r="F385" s="53" t="s">
        <v>32</v>
      </c>
      <c r="G385" s="60" t="s">
        <v>33</v>
      </c>
    </row>
    <row r="386" spans="2:7">
      <c r="B386" s="54">
        <v>10</v>
      </c>
      <c r="C386" s="36"/>
      <c r="D386" s="57"/>
      <c r="E386" s="58"/>
      <c r="F386" s="58"/>
      <c r="G386" s="33"/>
    </row>
    <row r="387" spans="2:7">
      <c r="B387" s="55"/>
      <c r="C387" s="33"/>
      <c r="D387" s="57"/>
      <c r="E387" s="58"/>
      <c r="F387" s="58"/>
      <c r="G387" s="33"/>
    </row>
    <row r="388" spans="2:7">
      <c r="B388" s="55"/>
      <c r="C388" s="33"/>
      <c r="D388" s="57"/>
      <c r="E388" s="58"/>
      <c r="F388" s="58"/>
      <c r="G388" s="33"/>
    </row>
    <row r="389" spans="2:7">
      <c r="B389" s="55"/>
      <c r="C389" s="33"/>
      <c r="D389" s="57"/>
      <c r="E389" s="58"/>
      <c r="F389" s="58"/>
      <c r="G389" s="33"/>
    </row>
    <row r="390" spans="2:7">
      <c r="B390" s="55"/>
      <c r="C390" s="33"/>
      <c r="D390" s="57"/>
      <c r="E390" s="58"/>
      <c r="F390" s="58"/>
      <c r="G390" s="33"/>
    </row>
    <row r="391" spans="2:7">
      <c r="B391" s="55"/>
      <c r="C391" s="33"/>
      <c r="D391" s="57"/>
      <c r="E391" s="58"/>
      <c r="F391" s="58"/>
      <c r="G391" s="33"/>
    </row>
    <row r="392" spans="2:7">
      <c r="B392" s="55"/>
      <c r="C392" s="33"/>
      <c r="D392" s="57"/>
      <c r="E392" s="58"/>
      <c r="F392" s="58"/>
      <c r="G392" s="33"/>
    </row>
    <row r="393" spans="2:7">
      <c r="B393" s="55"/>
      <c r="C393" s="33"/>
      <c r="D393" s="57"/>
      <c r="E393" s="58"/>
      <c r="F393" s="58"/>
      <c r="G393" s="33"/>
    </row>
    <row r="394" spans="2:7">
      <c r="B394" s="55"/>
      <c r="C394" s="33"/>
      <c r="D394" s="57"/>
      <c r="E394" s="58"/>
      <c r="F394" s="58"/>
      <c r="G394" s="33"/>
    </row>
    <row r="395" spans="2:7">
      <c r="B395" s="55"/>
      <c r="C395" s="33"/>
      <c r="D395" s="57"/>
      <c r="E395" s="58"/>
      <c r="F395" s="58"/>
      <c r="G395" s="33"/>
    </row>
    <row r="396" spans="2:7">
      <c r="B396" s="55"/>
      <c r="C396" s="33"/>
      <c r="D396" s="57"/>
      <c r="E396" s="58"/>
      <c r="F396" s="58"/>
      <c r="G396" s="33"/>
    </row>
    <row r="397" spans="2:7">
      <c r="B397" s="55"/>
      <c r="C397" s="33"/>
      <c r="D397" s="57"/>
      <c r="E397" s="58"/>
      <c r="F397" s="58"/>
      <c r="G397" s="33"/>
    </row>
    <row r="398" spans="2:7">
      <c r="B398" s="55"/>
      <c r="C398" s="33"/>
      <c r="D398" s="57"/>
      <c r="E398" s="58"/>
      <c r="F398" s="58"/>
      <c r="G398" s="33"/>
    </row>
    <row r="399" spans="2:7" ht="15.75" thickBot="1">
      <c r="B399" s="56"/>
      <c r="C399" s="34"/>
      <c r="D399" s="56"/>
      <c r="E399" s="59"/>
      <c r="F399" s="59"/>
      <c r="G399" s="34"/>
    </row>
    <row r="400" spans="2:7" ht="15.75" thickBot="1">
      <c r="B400" s="56">
        <f>SUM(B386:B399)</f>
        <v>10</v>
      </c>
      <c r="C400" s="34" t="s">
        <v>66</v>
      </c>
      <c r="D400" s="56">
        <f>SUM(D386:D399)</f>
        <v>0</v>
      </c>
      <c r="E400" s="56">
        <f>SUM(E386:E399)</f>
        <v>0</v>
      </c>
      <c r="F400" s="56">
        <f>SUM(F386:F399)</f>
        <v>0</v>
      </c>
      <c r="G400" s="34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89" t="str">
        <f>'2018'!A40</f>
        <v>Financieros</v>
      </c>
      <c r="C402" s="290"/>
      <c r="D402" s="290"/>
      <c r="E402" s="290"/>
      <c r="F402" s="290"/>
      <c r="G402" s="291"/>
    </row>
    <row r="403" spans="2:7" ht="15" customHeight="1" thickBot="1">
      <c r="B403" s="292"/>
      <c r="C403" s="293"/>
      <c r="D403" s="293"/>
      <c r="E403" s="293"/>
      <c r="F403" s="293"/>
      <c r="G403" s="294"/>
    </row>
    <row r="404" spans="2:7">
      <c r="B404" s="297" t="s">
        <v>10</v>
      </c>
      <c r="C404" s="296"/>
      <c r="D404" s="295" t="s">
        <v>11</v>
      </c>
      <c r="E404" s="295"/>
      <c r="F404" s="295"/>
      <c r="G404" s="296"/>
    </row>
    <row r="405" spans="2:7">
      <c r="B405" s="52" t="s">
        <v>32</v>
      </c>
      <c r="C405" s="60" t="s">
        <v>33</v>
      </c>
      <c r="D405" s="52" t="s">
        <v>68</v>
      </c>
      <c r="E405" s="53" t="s">
        <v>69</v>
      </c>
      <c r="F405" s="53" t="s">
        <v>32</v>
      </c>
      <c r="G405" s="60" t="s">
        <v>33</v>
      </c>
    </row>
    <row r="406" spans="2:7">
      <c r="B406" s="54"/>
      <c r="C406" s="36"/>
      <c r="D406" s="57"/>
      <c r="E406" s="58"/>
      <c r="F406" s="58"/>
      <c r="G406" s="33"/>
    </row>
    <row r="407" spans="2:7">
      <c r="B407" s="55"/>
      <c r="C407" s="33"/>
      <c r="D407" s="57"/>
      <c r="E407" s="58"/>
      <c r="F407" s="58"/>
      <c r="G407" s="33"/>
    </row>
    <row r="408" spans="2:7">
      <c r="B408" s="55"/>
      <c r="C408" s="33"/>
      <c r="D408" s="57"/>
      <c r="E408" s="58"/>
      <c r="F408" s="58"/>
      <c r="G408" s="33"/>
    </row>
    <row r="409" spans="2:7">
      <c r="B409" s="55"/>
      <c r="C409" s="33"/>
      <c r="D409" s="57"/>
      <c r="E409" s="58"/>
      <c r="F409" s="58"/>
      <c r="G409" s="33"/>
    </row>
    <row r="410" spans="2:7">
      <c r="B410" s="55"/>
      <c r="C410" s="33"/>
      <c r="D410" s="57"/>
      <c r="E410" s="58"/>
      <c r="F410" s="58"/>
      <c r="G410" s="33"/>
    </row>
    <row r="411" spans="2:7">
      <c r="B411" s="55"/>
      <c r="C411" s="33"/>
      <c r="D411" s="57"/>
      <c r="E411" s="58"/>
      <c r="F411" s="58"/>
      <c r="G411" s="33"/>
    </row>
    <row r="412" spans="2:7">
      <c r="B412" s="55"/>
      <c r="C412" s="33"/>
      <c r="D412" s="57"/>
      <c r="E412" s="58"/>
      <c r="F412" s="58"/>
      <c r="G412" s="33"/>
    </row>
    <row r="413" spans="2:7">
      <c r="B413" s="55"/>
      <c r="C413" s="33"/>
      <c r="D413" s="57"/>
      <c r="E413" s="58"/>
      <c r="F413" s="58"/>
      <c r="G413" s="33"/>
    </row>
    <row r="414" spans="2:7">
      <c r="B414" s="55"/>
      <c r="C414" s="33"/>
      <c r="D414" s="57"/>
      <c r="E414" s="58"/>
      <c r="F414" s="58"/>
      <c r="G414" s="33"/>
    </row>
    <row r="415" spans="2:7">
      <c r="B415" s="55"/>
      <c r="C415" s="33"/>
      <c r="D415" s="57"/>
      <c r="E415" s="58"/>
      <c r="F415" s="58"/>
      <c r="G415" s="33"/>
    </row>
    <row r="416" spans="2:7">
      <c r="B416" s="55"/>
      <c r="C416" s="33"/>
      <c r="D416" s="57"/>
      <c r="E416" s="58"/>
      <c r="F416" s="58"/>
      <c r="G416" s="33"/>
    </row>
    <row r="417" spans="2:7">
      <c r="B417" s="55"/>
      <c r="C417" s="33"/>
      <c r="D417" s="57"/>
      <c r="E417" s="58"/>
      <c r="F417" s="58"/>
      <c r="G417" s="33"/>
    </row>
    <row r="418" spans="2:7">
      <c r="B418" s="55"/>
      <c r="C418" s="33"/>
      <c r="D418" s="57"/>
      <c r="E418" s="58"/>
      <c r="F418" s="58"/>
      <c r="G418" s="33"/>
    </row>
    <row r="419" spans="2:7" ht="15.75" thickBot="1">
      <c r="B419" s="56"/>
      <c r="C419" s="34"/>
      <c r="D419" s="56"/>
      <c r="E419" s="59"/>
      <c r="F419" s="59"/>
      <c r="G419" s="34"/>
    </row>
    <row r="420" spans="2:7" ht="15.75" thickBot="1">
      <c r="B420" s="56">
        <f>SUM(B406:B419)</f>
        <v>0</v>
      </c>
      <c r="C420" s="34" t="s">
        <v>66</v>
      </c>
      <c r="D420" s="56">
        <f>SUM(D406:D419)</f>
        <v>0</v>
      </c>
      <c r="E420" s="56">
        <f>SUM(E406:E419)</f>
        <v>0</v>
      </c>
      <c r="F420" s="56">
        <f>SUM(F406:F419)</f>
        <v>0</v>
      </c>
      <c r="G420" s="34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89" t="str">
        <f>'2018'!A41</f>
        <v>Ahorros Colchón</v>
      </c>
      <c r="C422" s="307"/>
      <c r="D422" s="307"/>
      <c r="E422" s="307"/>
      <c r="F422" s="307"/>
      <c r="G422" s="308"/>
    </row>
    <row r="423" spans="2:7" ht="15" customHeight="1" thickBot="1">
      <c r="B423" s="309"/>
      <c r="C423" s="310"/>
      <c r="D423" s="310"/>
      <c r="E423" s="310"/>
      <c r="F423" s="310"/>
      <c r="G423" s="311"/>
    </row>
    <row r="424" spans="2:7">
      <c r="B424" s="297" t="s">
        <v>10</v>
      </c>
      <c r="C424" s="296"/>
      <c r="D424" s="295" t="s">
        <v>11</v>
      </c>
      <c r="E424" s="295"/>
      <c r="F424" s="295"/>
      <c r="G424" s="296"/>
    </row>
    <row r="425" spans="2:7">
      <c r="B425" s="52" t="s">
        <v>32</v>
      </c>
      <c r="C425" s="60" t="s">
        <v>33</v>
      </c>
      <c r="D425" s="52" t="s">
        <v>68</v>
      </c>
      <c r="E425" s="53" t="s">
        <v>69</v>
      </c>
      <c r="F425" s="53" t="s">
        <v>32</v>
      </c>
      <c r="G425" s="60" t="s">
        <v>33</v>
      </c>
    </row>
    <row r="426" spans="2:7">
      <c r="B426" s="54">
        <f>'2018'!AE17-4975.44</f>
        <v>-1589.8899999999999</v>
      </c>
      <c r="C426" s="36" t="s">
        <v>527</v>
      </c>
      <c r="D426" s="57"/>
      <c r="E426" s="58"/>
      <c r="F426" s="58"/>
      <c r="G426" s="33"/>
    </row>
    <row r="427" spans="2:7">
      <c r="B427" s="55"/>
      <c r="C427" s="33"/>
      <c r="D427" s="57"/>
      <c r="E427" s="58"/>
      <c r="F427" s="58"/>
      <c r="G427" s="33"/>
    </row>
    <row r="428" spans="2:7">
      <c r="B428" s="55"/>
      <c r="C428" s="33"/>
      <c r="D428" s="57"/>
      <c r="E428" s="58"/>
      <c r="F428" s="58"/>
      <c r="G428" s="33"/>
    </row>
    <row r="429" spans="2:7">
      <c r="B429" s="55"/>
      <c r="C429" s="33"/>
      <c r="D429" s="57"/>
      <c r="E429" s="58"/>
      <c r="F429" s="58"/>
      <c r="G429" s="33"/>
    </row>
    <row r="430" spans="2:7">
      <c r="B430" s="55"/>
      <c r="C430" s="33"/>
      <c r="D430" s="57"/>
      <c r="E430" s="58"/>
      <c r="F430" s="58"/>
      <c r="G430" s="33"/>
    </row>
    <row r="431" spans="2:7">
      <c r="B431" s="55"/>
      <c r="C431" s="33"/>
      <c r="D431" s="57"/>
      <c r="E431" s="58"/>
      <c r="F431" s="58"/>
      <c r="G431" s="33"/>
    </row>
    <row r="432" spans="2:7">
      <c r="B432" s="55"/>
      <c r="C432" s="33"/>
      <c r="D432" s="57"/>
      <c r="E432" s="58"/>
      <c r="F432" s="58"/>
      <c r="G432" s="33"/>
    </row>
    <row r="433" spans="2:7">
      <c r="B433" s="55"/>
      <c r="C433" s="33"/>
      <c r="D433" s="57"/>
      <c r="E433" s="58"/>
      <c r="F433" s="58"/>
      <c r="G433" s="33"/>
    </row>
    <row r="434" spans="2:7">
      <c r="B434" s="55"/>
      <c r="C434" s="33"/>
      <c r="D434" s="57"/>
      <c r="E434" s="58"/>
      <c r="F434" s="58"/>
      <c r="G434" s="33"/>
    </row>
    <row r="435" spans="2:7">
      <c r="B435" s="55"/>
      <c r="C435" s="33"/>
      <c r="D435" s="57"/>
      <c r="E435" s="58"/>
      <c r="F435" s="58"/>
      <c r="G435" s="33"/>
    </row>
    <row r="436" spans="2:7">
      <c r="B436" s="55"/>
      <c r="C436" s="33"/>
      <c r="D436" s="57"/>
      <c r="E436" s="58"/>
      <c r="F436" s="58"/>
      <c r="G436" s="33"/>
    </row>
    <row r="437" spans="2:7">
      <c r="B437" s="55"/>
      <c r="C437" s="33"/>
      <c r="D437" s="57"/>
      <c r="E437" s="58"/>
      <c r="F437" s="58"/>
      <c r="G437" s="33"/>
    </row>
    <row r="438" spans="2:7">
      <c r="B438" s="55"/>
      <c r="C438" s="33"/>
      <c r="D438" s="57"/>
      <c r="E438" s="58"/>
      <c r="F438" s="58"/>
      <c r="G438" s="33"/>
    </row>
    <row r="439" spans="2:7" ht="15.75" thickBot="1">
      <c r="B439" s="56"/>
      <c r="C439" s="34"/>
      <c r="D439" s="56"/>
      <c r="E439" s="59"/>
      <c r="F439" s="59"/>
      <c r="G439" s="34"/>
    </row>
    <row r="440" spans="2:7" ht="15.75" thickBot="1">
      <c r="B440" s="56">
        <f>SUM(B426:B439)</f>
        <v>-1589.8899999999999</v>
      </c>
      <c r="C440" s="34" t="s">
        <v>66</v>
      </c>
      <c r="D440" s="56">
        <f>SUM(D426:D439)</f>
        <v>0</v>
      </c>
      <c r="E440" s="56">
        <f>SUM(E426:E439)</f>
        <v>0</v>
      </c>
      <c r="F440" s="56">
        <f>SUM(F426:F439)</f>
        <v>0</v>
      </c>
      <c r="G440" s="34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89" t="str">
        <f>'2018'!A42</f>
        <v>Dinero Bloqueado</v>
      </c>
      <c r="C442" s="307"/>
      <c r="D442" s="307"/>
      <c r="E442" s="307"/>
      <c r="F442" s="307"/>
      <c r="G442" s="308"/>
    </row>
    <row r="443" spans="2:7" ht="15" customHeight="1" thickBot="1">
      <c r="B443" s="309"/>
      <c r="C443" s="310"/>
      <c r="D443" s="310"/>
      <c r="E443" s="310"/>
      <c r="F443" s="310"/>
      <c r="G443" s="311"/>
    </row>
    <row r="444" spans="2:7">
      <c r="B444" s="297" t="s">
        <v>10</v>
      </c>
      <c r="C444" s="296"/>
      <c r="D444" s="295" t="s">
        <v>11</v>
      </c>
      <c r="E444" s="295"/>
      <c r="F444" s="295"/>
      <c r="G444" s="296"/>
    </row>
    <row r="445" spans="2:7">
      <c r="B445" s="52" t="s">
        <v>32</v>
      </c>
      <c r="C445" s="60" t="s">
        <v>33</v>
      </c>
      <c r="D445" s="52" t="s">
        <v>68</v>
      </c>
      <c r="E445" s="53" t="s">
        <v>69</v>
      </c>
      <c r="F445" s="53" t="s">
        <v>32</v>
      </c>
      <c r="G445" s="60" t="s">
        <v>33</v>
      </c>
    </row>
    <row r="446" spans="2:7">
      <c r="B446" s="54"/>
      <c r="C446" s="36"/>
      <c r="D446" s="57"/>
      <c r="E446" s="58"/>
      <c r="F446" s="58"/>
      <c r="G446" s="33"/>
    </row>
    <row r="447" spans="2:7">
      <c r="B447" s="55"/>
      <c r="C447" s="33"/>
      <c r="D447" s="57"/>
      <c r="E447" s="58"/>
      <c r="F447" s="58"/>
      <c r="G447" s="33"/>
    </row>
    <row r="448" spans="2:7">
      <c r="B448" s="55"/>
      <c r="C448" s="33"/>
      <c r="D448" s="57"/>
      <c r="E448" s="58"/>
      <c r="F448" s="58"/>
      <c r="G448" s="33"/>
    </row>
    <row r="449" spans="2:7">
      <c r="B449" s="55"/>
      <c r="C449" s="33"/>
      <c r="D449" s="57"/>
      <c r="E449" s="58"/>
      <c r="F449" s="58"/>
      <c r="G449" s="33"/>
    </row>
    <row r="450" spans="2:7">
      <c r="B450" s="55"/>
      <c r="C450" s="33"/>
      <c r="D450" s="57"/>
      <c r="E450" s="58"/>
      <c r="F450" s="58"/>
      <c r="G450" s="33"/>
    </row>
    <row r="451" spans="2:7">
      <c r="B451" s="55"/>
      <c r="C451" s="33"/>
      <c r="D451" s="57"/>
      <c r="E451" s="58"/>
      <c r="F451" s="58"/>
      <c r="G451" s="33"/>
    </row>
    <row r="452" spans="2:7">
      <c r="B452" s="55"/>
      <c r="C452" s="33"/>
      <c r="D452" s="57"/>
      <c r="E452" s="58"/>
      <c r="F452" s="58"/>
      <c r="G452" s="33"/>
    </row>
    <row r="453" spans="2:7">
      <c r="B453" s="55"/>
      <c r="C453" s="33"/>
      <c r="D453" s="57"/>
      <c r="E453" s="58"/>
      <c r="F453" s="58"/>
      <c r="G453" s="33"/>
    </row>
    <row r="454" spans="2:7">
      <c r="B454" s="55"/>
      <c r="C454" s="33"/>
      <c r="D454" s="57"/>
      <c r="E454" s="58"/>
      <c r="F454" s="58"/>
      <c r="G454" s="33"/>
    </row>
    <row r="455" spans="2:7">
      <c r="B455" s="55"/>
      <c r="C455" s="33"/>
      <c r="D455" s="57"/>
      <c r="E455" s="58"/>
      <c r="F455" s="58"/>
      <c r="G455" s="33"/>
    </row>
    <row r="456" spans="2:7">
      <c r="B456" s="55"/>
      <c r="C456" s="33"/>
      <c r="D456" s="57"/>
      <c r="E456" s="58"/>
      <c r="F456" s="58"/>
      <c r="G456" s="33"/>
    </row>
    <row r="457" spans="2:7">
      <c r="B457" s="55"/>
      <c r="C457" s="33"/>
      <c r="D457" s="57"/>
      <c r="E457" s="58"/>
      <c r="F457" s="58"/>
      <c r="G457" s="33"/>
    </row>
    <row r="458" spans="2:7">
      <c r="B458" s="55"/>
      <c r="C458" s="33"/>
      <c r="D458" s="57"/>
      <c r="E458" s="58"/>
      <c r="F458" s="58"/>
      <c r="G458" s="33"/>
    </row>
    <row r="459" spans="2:7" ht="15.75" thickBot="1">
      <c r="B459" s="56"/>
      <c r="C459" s="34"/>
      <c r="D459" s="56"/>
      <c r="E459" s="59"/>
      <c r="F459" s="59"/>
      <c r="G459" s="34"/>
    </row>
    <row r="460" spans="2:7" ht="15.75" thickBot="1">
      <c r="B460" s="56">
        <f>SUM(B446:B459)</f>
        <v>0</v>
      </c>
      <c r="C460" s="34" t="s">
        <v>66</v>
      </c>
      <c r="D460" s="56">
        <f>SUM(D446:D459)</f>
        <v>0</v>
      </c>
      <c r="E460" s="56">
        <f>SUM(E446:E459)</f>
        <v>0</v>
      </c>
      <c r="F460" s="56">
        <f>SUM(F446:F459)</f>
        <v>0</v>
      </c>
      <c r="G460" s="34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89" t="str">
        <f>'2018'!A43</f>
        <v>Cartama Finanazas</v>
      </c>
      <c r="C462" s="307"/>
      <c r="D462" s="307"/>
      <c r="E462" s="307"/>
      <c r="F462" s="307"/>
      <c r="G462" s="308"/>
    </row>
    <row r="463" spans="2:7" ht="15" customHeight="1" thickBot="1">
      <c r="B463" s="309"/>
      <c r="C463" s="310"/>
      <c r="D463" s="310"/>
      <c r="E463" s="310"/>
      <c r="F463" s="310"/>
      <c r="G463" s="311"/>
    </row>
    <row r="464" spans="2:7">
      <c r="B464" s="297" t="s">
        <v>10</v>
      </c>
      <c r="C464" s="296"/>
      <c r="D464" s="295" t="s">
        <v>11</v>
      </c>
      <c r="E464" s="295"/>
      <c r="F464" s="295"/>
      <c r="G464" s="296"/>
    </row>
    <row r="465" spans="2:7">
      <c r="B465" s="52" t="s">
        <v>32</v>
      </c>
      <c r="C465" s="60" t="s">
        <v>33</v>
      </c>
      <c r="D465" s="52" t="s">
        <v>68</v>
      </c>
      <c r="E465" s="53" t="s">
        <v>69</v>
      </c>
      <c r="F465" s="53" t="s">
        <v>32</v>
      </c>
      <c r="G465" s="60" t="s">
        <v>33</v>
      </c>
    </row>
    <row r="466" spans="2:7">
      <c r="B466" s="55">
        <v>30</v>
      </c>
      <c r="C466" s="33" t="s">
        <v>484</v>
      </c>
      <c r="D466" s="57"/>
      <c r="E466" s="58"/>
      <c r="F466" s="58"/>
      <c r="G466" s="33"/>
    </row>
    <row r="467" spans="2:7">
      <c r="B467" s="55">
        <v>285</v>
      </c>
      <c r="C467" s="33" t="s">
        <v>467</v>
      </c>
      <c r="D467" s="57"/>
      <c r="E467" s="58"/>
      <c r="F467" s="58"/>
      <c r="G467" s="33"/>
    </row>
    <row r="468" spans="2:7">
      <c r="B468" s="55"/>
      <c r="C468" s="33"/>
      <c r="D468" s="57"/>
      <c r="E468" s="58"/>
      <c r="F468" s="58"/>
      <c r="G468" s="33"/>
    </row>
    <row r="469" spans="2:7">
      <c r="B469" s="55"/>
      <c r="C469" s="33"/>
      <c r="D469" s="57"/>
      <c r="E469" s="58"/>
      <c r="F469" s="58"/>
      <c r="G469" s="33"/>
    </row>
    <row r="470" spans="2:7">
      <c r="B470" s="55"/>
      <c r="C470" s="33"/>
      <c r="D470" s="57"/>
      <c r="E470" s="58"/>
      <c r="F470" s="58"/>
      <c r="G470" s="33"/>
    </row>
    <row r="471" spans="2:7">
      <c r="B471" s="55"/>
      <c r="C471" s="33"/>
      <c r="D471" s="57"/>
      <c r="E471" s="58"/>
      <c r="F471" s="58"/>
      <c r="G471" s="33"/>
    </row>
    <row r="472" spans="2:7">
      <c r="B472" s="55"/>
      <c r="C472" s="33"/>
      <c r="D472" s="57"/>
      <c r="E472" s="58"/>
      <c r="F472" s="58"/>
      <c r="G472" s="33"/>
    </row>
    <row r="473" spans="2:7">
      <c r="B473" s="55"/>
      <c r="C473" s="33"/>
      <c r="D473" s="57"/>
      <c r="E473" s="58"/>
      <c r="F473" s="58"/>
      <c r="G473" s="33"/>
    </row>
    <row r="474" spans="2:7">
      <c r="B474" s="55"/>
      <c r="C474" s="33"/>
      <c r="D474" s="57"/>
      <c r="E474" s="58"/>
      <c r="F474" s="58"/>
      <c r="G474" s="33"/>
    </row>
    <row r="475" spans="2:7">
      <c r="B475" s="55"/>
      <c r="C475" s="33"/>
      <c r="D475" s="57"/>
      <c r="E475" s="58"/>
      <c r="F475" s="58"/>
      <c r="G475" s="33"/>
    </row>
    <row r="476" spans="2:7">
      <c r="B476" s="55"/>
      <c r="C476" s="33"/>
      <c r="D476" s="57"/>
      <c r="E476" s="58"/>
      <c r="F476" s="58"/>
      <c r="G476" s="33"/>
    </row>
    <row r="477" spans="2:7">
      <c r="B477" s="55"/>
      <c r="C477" s="33"/>
      <c r="D477" s="57"/>
      <c r="E477" s="58"/>
      <c r="F477" s="58"/>
      <c r="G477" s="33"/>
    </row>
    <row r="478" spans="2:7">
      <c r="B478" s="55"/>
      <c r="C478" s="33"/>
      <c r="D478" s="57"/>
      <c r="E478" s="58"/>
      <c r="F478" s="58"/>
      <c r="G478" s="33"/>
    </row>
    <row r="479" spans="2:7" ht="15.75" thickBot="1">
      <c r="B479" s="56"/>
      <c r="C479" s="34"/>
      <c r="D479" s="56"/>
      <c r="E479" s="59"/>
      <c r="F479" s="59"/>
      <c r="G479" s="34"/>
    </row>
    <row r="480" spans="2:7" ht="15.75" thickBot="1">
      <c r="B480" s="56">
        <f>SUM(B466:B479)</f>
        <v>315</v>
      </c>
      <c r="C480" s="34" t="s">
        <v>66</v>
      </c>
      <c r="D480" s="56">
        <f>SUM(D466:D479)</f>
        <v>0</v>
      </c>
      <c r="E480" s="56">
        <f>SUM(E466:E479)</f>
        <v>0</v>
      </c>
      <c r="F480" s="56">
        <f>SUM(F466:F479)</f>
        <v>0</v>
      </c>
      <c r="G480" s="34" t="s">
        <v>66</v>
      </c>
    </row>
    <row r="481" spans="2:7" ht="15.75" thickBot="1"/>
    <row r="482" spans="2:7" ht="14.45" customHeight="1">
      <c r="B482" s="289" t="str">
        <f>'2018'!A44</f>
        <v>NULO</v>
      </c>
      <c r="C482" s="307"/>
      <c r="D482" s="307"/>
      <c r="E482" s="307"/>
      <c r="F482" s="307"/>
      <c r="G482" s="308"/>
    </row>
    <row r="483" spans="2:7" ht="15" customHeight="1" thickBot="1">
      <c r="B483" s="309"/>
      <c r="C483" s="310"/>
      <c r="D483" s="310"/>
      <c r="E483" s="310"/>
      <c r="F483" s="310"/>
      <c r="G483" s="311"/>
    </row>
    <row r="484" spans="2:7">
      <c r="B484" s="297" t="s">
        <v>10</v>
      </c>
      <c r="C484" s="296"/>
      <c r="D484" s="295" t="s">
        <v>11</v>
      </c>
      <c r="E484" s="295"/>
      <c r="F484" s="295"/>
      <c r="G484" s="296"/>
    </row>
    <row r="485" spans="2:7">
      <c r="B485" s="52" t="s">
        <v>32</v>
      </c>
      <c r="C485" s="60" t="s">
        <v>33</v>
      </c>
      <c r="D485" s="52" t="s">
        <v>68</v>
      </c>
      <c r="E485" s="53" t="s">
        <v>69</v>
      </c>
      <c r="F485" s="53" t="s">
        <v>32</v>
      </c>
      <c r="G485" s="60" t="s">
        <v>33</v>
      </c>
    </row>
    <row r="486" spans="2:7">
      <c r="B486" s="54"/>
      <c r="C486" s="36"/>
      <c r="D486" s="57"/>
      <c r="E486" s="58"/>
      <c r="F486" s="58"/>
      <c r="G486" s="33"/>
    </row>
    <row r="487" spans="2:7">
      <c r="B487" s="55"/>
      <c r="C487" s="33"/>
      <c r="D487" s="57"/>
      <c r="E487" s="58"/>
      <c r="F487" s="58"/>
      <c r="G487" s="33"/>
    </row>
    <row r="488" spans="2:7">
      <c r="B488" s="55"/>
      <c r="C488" s="33"/>
      <c r="D488" s="57"/>
      <c r="E488" s="58"/>
      <c r="F488" s="58"/>
      <c r="G488" s="33"/>
    </row>
    <row r="489" spans="2:7">
      <c r="B489" s="55"/>
      <c r="C489" s="33"/>
      <c r="D489" s="57"/>
      <c r="E489" s="58"/>
      <c r="F489" s="58"/>
      <c r="G489" s="33"/>
    </row>
    <row r="490" spans="2:7">
      <c r="B490" s="55"/>
      <c r="C490" s="33"/>
      <c r="D490" s="57"/>
      <c r="E490" s="58"/>
      <c r="F490" s="58"/>
      <c r="G490" s="33"/>
    </row>
    <row r="491" spans="2:7">
      <c r="B491" s="55"/>
      <c r="C491" s="33"/>
      <c r="D491" s="57"/>
      <c r="E491" s="58"/>
      <c r="F491" s="58"/>
      <c r="G491" s="33"/>
    </row>
    <row r="492" spans="2:7">
      <c r="B492" s="55"/>
      <c r="C492" s="33"/>
      <c r="D492" s="57"/>
      <c r="E492" s="58"/>
      <c r="F492" s="58"/>
      <c r="G492" s="33"/>
    </row>
    <row r="493" spans="2:7">
      <c r="B493" s="55"/>
      <c r="C493" s="33"/>
      <c r="D493" s="57"/>
      <c r="E493" s="58"/>
      <c r="F493" s="58"/>
      <c r="G493" s="33"/>
    </row>
    <row r="494" spans="2:7">
      <c r="B494" s="55"/>
      <c r="C494" s="33"/>
      <c r="D494" s="57"/>
      <c r="E494" s="58"/>
      <c r="F494" s="58"/>
      <c r="G494" s="33"/>
    </row>
    <row r="495" spans="2:7">
      <c r="B495" s="55"/>
      <c r="C495" s="33"/>
      <c r="D495" s="57"/>
      <c r="E495" s="58"/>
      <c r="F495" s="58"/>
      <c r="G495" s="33"/>
    </row>
    <row r="496" spans="2:7">
      <c r="B496" s="55"/>
      <c r="C496" s="33"/>
      <c r="D496" s="57"/>
      <c r="E496" s="58"/>
      <c r="F496" s="58"/>
      <c r="G496" s="33"/>
    </row>
    <row r="497" spans="2:7">
      <c r="B497" s="55"/>
      <c r="C497" s="33"/>
      <c r="D497" s="57"/>
      <c r="E497" s="58"/>
      <c r="F497" s="58"/>
      <c r="G497" s="33"/>
    </row>
    <row r="498" spans="2:7">
      <c r="B498" s="55"/>
      <c r="C498" s="33"/>
      <c r="D498" s="57"/>
      <c r="E498" s="58"/>
      <c r="F498" s="58"/>
      <c r="G498" s="33"/>
    </row>
    <row r="499" spans="2:7" ht="15.75" thickBot="1">
      <c r="B499" s="56"/>
      <c r="C499" s="34"/>
      <c r="D499" s="56"/>
      <c r="E499" s="59"/>
      <c r="F499" s="59"/>
      <c r="G499" s="34"/>
    </row>
    <row r="500" spans="2:7" ht="15.75" thickBot="1">
      <c r="B500" s="56">
        <f>SUM(B486:B499)</f>
        <v>0</v>
      </c>
      <c r="C500" s="34" t="s">
        <v>66</v>
      </c>
      <c r="D500" s="56">
        <f>SUM(D486:D499)</f>
        <v>0</v>
      </c>
      <c r="E500" s="56">
        <f>SUM(E486:E499)</f>
        <v>0</v>
      </c>
      <c r="F500" s="56">
        <f>SUM(F486:F499)</f>
        <v>0</v>
      </c>
      <c r="G500" s="34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89" t="str">
        <f>'2018'!A45</f>
        <v>OTROS</v>
      </c>
      <c r="C502" s="307"/>
      <c r="D502" s="307"/>
      <c r="E502" s="307"/>
      <c r="F502" s="307"/>
      <c r="G502" s="308"/>
    </row>
    <row r="503" spans="2:7" ht="15" customHeight="1" thickBot="1">
      <c r="B503" s="309"/>
      <c r="C503" s="310"/>
      <c r="D503" s="310"/>
      <c r="E503" s="310"/>
      <c r="F503" s="310"/>
      <c r="G503" s="311"/>
    </row>
    <row r="504" spans="2:7">
      <c r="B504" s="297" t="s">
        <v>10</v>
      </c>
      <c r="C504" s="296"/>
      <c r="D504" s="295" t="s">
        <v>11</v>
      </c>
      <c r="E504" s="295"/>
      <c r="F504" s="295"/>
      <c r="G504" s="296"/>
    </row>
    <row r="505" spans="2:7">
      <c r="B505" s="52" t="s">
        <v>32</v>
      </c>
      <c r="C505" s="60" t="s">
        <v>33</v>
      </c>
      <c r="D505" s="52" t="s">
        <v>68</v>
      </c>
      <c r="E505" s="53" t="s">
        <v>69</v>
      </c>
      <c r="F505" s="53" t="s">
        <v>32</v>
      </c>
      <c r="G505" s="60" t="s">
        <v>33</v>
      </c>
    </row>
    <row r="506" spans="2:7">
      <c r="B506" s="54">
        <v>10</v>
      </c>
      <c r="C506" s="36"/>
      <c r="D506" s="57"/>
      <c r="E506" s="58"/>
      <c r="F506" s="58"/>
      <c r="G506" s="33"/>
    </row>
    <row r="507" spans="2:7">
      <c r="B507" s="55"/>
      <c r="C507" s="33"/>
      <c r="D507" s="57"/>
      <c r="E507" s="58"/>
      <c r="F507" s="58"/>
      <c r="G507" s="33"/>
    </row>
    <row r="508" spans="2:7">
      <c r="B508" s="55"/>
      <c r="C508" s="33"/>
      <c r="D508" s="57"/>
      <c r="E508" s="58"/>
      <c r="F508" s="58"/>
      <c r="G508" s="33"/>
    </row>
    <row r="509" spans="2:7">
      <c r="B509" s="55"/>
      <c r="C509" s="33"/>
      <c r="D509" s="57"/>
      <c r="E509" s="58"/>
      <c r="F509" s="58"/>
      <c r="G509" s="33"/>
    </row>
    <row r="510" spans="2:7">
      <c r="B510" s="55"/>
      <c r="C510" s="33"/>
      <c r="D510" s="57"/>
      <c r="E510" s="58"/>
      <c r="F510" s="58"/>
      <c r="G510" s="33"/>
    </row>
    <row r="511" spans="2:7">
      <c r="B511" s="55"/>
      <c r="C511" s="33"/>
      <c r="D511" s="57"/>
      <c r="E511" s="58"/>
      <c r="F511" s="58"/>
      <c r="G511" s="33"/>
    </row>
    <row r="512" spans="2:7">
      <c r="B512" s="55"/>
      <c r="C512" s="33"/>
      <c r="D512" s="57"/>
      <c r="E512" s="58"/>
      <c r="F512" s="58"/>
      <c r="G512" s="33"/>
    </row>
    <row r="513" spans="2:7">
      <c r="B513" s="55"/>
      <c r="C513" s="33"/>
      <c r="D513" s="57"/>
      <c r="E513" s="58"/>
      <c r="F513" s="58"/>
      <c r="G513" s="33"/>
    </row>
    <row r="514" spans="2:7">
      <c r="B514" s="55"/>
      <c r="C514" s="33"/>
      <c r="D514" s="57"/>
      <c r="E514" s="58"/>
      <c r="F514" s="58"/>
      <c r="G514" s="33"/>
    </row>
    <row r="515" spans="2:7">
      <c r="B515" s="55"/>
      <c r="C515" s="33"/>
      <c r="D515" s="57"/>
      <c r="E515" s="58"/>
      <c r="F515" s="58"/>
      <c r="G515" s="33"/>
    </row>
    <row r="516" spans="2:7">
      <c r="B516" s="55"/>
      <c r="C516" s="33"/>
      <c r="D516" s="57"/>
      <c r="E516" s="58"/>
      <c r="F516" s="58"/>
      <c r="G516" s="33"/>
    </row>
    <row r="517" spans="2:7">
      <c r="B517" s="55"/>
      <c r="C517" s="33"/>
      <c r="D517" s="57"/>
      <c r="E517" s="58"/>
      <c r="F517" s="58"/>
      <c r="G517" s="33"/>
    </row>
    <row r="518" spans="2:7">
      <c r="B518" s="55"/>
      <c r="C518" s="33"/>
      <c r="D518" s="57"/>
      <c r="E518" s="58"/>
      <c r="F518" s="58"/>
      <c r="G518" s="33"/>
    </row>
    <row r="519" spans="2:7" ht="15.75" thickBot="1">
      <c r="B519" s="56"/>
      <c r="C519" s="34"/>
      <c r="D519" s="56"/>
      <c r="E519" s="59"/>
      <c r="F519" s="59"/>
      <c r="G519" s="34"/>
    </row>
    <row r="520" spans="2:7" ht="15.75" thickBot="1">
      <c r="B520" s="56">
        <f>SUM(B506:B519)</f>
        <v>10</v>
      </c>
      <c r="C520" s="34" t="s">
        <v>66</v>
      </c>
      <c r="D520" s="56">
        <f>SUM(D506:D519)</f>
        <v>0</v>
      </c>
      <c r="E520" s="56">
        <f>SUM(E506:E519)</f>
        <v>0</v>
      </c>
      <c r="F520" s="56">
        <f>SUM(F506:F519)</f>
        <v>0</v>
      </c>
      <c r="G520" s="34" t="s">
        <v>66</v>
      </c>
    </row>
  </sheetData>
  <mergeCells count="111"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800-000000000000}"/>
    <hyperlink ref="I22" location="Trimestre!C39:F40" display="TELÉFONO" xr:uid="{00000000-0004-0000-0800-000001000000}"/>
    <hyperlink ref="I22:L23" location="'2018'!AE7:AH7" display="INGRESOS" xr:uid="{00000000-0004-0000-0800-000002000000}"/>
    <hyperlink ref="B2" location="Trimestre!C25:F26" display="HIPOTECA" xr:uid="{00000000-0004-0000-0800-000003000000}"/>
    <hyperlink ref="B2:G3" location="'2018'!AE20:AH20" display="'2018'!AE20:AH20" xr:uid="{00000000-0004-0000-0800-000004000000}"/>
    <hyperlink ref="B22" location="Trimestre!C25:F26" display="HIPOTECA" xr:uid="{00000000-0004-0000-0800-000005000000}"/>
    <hyperlink ref="B22:G23" location="'2018'!AE21:AH21" display="'2018'!AE21:AH21" xr:uid="{00000000-0004-0000-0800-000006000000}"/>
    <hyperlink ref="B42" location="Trimestre!C25:F26" display="HIPOTECA" xr:uid="{00000000-0004-0000-0800-000007000000}"/>
    <hyperlink ref="B42:G43" location="'2018'!AE22:AH22" display="'2018'!AE22:AH22" xr:uid="{00000000-0004-0000-0800-000008000000}"/>
    <hyperlink ref="B62" location="Trimestre!C25:F26" display="HIPOTECA" xr:uid="{00000000-0004-0000-0800-000009000000}"/>
    <hyperlink ref="B62:G63" location="'2018'!AE23:AH23" display="'2018'!AE23:AH23" xr:uid="{00000000-0004-0000-0800-00000A000000}"/>
    <hyperlink ref="B82" location="Trimestre!C25:F26" display="HIPOTECA" xr:uid="{00000000-0004-0000-0800-00000B000000}"/>
    <hyperlink ref="B82:G83" location="'2018'!AE24:AH24" display="'2018'!AE24:AH24" xr:uid="{00000000-0004-0000-0800-00000C000000}"/>
    <hyperlink ref="B102" location="Trimestre!C25:F26" display="HIPOTECA" xr:uid="{00000000-0004-0000-0800-00000D000000}"/>
    <hyperlink ref="B102:G103" location="'2018'!AE25:AH25" display="'2018'!AE25:AH25" xr:uid="{00000000-0004-0000-0800-00000E000000}"/>
    <hyperlink ref="B122" location="Trimestre!C25:F26" display="HIPOTECA" xr:uid="{00000000-0004-0000-0800-00000F000000}"/>
    <hyperlink ref="B122:G123" location="'2018'!AE26:AH26" display="'2018'!AE26:AH26" xr:uid="{00000000-0004-0000-0800-000010000000}"/>
    <hyperlink ref="B142" location="Trimestre!C25:F26" display="HIPOTECA" xr:uid="{00000000-0004-0000-0800-000011000000}"/>
    <hyperlink ref="B142:G143" location="'2018'!AE27:AH27" display="'2018'!AE27:AH27" xr:uid="{00000000-0004-0000-0800-000012000000}"/>
    <hyperlink ref="B162" location="Trimestre!C25:F26" display="HIPOTECA" xr:uid="{00000000-0004-0000-0800-000013000000}"/>
    <hyperlink ref="B162:G163" location="'2018'!AE28:AH28" display="'2018'!AE28:AH28" xr:uid="{00000000-0004-0000-0800-000014000000}"/>
    <hyperlink ref="B182" location="Trimestre!C25:F26" display="HIPOTECA" xr:uid="{00000000-0004-0000-0800-000015000000}"/>
    <hyperlink ref="B182:G183" location="'2018'!AE29:AH29" display="'2018'!AE29:AH29" xr:uid="{00000000-0004-0000-0800-000016000000}"/>
    <hyperlink ref="B202" location="Trimestre!C25:F26" display="HIPOTECA" xr:uid="{00000000-0004-0000-0800-000017000000}"/>
    <hyperlink ref="B202:G203" location="'2018'!AE30:AH30" display="'2018'!AE30:AH30" xr:uid="{00000000-0004-0000-0800-000018000000}"/>
    <hyperlink ref="B222" location="Trimestre!C25:F26" display="HIPOTECA" xr:uid="{00000000-0004-0000-0800-000019000000}"/>
    <hyperlink ref="B222:G223" location="'2018'!AE31:AH31" display="'2018'!AE31:AH31" xr:uid="{00000000-0004-0000-0800-00001A000000}"/>
    <hyperlink ref="B242" location="Trimestre!C25:F26" display="HIPOTECA" xr:uid="{00000000-0004-0000-0800-00001B000000}"/>
    <hyperlink ref="B242:G243" location="'2018'!AE32:AH32" display="'2018'!AE32:AH32" xr:uid="{00000000-0004-0000-0800-00001C000000}"/>
    <hyperlink ref="B262" location="Trimestre!C25:F26" display="HIPOTECA" xr:uid="{00000000-0004-0000-0800-00001D000000}"/>
    <hyperlink ref="B262:G263" location="'2018'!AE33:AH33" display="'2018'!AE33:AH33" xr:uid="{00000000-0004-0000-0800-00001E000000}"/>
    <hyperlink ref="B282" location="Trimestre!C25:F26" display="HIPOTECA" xr:uid="{00000000-0004-0000-0800-00001F000000}"/>
    <hyperlink ref="B282:G283" location="'2018'!AE34:AH34" display="'2018'!AE34:AH34" xr:uid="{00000000-0004-0000-0800-000020000000}"/>
    <hyperlink ref="B302" location="Trimestre!C25:F26" display="HIPOTECA" xr:uid="{00000000-0004-0000-0800-000021000000}"/>
    <hyperlink ref="B302:G303" location="'2018'!AE35:AH35" display="'2018'!AE35:AH35" xr:uid="{00000000-0004-0000-0800-000022000000}"/>
    <hyperlink ref="B322" location="Trimestre!C25:F26" display="HIPOTECA" xr:uid="{00000000-0004-0000-0800-000023000000}"/>
    <hyperlink ref="B322:G323" location="'2018'!AE36:AH36" display="'2018'!AE36:AH36" xr:uid="{00000000-0004-0000-0800-000024000000}"/>
    <hyperlink ref="B342" location="Trimestre!C25:F26" display="HIPOTECA" xr:uid="{00000000-0004-0000-0800-000025000000}"/>
    <hyperlink ref="B342:G343" location="'2018'!AE37:AH37" display="'2018'!AE37:AH37" xr:uid="{00000000-0004-0000-0800-000026000000}"/>
    <hyperlink ref="B362" location="Trimestre!C25:F26" display="HIPOTECA" xr:uid="{00000000-0004-0000-0800-000027000000}"/>
    <hyperlink ref="B362:G363" location="'2018'!AE38:AH38" display="'2018'!AE38:AH38" xr:uid="{00000000-0004-0000-0800-000028000000}"/>
    <hyperlink ref="B382" location="Trimestre!C25:F26" display="HIPOTECA" xr:uid="{00000000-0004-0000-0800-000029000000}"/>
    <hyperlink ref="B382:G383" location="'2018'!AE39:AH39" display="'2018'!AE39:AH39" xr:uid="{00000000-0004-0000-0800-00002A000000}"/>
    <hyperlink ref="B402" location="Trimestre!C25:F26" display="HIPOTECA" xr:uid="{00000000-0004-0000-0800-00002B000000}"/>
    <hyperlink ref="B402:G403" location="'2018'!AE40:AH40" display="'2018'!AE40:AH40" xr:uid="{00000000-0004-0000-0800-00002C000000}"/>
    <hyperlink ref="B422" location="Trimestre!C25:F26" display="HIPOTECA" xr:uid="{00000000-0004-0000-0800-00002D000000}"/>
    <hyperlink ref="B422:G423" location="'2018'!AE41:AH41" display="'2018'!AE41:AH41" xr:uid="{00000000-0004-0000-0800-00002E000000}"/>
    <hyperlink ref="B442" location="Trimestre!C25:F26" display="HIPOTECA" xr:uid="{00000000-0004-0000-0800-00002F000000}"/>
    <hyperlink ref="B442:G443" location="'2018'!AE42:AH42" display="'2018'!AE42:AH42" xr:uid="{00000000-0004-0000-0800-000030000000}"/>
    <hyperlink ref="B462" location="Trimestre!C25:F26" display="HIPOTECA" xr:uid="{00000000-0004-0000-0800-000031000000}"/>
    <hyperlink ref="B462:G463" location="'2018'!AE43:AH43" display="'2018'!AE43:AH43" xr:uid="{00000000-0004-0000-0800-000032000000}"/>
    <hyperlink ref="B482" location="Trimestre!C25:F26" display="HIPOTECA" xr:uid="{00000000-0004-0000-0800-000033000000}"/>
    <hyperlink ref="B482:G483" location="'2018'!AE44:AH44" display="'2018'!AE44:AH44" xr:uid="{00000000-0004-0000-0800-000034000000}"/>
    <hyperlink ref="B502" location="Trimestre!C25:F26" display="HIPOTECA" xr:uid="{00000000-0004-0000-0800-000035000000}"/>
    <hyperlink ref="B502:G503" location="'2018'!AE45:AH45" display="'2018'!AE45:AH45" xr:uid="{00000000-0004-0000-0800-000036000000}"/>
    <hyperlink ref="I2:L3" location="'2018'!AE4:AH4" display="SALDO REAL" xr:uid="{00000000-0004-0000-0800-000037000000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2018</vt:lpstr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Hipoteca</vt:lpstr>
      <vt:lpstr>Coche</vt:lpstr>
      <vt:lpstr>Historico</vt:lpstr>
      <vt:lpstr>NOTAS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2018-12-14T13:15:23Z</dcterms:modified>
</cp:coreProperties>
</file>