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7CC37BFD-C75A-412F-A8A1-CC80266A2D0E}" xr6:coauthVersionLast="41" xr6:coauthVersionMax="41" xr10:uidLastSave="{00000000-0000-0000-0000-000000000000}"/>
  <bookViews>
    <workbookView xWindow="-108" yWindow="12852" windowWidth="22224" windowHeight="13176" firstSheet="4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9" l="1"/>
  <c r="B6" i="19"/>
  <c r="A109" i="9"/>
  <c r="A108" i="9"/>
  <c r="A467" i="9"/>
  <c r="D246" i="9" l="1"/>
  <c r="H48" i="9" l="1"/>
  <c r="F366" i="9" l="1"/>
  <c r="P32" i="18"/>
  <c r="H27" i="15"/>
  <c r="D366" i="8"/>
  <c r="A359" i="10"/>
  <c r="A358" i="10"/>
  <c r="A346" i="10"/>
  <c r="H257" i="10"/>
  <c r="A257" i="10"/>
  <c r="A256" i="10"/>
  <c r="A126" i="10"/>
  <c r="A79" i="10"/>
  <c r="A66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8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<sst xmlns="http://schemas.openxmlformats.org/spreadsheetml/2006/main" count="5554" uniqueCount="750">
  <si>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</si>
  <si>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</si>
  <si>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</si>
  <si>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</si>
  <si>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</si>
  <si>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</si>
  <si>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</si>
  <si>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</si>
  <si>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</si>
  <si>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</si>
  <si>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</si>
  <si>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</si>
  <si>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</si>
  <si>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</si>
  <si>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</si>
  <si>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</si>
  <si>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</si>
  <si>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</si>
  <si>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</si>
  <si>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</si>
  <si>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</si>
  <si>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</si>
  <si>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</si>
  <si>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</si>
  <si>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</si>
  <si>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</si>
  <si>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</si>
  <si>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</si>
  <si>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</si>
  <si>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</si>
  <si>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</si>
  <si>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</si>
  <si>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</si>
  <si>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</si>
  <si>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</si>
  <si>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</si>
  <si>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</si>
  <si>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</si>
  <si>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</si>
  <si>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</si>
  <si>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</si>
  <si>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</si>
  <si>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</si>
  <si>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</si>
  <si>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</si>
  <si>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</si>
  <si>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</si>
  <si>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</si>
  <si>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</si>
  <si>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</si>
  <si>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</si>
  <si>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</si>
  <si>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</si>
  <si>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</si>
  <si>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</si>
  <si>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</si>
  <si>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</si>
  <si>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</si>
  <si>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</si>
  <si>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</si>
  <si>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</si>
  <si>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</si>
  <si>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</si>
  <si>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</si>
  <si>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</si>
  <si>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</si>
  <si>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</si>
  <si>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</si>
  <si>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</si>
  <si>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</si>
  <si>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</si>
  <si>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</si>
  <si>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</si>
  <si>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</si>
  <si>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</si>
  <si>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</si>
  <si>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</si>
  <si>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</si>
  <si>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</si>
  <si>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</si>
  <si>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</si>
  <si>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</si>
  <si>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</si>
  <si>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</si>
  <si>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</si>
  <si>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</si>
  <si>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</si>
  <si>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</si>
  <si>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</si>
  <si>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</si>
  <si>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</si>
  <si>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</si>
  <si>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</si>
  <si>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</si>
  <si>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</si>
  <si>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</si>
  <si>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</si>
  <si>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</si>
  <si>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</si>
  <si>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</si>
  <si>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</si>
  <si>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</si>
  <si>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</si>
  <si>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</si>
  <si>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</si>
  <si>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</si>
  <si>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</si>
  <si>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</si>
  <si>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</si>
  <si>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</si>
  <si>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</si>
  <si>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</si>
  <si>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</si>
  <si>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</si>
  <si>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</si>
  <si>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</si>
  <si>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</si>
  <si>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</si>
  <si>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</si>
  <si>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</si>
  <si>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</si>
  <si>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</si>
  <si>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</si>
  <si>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</si>
  <si>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</si>
  <si>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</si>
  <si>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</si>
  <si>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</si>
  <si>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</si>
  <si>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</si>
  <si>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</si>
  <si>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</si>
  <si>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</si>
  <si>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</si>
  <si>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</si>
  <si>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</si>
  <si>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</si>
  <si>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</si>
  <si>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</si>
  <si>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</si>
  <si>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</si>
  <si>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</si>
  <si>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</si>
  <si>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</si>
  <si>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</si>
  <si>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</si>
  <si>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</si>
  <si>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</si>
  <si>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</si>
  <si>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</si>
  <si>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</si>
  <si>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</si>
  <si>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</si>
  <si>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</si>
  <si>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</si>
  <si>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</si>
  <si>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</si>
  <si>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</si>
  <si>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</si>
  <si>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</si>
  <si>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</si>
  <si>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</si>
  <si>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</si>
  <si>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</si>
  <si>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</si>
  <si>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</si>
  <si>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</si>
  <si>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</si>
  <si>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</si>
  <si>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</si>
  <si>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</si>
  <si>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</si>
  <si>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</si>
  <si>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</si>
  <si>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</si>
  <si>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</si>
  <si>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</si>
  <si>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</si>
  <si>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</si>
  <si>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</si>
  <si>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</si>
  <si>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</si>
  <si>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</si>
  <si>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</si>
  <si>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</si>
  <si>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</si>
  <si>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</si>
  <si>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</si>
  <si>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</si>
  <si>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</si>
  <si>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</si>
  <si>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</si>
  <si>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</si>
  <si>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</si>
  <si>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</si>
  <si>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</si>
  <si>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</si>
  <si>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</si>
  <si>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</si>
  <si>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</si>
  <si>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</si>
  <si>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</si>
  <si>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</si>
  <si>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</si>
  <si>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</si>
  <si>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</si>
  <si>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</si>
  <si>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</si>
  <si>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</si>
  <si>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</si>
  <si>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</si>
  <si>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</si>
  <si>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</si>
  <si>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</si>
  <si>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</si>
  <si>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</si>
  <si>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</si>
  <si>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</si>
  <si>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</si>
  <si>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</si>
  <si>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</si>
  <si>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</si>
  <si>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</si>
  <si>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</si>
  <si>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</si>
  <si>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</si>
  <si>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</si>
  <si>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</si>
  <si>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</si>
  <si>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</si>
  <si>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</si>
  <si>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</si>
  <si>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</si>
  <si>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</si>
  <si>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</si>
  <si>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</si>
  <si>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</si>
  <si>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</si>
  <si>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</si>
  <si>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</si>
  <si>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</si>
  <si>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</si>
  <si>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</si>
  <si>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</si>
  <si>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</si>
  <si>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</si>
  <si>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</si>
  <si>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</si>
  <si>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</si>
  <si>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</si>
  <si>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</si>
  <si>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</si>
  <si>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</si>
  <si>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</si>
  <si>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</si>
  <si>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</si>
  <si>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</si>
  <si>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</si>
  <si>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</si>
  <si>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</si>
  <si>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</si>
  <si>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</si>
  <si>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</si>
  <si>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</si>
  <si>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</si>
  <si>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</si>
  <si>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</si>
  <si>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</si>
  <si>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</si>
  <si>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</si>
  <si>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</si>
  <si>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</si>
  <si>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</si>
  <si>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</si>
  <si>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</si>
  <si>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</si>
  <si>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</si>
  <si>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</si>
  <si>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</si>
  <si>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</si>
  <si>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</si>
  <si>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</si>
  <si>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</si>
  <si>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</si>
  <si>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</si>
  <si>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</si>
  <si>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</si>
  <si>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</si>
  <si>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</si>
  <si>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</si>
  <si>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</si>
  <si>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</si>
  <si>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</si>
  <si>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</si>
  <si>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</si>
  <si>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</si>
  <si>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</si>
  <si>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</si>
  <si>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</si>
  <si>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</si>
  <si>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</si>
  <si>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</si>
  <si>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</si>
  <si>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</si>
  <si>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</si>
  <si>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</si>
  <si>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</si>
  <si>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</si>
  <si>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</si>
  <si>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</si>
  <si>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</si>
  <si>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</si>
  <si>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</si>
  <si>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</si>
  <si>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</si>
  <si>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</si>
  <si>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</si>
  <si>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</si>
  <si>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</si>
  <si>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</si>
  <si>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</si>
  <si>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</si>
  <si>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</si>
  <si>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</si>
  <si>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</si>
  <si>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</si>
  <si>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</si>
  <si>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</si>
  <si>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</si>
  <si>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</si>
  <si>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</si>
  <si>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</si>
  <si>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</si>
  <si>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</si>
  <si>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</si>
  <si>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</si>
  <si>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</si>
  <si>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</si>
  <si>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</si>
  <si>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</si>
  <si>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</si>
  <si>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</si>
  <si>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</si>
  <si>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</si>
  <si>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</si>
  <si>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</si>
  <si>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</si>
  <si>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</si>
  <si>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</si>
  <si>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</si>
  <si>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</si>
  <si>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</si>
  <si>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</si>
  <si>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</si>
  <si>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</si>
  <si>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</si>
  <si>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</si>
  <si>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</si>
  <si>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</si>
  <si>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</si>
  <si>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</si>
  <si>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</si>
  <si>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</si>
  <si>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</si>
  <si>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</si>
  <si>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</si>
  <si>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</si>
  <si>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</si>
  <si>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</si>
  <si>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</si>
  <si>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</si>
  <si>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</si>
  <si>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</si>
  <si>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</si>
  <si>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</si>
  <si>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</si>
  <si>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</si>
  <si>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</si>
  <si>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</si>
  <si>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</si>
  <si>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</si>
  <si>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</si>
  <si>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</si>
  <si>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</si>
  <si>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</si>
  <si>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</si>
  <si>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</si>
  <si>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</si>
  <si>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</si>
  <si>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</si>
  <si>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</si>
  <si>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</si>
  <si>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</si>
  <si>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</si>
  <si>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</si>
  <si>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</si>
  <si>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</si>
  <si>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</si>
  <si>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</si>
  <si>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</si>
  <si>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</si>
  <si>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</si>
  <si>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</si>
  <si>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</si>
  <si>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</si>
  <si>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</si>
  <si>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</si>
  <si>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</si>
  <si>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</si>
  <si>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</si>
  <si>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</si>
  <si>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</si>
  <si>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</si>
  <si>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</si>
  <si>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</si>
  <si>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</si>
  <si>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</si>
  <si>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</si>
  <si>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</si>
  <si>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</si>
  <si>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</si>
  <si>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</si>
  <si>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</si>
  <si>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</si>
  <si>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</si>
  <si>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</si>
  <si>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</si>
  <si>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</si>
  <si>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</si>
  <si>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</si>
  <si>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</si>
  <si>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</si>
  <si>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</si>
  <si>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</si>
  <si>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</si>
  <si>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</si>
  <si>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</si>
  <si>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</si>
  <si>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</si>
  <si>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</si>
  <si>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</si>
  <si>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</si>
  <si>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</si>
  <si>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</si>
  <si>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</si>
  <si>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</si>
  <si>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</si>
  <si>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</si>
  <si>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</si>
  <si>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</si>
  <si>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</si>
  <si>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</si>
  <si>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</si>
  <si>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</si>
  <si>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</si>
  <si>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</si>
  <si>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</si>
  <si>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</si>
  <si>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</si>
  <si>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</si>
  <si>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</si>
  <si>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</si>
  <si>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</si>
  <si>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</si>
  <si>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</si>
  <si>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</si>
  <si>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</si>
  <si>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</si>
  <si>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</si>
  <si>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</si>
  <si>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</si>
  <si>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</si>
  <si>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</si>
  <si>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</si>
  <si>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</si>
  <si>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</si>
  <si>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</si>
  <si>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</si>
  <si>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</si>
  <si>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</si>
  <si>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</si>
  <si>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</si>
  <si>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</si>
  <si>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</si>
  <si>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</si>
  <si>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</si>
  <si>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</si>
  <si>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</si>
  <si>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</si>
  <si>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</si>
  <si>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</si>
  <si>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</si>
  <si>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</si>
  <si>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</si>
  <si>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</si>
  <si>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</si>
  <si>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</si>
  <si>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</si>
  <si>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</si>
  <si>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</si>
  <si>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</si>
  <si>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</si>
  <si>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</si>
  <si>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</si>
  <si>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</si>
  <si>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</si>
  <si>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</si>
  <si>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</si>
  <si>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</si>
  <si>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</si>
  <si>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</si>
  <si>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</si>
  <si>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</si>
  <si>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</si>
  <si>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</si>
  <si>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</si>
  <si>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</si>
  <si>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</si>
  <si>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</si>
  <si>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</si>
  <si>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</si>
  <si>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</si>
  <si>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</si>
  <si>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</si>
  <si>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</si>
  <si>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</si>
  <si>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</si>
  <si>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</si>
  <si>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</si>
  <si>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</si>
  <si>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</si>
  <si>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</si>
  <si>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</si>
  <si>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</si>
  <si>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</si>
  <si>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</si>
  <si>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</si>
  <si>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</si>
  <si>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</si>
  <si>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</si>
  <si>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</si>
  <si>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</si>
  <si>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</si>
  <si>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</si>
  <si>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</si>
  <si>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</si>
  <si>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</si>
  <si>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</si>
  <si>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</si>
  <si>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</si>
  <si>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</si>
  <si>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</si>
  <si>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</si>
  <si>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</si>
  <si>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</si>
  <si>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</si>
  <si>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</si>
  <si>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</si>
  <si>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</si>
  <si>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</si>
  <si>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</si>
  <si>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</si>
  <si>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</si>
  <si>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</si>
  <si>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</si>
  <si>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</si>
  <si>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</si>
  <si>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</si>
  <si>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</si>
  <si>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</si>
  <si>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</si>
  <si>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</si>
  <si>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</si>
  <si>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</si>
  <si>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</si>
  <si>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</si>
  <si>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</si>
  <si>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</si>
  <si>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</si>
  <si>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</si>
  <si>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</si>
  <si>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</si>
  <si>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</si>
  <si>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</si>
  <si>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</si>
  <si>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</si>
  <si>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</si>
  <si>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</si>
  <si>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</si>
  <si>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</si>
  <si>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</si>
  <si>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</si>
  <si>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</si>
  <si>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</si>
  <si>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</si>
  <si>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</si>
  <si>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</si>
  <si>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</si>
  <si>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</si>
  <si>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</si>
  <si>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</si>
  <si>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</si>
  <si>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</si>
  <si>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</si>
  <si>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</si>
  <si>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</si>
  <si>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</si>
  <si>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</si>
  <si>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</si>
  <si>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</si>
  <si>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</si>
  <si>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</si>
  <si>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</si>
  <si>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</si>
  <si>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</si>
  <si>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</si>
  <si>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</si>
  <si>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</si>
  <si>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</si>
  <si>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</si>
  <si>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</si>
  <si>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</si>
  <si>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</si>
  <si>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</si>
  <si>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</si>
  <si>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</si>
  <si>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</si>
  <si>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</si>
  <si>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</si>
  <si>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</si>
  <si>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</si>
  <si>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</si>
  <si>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</si>
  <si>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</si>
  <si>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</si>
  <si>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</si>
  <si>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</si>
  <si>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</si>
  <si>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</si>
  <si>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</si>
  <si>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</si>
  <si>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</si>
  <si>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</si>
  <si>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</si>
  <si>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</si>
  <si>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</si>
  <si>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</si>
  <si>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</si>
  <si>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</si>
  <si>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</si>
  <si>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</si>
  <si>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</si>
  <si>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</si>
  <si>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</si>
  <si>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</si>
  <si>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</si>
  <si>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</si>
  <si>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</si>
  <si>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</si>
  <si>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</si>
  <si>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</si>
  <si>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</si>
  <si>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</si>
  <si>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</si>
  <si>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</si>
  <si>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</si>
  <si>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</si>
  <si>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</si>
  <si>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</si>
  <si>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</si>
  <si>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</si>
  <si>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</si>
  <si>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</si>
  <si>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</si>
  <si>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</si>
  <si>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</si>
  <si>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</si>
  <si>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</si>
  <si>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</si>
  <si>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</si>
  <si>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</si>
  <si>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</si>
  <si>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</si>
  <si>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</si>
  <si>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</si>
  <si>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</si>
  <si>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</si>
  <si>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</si>
  <si>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</si>
  <si>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</si>
  <si>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</si>
  <si>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</si>
  <si>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</si>
  <si>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</si>
  <si>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</si>
  <si>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</si>
  <si>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</si>
  <si>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</si>
  <si>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</si>
  <si>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</si>
  <si>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</si>
  <si>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</si>
  <si>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</si>
  <si>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</si>
  <si>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</si>
  <si>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</si>
  <si>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</si>
  <si>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</si>
  <si>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</si>
  <si>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</si>
  <si>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</si>
  <si>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</si>
  <si>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</si>
  <si>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</si>
  <si>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</si>
  <si>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</si>
  <si>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</si>
  <si>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</si>
  <si>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</si>
  <si>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</si>
  <si>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</si>
  <si>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</si>
  <si>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</si>
  <si>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</si>
  <si>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</si>
  <si>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</si>
  <si>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</si>
  <si>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</si>
  <si>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</si>
  <si>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</si>
  <si>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</si>
  <si>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</si>
  <si>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</si>
  <si>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</si>
  <si>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</si>
  <si>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</si>
  <si>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</si>
  <si>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</si>
  <si>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</si>
  <si>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</si>
  <si>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</si>
  <si>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</si>
  <si>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</si>
  <si>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</si>
  <si>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</si>
  <si>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Alid</t>
  </si>
  <si>
    <t>03/08 Delhaize</t>
  </si>
  <si>
    <t>160€ Cheques</t>
  </si>
  <si>
    <t>03/08 Action</t>
  </si>
  <si>
    <t>Fondo de Inversion --&gt; De Cartama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</si>
</sst>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1" zoomScaleNormal="100" workbookViewId="0">
      <pane xSplit="1" topLeftCell="Y1" activePane="topRight" state="frozen"/>
      <selection pane="topRight" activeCell="J73" sqref="J7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29166.850000000002</v>
      </c>
      <c r="AF5" s="391"/>
      <c r="AG5" s="391"/>
      <c r="AH5" s="392"/>
      <c r="AI5" s="390">
        <f>'09'!K19</f>
        <v>29171.350000000002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2568.54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291.60000000000002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124.52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1.02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0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5092.5400000000009</v>
      </c>
      <c r="BA13" s="112">
        <f t="shared" ca="1" si="0"/>
        <v>636.56750000000011</v>
      </c>
      <c r="BB13" s="1"/>
      <c r="BC13" s="1"/>
    </row>
    <row r="14" spans="1:55" ht="15.75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51.759999999999991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116.53</v>
      </c>
      <c r="BA14" s="112">
        <f t="shared" ca="1" si="0"/>
        <v>14.56625</v>
      </c>
      <c r="BB14" s="3"/>
      <c r="BC14" s="3"/>
    </row>
    <row r="15" spans="1:55" ht="15.75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550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4638.26</v>
      </c>
      <c r="AB17" s="378"/>
      <c r="AC17" s="378"/>
      <c r="AD17" s="379"/>
      <c r="AE17" s="377">
        <f>SUM(AE8:AE16)</f>
        <v>841.6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37092.050000000003</v>
      </c>
      <c r="BA17" s="112">
        <f ca="1">AZ17/BC$17</f>
        <v>4636.5062500000004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55638.075000000004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964.13999999999987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1508.1399999999999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2052.14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2596.14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3140.14</v>
      </c>
      <c r="AZ20" s="123">
        <f t="shared" ref="AZ20:AZ27" si="14">E20+I20+M20+Q20+U20+Y20+AC20+AG20+AK20+AO20+AS20+AW20</f>
        <v>4135.6600000000008</v>
      </c>
      <c r="BA20" s="21">
        <f t="shared" ref="BA20:BA45" si="15">AZ20/AZ$46</f>
        <v>0.12089469428608682</v>
      </c>
      <c r="BB20" s="22">
        <f>_xlfn.RANK.EQ(BA20,$BA$20:$BA$45,)</f>
        <v>3</v>
      </c>
      <c r="BC20" s="22">
        <f t="shared" ref="BC20:BC45" ca="1" si="16">AZ20/BC$17</f>
        <v>516.9575000000001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0.12539129004732821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515.36000000000024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104.19</v>
      </c>
      <c r="AH21" s="151">
        <f t="shared" si="9"/>
        <v>1423.9599999999994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2571.9599999999991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3699.9599999999991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4827.9599999999991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5955.9599999999991</v>
      </c>
      <c r="AZ21" s="152">
        <f t="shared" si="14"/>
        <v>8437.9000000000015</v>
      </c>
      <c r="BA21" s="21">
        <f t="shared" si="15"/>
        <v>0.24665889868039731</v>
      </c>
      <c r="BB21" s="22">
        <f t="shared" ref="BB21:BB45" si="20">_xlfn.RANK.EQ(BA21,$BA$20:$BA$45,)</f>
        <v>1</v>
      </c>
      <c r="BC21" s="22">
        <f t="shared" ca="1" si="16"/>
        <v>1054.7375000000002</v>
      </c>
      <c r="BE21" s="224">
        <f t="shared" ca="1" si="17"/>
        <v>9209</v>
      </c>
      <c r="BF21" s="21">
        <f t="shared" ca="1" si="18"/>
        <v>0.24827422587859121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771.09999999999968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135.73000000000002</v>
      </c>
      <c r="AH22" s="156">
        <f t="shared" si="9"/>
        <v>653.95000000000016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953.95000000000016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1443.9500000000003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1933.9500000000003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2423.9500000000003</v>
      </c>
      <c r="AZ22" s="157">
        <f t="shared" si="14"/>
        <v>2154.48</v>
      </c>
      <c r="BA22" s="21">
        <f t="shared" si="15"/>
        <v>6.2980322595544189E-2</v>
      </c>
      <c r="BB22" s="22">
        <f t="shared" si="20"/>
        <v>6</v>
      </c>
      <c r="BC22" s="22">
        <f t="shared" ca="1" si="16"/>
        <v>269.31</v>
      </c>
      <c r="BE22" s="225">
        <f t="shared" ca="1" si="17"/>
        <v>2562.36</v>
      </c>
      <c r="BF22" s="21">
        <f t="shared" ca="1" si="18"/>
        <v>6.9081110372707893E-2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407.88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299.48000000000008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469.48000000000008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619.48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769.48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919.48</v>
      </c>
      <c r="AZ23" s="152">
        <f t="shared" si="14"/>
        <v>1147.6499999999999</v>
      </c>
      <c r="BA23" s="21">
        <f t="shared" si="15"/>
        <v>3.3548404824726284E-2</v>
      </c>
      <c r="BB23" s="22">
        <f t="shared" si="20"/>
        <v>8</v>
      </c>
      <c r="BC23" s="22">
        <f t="shared" ca="1" si="16"/>
        <v>143.45624999999998</v>
      </c>
      <c r="BE23" s="224">
        <f t="shared" ca="1" si="17"/>
        <v>1405</v>
      </c>
      <c r="BF23" s="21">
        <f t="shared" ca="1" si="18"/>
        <v>3.7878736818266985E-2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257.35000000000002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56.61</v>
      </c>
      <c r="AH24" s="156">
        <f t="shared" si="9"/>
        <v>298.29999999999995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458.29999999999995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618.29999999999995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778.3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938.3</v>
      </c>
      <c r="AZ24" s="157">
        <f t="shared" si="14"/>
        <v>1011.7</v>
      </c>
      <c r="BA24" s="21">
        <f t="shared" si="15"/>
        <v>2.9574278883959033E-2</v>
      </c>
      <c r="BB24" s="22">
        <f t="shared" si="20"/>
        <v>10</v>
      </c>
      <c r="BC24" s="22">
        <f t="shared" ca="1" si="16"/>
        <v>126.46250000000001</v>
      </c>
      <c r="BE24" s="225">
        <f t="shared" ca="1" si="17"/>
        <v>1310</v>
      </c>
      <c r="BF24" s="21">
        <f t="shared" ca="1" si="18"/>
        <v>3.5317541090341457E-2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298.29999999999995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258.47000000000003</v>
      </c>
      <c r="AH25" s="151">
        <f t="shared" si="9"/>
        <v>4026.7699999999977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4471.7699999999977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4876.7699999999977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5281.7699999999977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5686.7699999999977</v>
      </c>
      <c r="AZ25" s="152">
        <f t="shared" si="14"/>
        <v>2614.13</v>
      </c>
      <c r="BA25" s="21">
        <f t="shared" si="15"/>
        <v>7.6416931559675619E-2</v>
      </c>
      <c r="BB25" s="22">
        <f t="shared" si="20"/>
        <v>5</v>
      </c>
      <c r="BC25" s="22">
        <f t="shared" ca="1" si="16"/>
        <v>326.76625000000001</v>
      </c>
      <c r="BE25" s="224">
        <f t="shared" ca="1" si="17"/>
        <v>3478.35</v>
      </c>
      <c r="BF25" s="21">
        <f t="shared" ca="1" si="18"/>
        <v>9.3776159581365814E-2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864.21999999999935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1.1004192490933616E-2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1.1308353137666965E-2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9.1909153147232952E-3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9.166384710470302E-3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9.8106100246778752E-2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8.8429730899208858E-2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1.2083155260140819E-2</v>
      </c>
      <c r="BB29" s="22">
        <f t="shared" si="20"/>
        <v>16</v>
      </c>
      <c r="BC29" s="22">
        <f t="shared" ca="1" si="16"/>
        <v>51.668750000000003</v>
      </c>
      <c r="BE29" s="224">
        <f t="shared" ca="1" si="17"/>
        <v>544</v>
      </c>
      <c r="BF29" s="21">
        <f t="shared" ca="1" si="18"/>
        <v>1.4666215536752484E-2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130.65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6.0583861803899467E-3</v>
      </c>
      <c r="BB30" s="22">
        <f t="shared" si="20"/>
        <v>19</v>
      </c>
      <c r="BC30" s="22">
        <f t="shared" ca="1" si="16"/>
        <v>25.90625</v>
      </c>
      <c r="BE30" s="225">
        <f t="shared" ca="1" si="17"/>
        <v>320</v>
      </c>
      <c r="BF30" s="21">
        <f t="shared" ca="1" si="18"/>
        <v>8.6271856098544021E-3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112.75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4.5999886578825663E-3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4.3135928049272011E-3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45.4</v>
      </c>
      <c r="AH32" s="161">
        <f t="shared" si="9"/>
        <v>633.4899999999999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723.4899999999999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773.4899999999999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823.4899999999999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873.4899999999999</v>
      </c>
      <c r="AZ32" s="157">
        <f t="shared" si="23"/>
        <v>1034.3900000000001</v>
      </c>
      <c r="BA32" s="21">
        <f t="shared" si="15"/>
        <v>3.0237558895698711E-2</v>
      </c>
      <c r="BB32" s="22">
        <f t="shared" si="20"/>
        <v>9</v>
      </c>
      <c r="BC32" s="22">
        <f t="shared" ca="1" si="16"/>
        <v>129.29875000000001</v>
      </c>
      <c r="BE32" s="225">
        <f t="shared" ca="1" si="17"/>
        <v>1682.13</v>
      </c>
      <c r="BF32" s="21">
        <f t="shared" ca="1" si="18"/>
        <v>4.535014915595121E-2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647.7399999999999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0.12882219126200936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0.11948490309918164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3.409534043599334E-2</v>
      </c>
      <c r="BB34" s="22">
        <f t="shared" si="20"/>
        <v>7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3.0853242136792108E-2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2034.0100000000004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2264.0100000000002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2379.0100000000002</v>
      </c>
      <c r="AZ35" s="188">
        <f t="shared" si="23"/>
        <v>967.6</v>
      </c>
      <c r="BA35" s="21">
        <f t="shared" si="15"/>
        <v>2.8285136155104043E-2</v>
      </c>
      <c r="BB35" s="22">
        <f t="shared" si="20"/>
        <v>11</v>
      </c>
      <c r="BC35" s="22">
        <f t="shared" ca="1" si="16"/>
        <v>120.95</v>
      </c>
      <c r="BE35" s="224">
        <f t="shared" ca="1" si="17"/>
        <v>1382.01</v>
      </c>
      <c r="BF35" s="21">
        <f t="shared" ca="1" si="18"/>
        <v>3.7258927452109007E-2</v>
      </c>
      <c r="BG35" s="22">
        <f t="shared" ca="1" si="21"/>
        <v>10</v>
      </c>
      <c r="BH35" s="22">
        <f t="shared" ca="1" si="19"/>
        <v>172.75125</v>
      </c>
      <c r="BJ35" s="224">
        <f t="shared" ca="1" si="22"/>
        <v>414.41000000000008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104.14</v>
      </c>
      <c r="AH36" s="156">
        <f t="shared" si="9"/>
        <v>380.78000000000009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470.78000000000009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560.78000000000009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650.78000000000009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740.78000000000009</v>
      </c>
      <c r="AZ36" s="182">
        <f t="shared" si="23"/>
        <v>650.2299999999999</v>
      </c>
      <c r="BA36" s="21">
        <f t="shared" si="15"/>
        <v>1.9007693346561903E-2</v>
      </c>
      <c r="BB36" s="22">
        <f t="shared" si="20"/>
        <v>12</v>
      </c>
      <c r="BC36" s="22">
        <f t="shared" ca="1" si="16"/>
        <v>81.278749999999988</v>
      </c>
      <c r="BE36" s="223">
        <f t="shared" ca="1" si="17"/>
        <v>930.02</v>
      </c>
      <c r="BF36" s="21">
        <f t="shared" ca="1" si="18"/>
        <v>2.5073297377739973E-2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279.79000000000002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1.2626875322651086E-2</v>
      </c>
      <c r="BB37" s="22">
        <f t="shared" si="20"/>
        <v>15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1.1708708469874271E-2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5</v>
      </c>
      <c r="AH38" s="156">
        <f t="shared" si="9"/>
        <v>133.03000000000006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203.03000000000006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273.03000000000009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343.03000000000009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413.03000000000009</v>
      </c>
      <c r="AZ38" s="157">
        <f t="shared" si="23"/>
        <v>496.17000000000007</v>
      </c>
      <c r="BA38" s="21">
        <f t="shared" si="15"/>
        <v>1.4504171151382776E-2</v>
      </c>
      <c r="BB38" s="22">
        <f t="shared" si="20"/>
        <v>14</v>
      </c>
      <c r="BC38" s="22">
        <f t="shared" ca="1" si="16"/>
        <v>62.021250000000009</v>
      </c>
      <c r="BE38" s="225">
        <f t="shared" ca="1" si="17"/>
        <v>590</v>
      </c>
      <c r="BF38" s="21">
        <f t="shared" ca="1" si="18"/>
        <v>1.5906373468169054E-2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93.830000000000027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-3.1509177842691354E-2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4.8008142938742631E-3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-1.6511624458610402E-2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-3058.4</v>
      </c>
      <c r="AG41" s="165">
        <f>SUM('08'!D440:F440)</f>
        <v>0</v>
      </c>
      <c r="AH41" s="151">
        <f t="shared" si="9"/>
        <v>5407.340000000002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1507.340000000002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-2392.659999999998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-6292.659999999998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-10192.659999999998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-3142.6599999999976</v>
      </c>
      <c r="BF41" s="21">
        <f t="shared" ca="1" si="18"/>
        <v>-8.4725972277078176E-2</v>
      </c>
      <c r="BG41" s="22">
        <f t="shared" ca="1" si="21"/>
        <v>26</v>
      </c>
      <c r="BH41" s="22">
        <f t="shared" ca="1" si="19"/>
        <v>-392.8324999999997</v>
      </c>
      <c r="BJ41" s="224">
        <f t="shared" ca="1" si="22"/>
        <v>-3142.6599999999962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0.109086448443804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1.4616130712641609E-2</v>
      </c>
      <c r="BB43" s="22">
        <f t="shared" si="20"/>
        <v>13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-8.2058015127230745E-3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1.8878194428447901E-3</v>
      </c>
      <c r="BB45" s="22">
        <f t="shared" si="20"/>
        <v>22</v>
      </c>
      <c r="BC45" s="22">
        <f t="shared" ca="1" si="16"/>
        <v>8.0724999999999998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841.59999999999991</v>
      </c>
      <c r="AG46" s="219">
        <f>SUM(AG20:AG45)</f>
        <v>741.64</v>
      </c>
      <c r="AH46" s="220">
        <f>SUM(AH20:AH45)</f>
        <v>29266.810000000005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29266.810000000005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29266.809999999998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29266.809999999998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29266.809999999998</v>
      </c>
      <c r="AZ46" s="227">
        <f>SUM(AZ20:AZ45)</f>
        <v>34208.78</v>
      </c>
      <c r="BA46" s="1"/>
      <c r="BB46" s="1"/>
      <c r="BC46" s="124">
        <f ca="1">SUM(BC20:BC45)</f>
        <v>4276.0974999999999</v>
      </c>
      <c r="BE46" s="227">
        <f ca="1">SUM(BE20:BE45)</f>
        <v>37092.050000000003</v>
      </c>
      <c r="BF46" s="1"/>
      <c r="BG46" s="1"/>
      <c r="BH46" s="124">
        <f ca="1">SUM(BH20:BH45)</f>
        <v>4636.5062500000004</v>
      </c>
      <c r="BJ46" s="227">
        <f ca="1">SUM(BJ20:BJ45)</f>
        <v>2883.2700000000045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99.960000000000036</v>
      </c>
      <c r="AH47" s="125"/>
      <c r="AI47" s="125">
        <f>AI5-AH46</f>
        <v>-95.460000000002765</v>
      </c>
      <c r="AJ47" s="125">
        <f>AI17-AJ46</f>
        <v>0</v>
      </c>
      <c r="AK47" s="125">
        <f>AI17-AK46</f>
        <v>0</v>
      </c>
      <c r="AL47" s="125"/>
      <c r="AM47" s="125">
        <f>AM5-AL46</f>
        <v>-14164.920000000004</v>
      </c>
      <c r="AN47" s="125">
        <f>AM17-AN46</f>
        <v>0</v>
      </c>
      <c r="AO47" s="125">
        <f>AM17-AO46</f>
        <v>0</v>
      </c>
      <c r="AP47" s="125"/>
      <c r="AQ47" s="125">
        <f>AQ5-AP46</f>
        <v>-14164.919999999996</v>
      </c>
      <c r="AR47" s="125">
        <f>AQ17-AR46</f>
        <v>0</v>
      </c>
      <c r="AS47" s="125">
        <f>AQ17-AS46</f>
        <v>0</v>
      </c>
      <c r="AT47" s="140"/>
      <c r="AU47" s="125">
        <f>AU5-AT46</f>
        <v>-14164.919999999996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51313.17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135.73000000000002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476</v>
      </c>
      <c r="AC54" s="371"/>
      <c r="AD54" s="239">
        <v>15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389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389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5</v>
      </c>
      <c r="D75">
        <f>C75*D74</f>
        <v>16.129032258064516</v>
      </c>
      <c r="Z75" s="111"/>
    </row>
    <row r="76" spans="1:50">
      <c r="D76">
        <f>D75-D73</f>
        <v>-0.87096774193548399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7494.86</v>
      </c>
      <c r="L7" s="429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'08'!A11+(B11-SUM(D11:F11))</f>
        <v>60.46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29171.350000000002</v>
      </c>
      <c r="L19" s="444"/>
      <c r="M19" s="1"/>
      <c r="N19" s="1"/>
      <c r="R19" s="3"/>
    </row>
    <row r="20" spans="1:18" ht="16.5" thickBot="1">
      <c r="A20" s="112">
        <f>SUM(A6:A15)</f>
        <v>1520.1399999999999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2571.96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'08'!A66+(B66-SUM(D66:F78))+B67</f>
        <v>339.48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449.48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140.02000000000004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981.58999999999992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57.370000000000005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733.49000000000012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'09'!A11+(B11-SUM(D11:F11))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2064.14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3699.96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211.02000000000004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1361.06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'10'!A11+(B11-SUM(D11:F11))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2608.1400000000003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4827.9599999999991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1740.53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'11'!A11+(B11-SUM(D11:F11))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3152.14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5955.9599999999991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2120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F13" sqref="F1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-0.30399999999999999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129677.95603710055</v>
      </c>
      <c r="L6" s="39">
        <f>B4*(E8/100)</f>
        <v>21.241310533333337</v>
      </c>
      <c r="M6" s="49">
        <f>B13-L6</f>
        <v>370.88396289945337</v>
      </c>
    </row>
    <row r="7" spans="1:13" ht="12.75" customHeight="1">
      <c r="E7" s="42"/>
      <c r="J7" t="s">
        <v>98</v>
      </c>
      <c r="K7" s="49">
        <f>K6-(B13-L7)</f>
        <v>129307.01149648716</v>
      </c>
      <c r="L7" s="39">
        <f>(K6*(E8/100))</f>
        <v>21.180732819393093</v>
      </c>
      <c r="M7" s="49">
        <f>B13-L7</f>
        <v>370.9445406133936</v>
      </c>
    </row>
    <row r="8" spans="1:13" ht="12.75" customHeight="1">
      <c r="B8" s="42"/>
      <c r="D8" t="s">
        <v>183</v>
      </c>
      <c r="E8" s="50">
        <f>(B6+0.5)/12</f>
        <v>1.6333333333333335E-2</v>
      </c>
      <c r="J8" t="s">
        <v>99</v>
      </c>
      <c r="K8" s="49">
        <f>K7-(B13-L8)</f>
        <v>128936.00636826547</v>
      </c>
      <c r="L8" s="39">
        <f>(K7*(E8/100))</f>
        <v>21.120145211092908</v>
      </c>
      <c r="M8" s="49">
        <f>B13-L8</f>
        <v>371.00512822169378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1.0001633333333333</v>
      </c>
      <c r="J9" t="s">
        <v>101</v>
      </c>
      <c r="K9" s="49">
        <f>K8-(B13-L9)</f>
        <v>128564.9406425395</v>
      </c>
      <c r="L9" s="39">
        <f>(K8*(E8/100))</f>
        <v>21.059547706816698</v>
      </c>
      <c r="M9" s="49">
        <f>B13-L9</f>
        <v>371.06572572596997</v>
      </c>
    </row>
    <row r="10" spans="1:13" ht="12.75" customHeight="1">
      <c r="B10" s="42"/>
      <c r="D10" t="s">
        <v>102</v>
      </c>
      <c r="E10" s="50">
        <f>E9^-B5</f>
        <v>0.9458302946214604</v>
      </c>
      <c r="J10" t="s">
        <v>103</v>
      </c>
      <c r="K10" s="49">
        <f>K9-(B13-L10)</f>
        <v>128193.81430941167</v>
      </c>
      <c r="L10" s="39">
        <f>(K9*(E8/100))</f>
        <v>20.998940304948121</v>
      </c>
      <c r="M10" s="49">
        <f>B13-L10</f>
        <v>371.12633312783856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5.4169705378539597</v>
      </c>
      <c r="J11" t="s">
        <v>106</v>
      </c>
      <c r="K11" s="51">
        <f>K10-(B13-L11)</f>
        <v>127822.62735898275</v>
      </c>
      <c r="L11" s="39">
        <f>(K10*(E8/100))</f>
        <v>20.938323003870575</v>
      </c>
      <c r="M11" s="49">
        <f>B13-L11</f>
        <v>371.18695042891613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392.12527343278668</v>
      </c>
      <c r="E13" s="42"/>
      <c r="F13" s="44"/>
      <c r="G13" s="53"/>
      <c r="L13" s="54">
        <f>SUM(L6:L11)</f>
        <v>126.53899957945474</v>
      </c>
      <c r="M13" s="54">
        <f>SUM(M6:M11)</f>
        <v>2226.212641017265</v>
      </c>
    </row>
    <row r="14" spans="1:13" ht="12.75" customHeight="1">
      <c r="A14" t="s">
        <v>108</v>
      </c>
      <c r="B14" s="55">
        <f>B4*(E8/100)</f>
        <v>21.241310533333337</v>
      </c>
      <c r="E14" s="42"/>
    </row>
    <row r="15" spans="1:13" ht="12.75" customHeight="1">
      <c r="A15" t="s">
        <v>109</v>
      </c>
      <c r="B15" s="55">
        <f>B13-B14</f>
        <v>370.88396289945337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392.12683343278667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-0.30399999999999999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-1.216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2226.212641017265</v>
      </c>
      <c r="C22" s="58">
        <f>B22/170000</f>
        <v>1.3095368476572148E-2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127822.62735898275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-0.30399999999999999</v>
      </c>
      <c r="F24">
        <v>6</v>
      </c>
      <c r="G24" s="57">
        <v>1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0">IF(E43="",0,1)</f>
        <v>0</v>
      </c>
    </row>
    <row r="45" spans="2:7" ht="12.75" customHeight="1">
      <c r="G45" s="57">
        <f>SUM(G21:G43)</f>
        <v>4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3" sqref="G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5"/>
  <sheetViews>
    <sheetView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4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4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4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4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4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4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4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4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4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-3.0399999999999997E-3</v>
      </c>
      <c r="D25" s="73">
        <f>Hipoteca!B$13</f>
        <v>392.12527343278668</v>
      </c>
      <c r="E25" s="72">
        <f t="shared" ref="E25" si="10">D25-D24</f>
        <v>-10.954726567213299</v>
      </c>
      <c r="I25" s="79">
        <f t="shared" si="4"/>
        <v>43739</v>
      </c>
      <c r="J25" s="128"/>
      <c r="K25" s="127"/>
      <c r="L25" s="127"/>
      <c r="M25" s="72"/>
    </row>
    <row r="26" spans="1:14" ht="12.75" customHeight="1">
      <c r="A26" s="120">
        <f t="shared" si="5"/>
        <v>43862</v>
      </c>
      <c r="B26" s="116"/>
      <c r="C26" s="71"/>
      <c r="D26" s="73"/>
      <c r="E26" s="72"/>
      <c r="G26" s="68"/>
      <c r="H26">
        <v>6</v>
      </c>
      <c r="I26" s="79">
        <f t="shared" si="4"/>
        <v>43922</v>
      </c>
      <c r="J26" s="128"/>
      <c r="K26" s="127"/>
      <c r="L26" s="127"/>
      <c r="M26" s="72"/>
      <c r="N26" s="114"/>
    </row>
    <row r="27" spans="1:14" ht="12.75" customHeight="1">
      <c r="A27" s="120">
        <f t="shared" si="5"/>
        <v>44044</v>
      </c>
      <c r="B27" s="116"/>
      <c r="C27" s="71"/>
      <c r="D27" s="73"/>
      <c r="E27" s="72"/>
      <c r="H27">
        <f>MONTH(I28-I27)</f>
        <v>6</v>
      </c>
      <c r="I27" s="79">
        <f t="shared" si="4"/>
        <v>44105</v>
      </c>
      <c r="J27" s="128"/>
      <c r="K27" s="127"/>
      <c r="L27" s="127"/>
      <c r="M27" s="72"/>
    </row>
    <row r="28" spans="1:14" ht="12.75" customHeight="1">
      <c r="A28" s="120">
        <f t="shared" si="5"/>
        <v>44228</v>
      </c>
      <c r="B28" s="116"/>
      <c r="C28" s="71"/>
      <c r="D28" s="73"/>
      <c r="E28" s="72"/>
      <c r="H28">
        <v>6</v>
      </c>
      <c r="I28" s="79">
        <f t="shared" si="4"/>
        <v>44287</v>
      </c>
      <c r="J28" s="128"/>
      <c r="K28" s="127"/>
      <c r="L28" s="127"/>
      <c r="M28" s="72"/>
    </row>
    <row r="29" spans="1:14" ht="12.75" customHeight="1">
      <c r="A29" s="120">
        <f t="shared" si="5"/>
        <v>44409</v>
      </c>
      <c r="B29" s="116"/>
      <c r="C29" s="71"/>
      <c r="D29" s="73"/>
      <c r="E29" s="72"/>
      <c r="H29">
        <v>6</v>
      </c>
      <c r="I29" s="79">
        <f t="shared" si="4"/>
        <v>44470</v>
      </c>
      <c r="J29" s="128"/>
      <c r="K29" s="127"/>
      <c r="L29" s="127"/>
      <c r="M29" s="72"/>
    </row>
    <row r="30" spans="1:14" ht="12.75" customHeight="1">
      <c r="A30" s="120">
        <f t="shared" si="5"/>
        <v>44593</v>
      </c>
      <c r="B30" s="116"/>
      <c r="C30" s="71"/>
      <c r="D30" s="73"/>
      <c r="E30" s="72"/>
      <c r="H30">
        <v>6</v>
      </c>
      <c r="I30" s="79">
        <f t="shared" si="4"/>
        <v>44652</v>
      </c>
      <c r="J30" s="128"/>
      <c r="K30" s="127"/>
      <c r="L30" s="127"/>
      <c r="M30" s="72"/>
    </row>
    <row r="31" spans="1:14" ht="12.75" customHeight="1">
      <c r="A31" s="120">
        <f t="shared" si="5"/>
        <v>44774</v>
      </c>
      <c r="B31" s="116"/>
      <c r="C31" s="71"/>
      <c r="D31" s="73"/>
      <c r="E31" s="72"/>
      <c r="H31">
        <v>6</v>
      </c>
      <c r="I31" s="79">
        <f t="shared" si="4"/>
        <v>44835</v>
      </c>
      <c r="J31" s="128"/>
      <c r="K31" s="127"/>
      <c r="L31" s="127"/>
      <c r="M31" s="72"/>
    </row>
    <row r="32" spans="1:14" ht="12.75" customHeight="1">
      <c r="A32" s="120">
        <f t="shared" si="5"/>
        <v>44958</v>
      </c>
      <c r="B32" s="116"/>
      <c r="C32" s="71"/>
      <c r="D32" s="73"/>
      <c r="E32" s="72"/>
      <c r="H32"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v>6</v>
      </c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v>6</v>
      </c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v>6</v>
      </c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v>6</v>
      </c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v>6</v>
      </c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v>6</v>
      </c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v>6</v>
      </c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v>6</v>
      </c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v>6</v>
      </c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v>6</v>
      </c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v>6</v>
      </c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v>6</v>
      </c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v>6</v>
      </c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v>6</v>
      </c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v>6</v>
      </c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v>6</v>
      </c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v>6</v>
      </c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H80">
        <v>6</v>
      </c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H81">
        <v>6</v>
      </c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H82">
        <v>5</v>
      </c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8.3844047619047596E-3</v>
      </c>
      <c r="D83" s="85">
        <f>AVERAGE(D2:D82)</f>
        <v>492.3596298346211</v>
      </c>
      <c r="E83" s="86">
        <f>AVERAGE(E3:E82)</f>
        <v>-19.822814198574491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1474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43683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78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43683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529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43683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3.853325046612803E-2</v>
      </c>
      <c r="X13" s="119">
        <f ca="1">W13*E13</f>
        <v>154.87549714108141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3.418272218769422E-2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8.7010565568676201E-3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0.54008701056556863</v>
      </c>
      <c r="X19" s="119">
        <f t="shared" ca="1" si="2"/>
        <v>2389.0208393287758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0.3927905531385954</v>
      </c>
      <c r="X20" s="119">
        <f t="shared" ca="1" si="2"/>
        <v>235.9100062150404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0.17899316345556246</v>
      </c>
      <c r="X25" s="119">
        <f t="shared" ca="1" si="2"/>
        <v>108.82126108638906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529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43683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517</v>
      </c>
      <c r="S28" s="59">
        <f ca="1">Q28+Q29+Q30+Q34</f>
        <v>3.1637758641215472E-2</v>
      </c>
      <c r="W28" s="39">
        <f t="shared" ca="1" si="0"/>
        <v>0.32877563704164076</v>
      </c>
      <c r="X28" s="119">
        <f t="shared" ca="1" si="2"/>
        <v>1692.5675161715351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1.3673088875077687E-2</v>
      </c>
      <c r="X33" s="119">
        <f t="shared" ca="1" si="2"/>
        <v>56.457909509011799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78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43683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412</v>
      </c>
      <c r="W35" s="39">
        <f t="shared" ca="1" si="0"/>
        <v>4.8477315102548164E-2</v>
      </c>
      <c r="X35" s="119">
        <f t="shared" ca="1" si="2"/>
        <v>198.2114699067744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2549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3708.5019830000001</v>
      </c>
      <c r="Q42" s="326">
        <f ca="1">SUM(Q13:Q41)</f>
        <v>3.9353819622012383</v>
      </c>
      <c r="R42" s="317"/>
      <c r="W42" s="327">
        <f ca="1">SUM(W13:W41)</f>
        <v>1.584213797389683</v>
      </c>
      <c r="X42" s="328">
        <f ca="1">SUM(X13:X41)</f>
        <v>4835.8644993586076</v>
      </c>
      <c r="Y42" s="329">
        <f ca="1">P42/X42</f>
        <v>0.76687466811608718</v>
      </c>
      <c r="Z42" s="329">
        <f ca="1">Y42/(D$43/365)</f>
        <v>0.1739647320462224</v>
      </c>
    </row>
    <row r="43" spans="1:26">
      <c r="C43" s="119" t="s">
        <v>568</v>
      </c>
      <c r="D43" s="46">
        <f ca="1">_xlfn.DAYS(TODAY(),F13)</f>
        <v>1609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5.3198988195614989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1.4508814962440453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19.559139999999807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379</v>
      </c>
      <c r="K45" s="40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6"/>
      <c r="J51" s="410" t="s">
        <v>417</v>
      </c>
      <c r="K51" s="411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366</v>
      </c>
      <c r="K60" s="40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424</v>
      </c>
      <c r="K40" s="409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444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448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362</v>
      </c>
      <c r="K31" s="411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472</v>
      </c>
      <c r="K40" s="409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5" t="str">
        <f>AÑO!A13</f>
        <v>Gubernamental</v>
      </c>
      <c r="J50" s="408" t="s">
        <v>483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5" t="str">
        <f>AÑO!A14</f>
        <v>Mutualite/DKV</v>
      </c>
      <c r="J55" s="408" t="s">
        <v>477</v>
      </c>
      <c r="K55" s="409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0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626</v>
      </c>
      <c r="K30" s="409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627</v>
      </c>
      <c r="K60" s="409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5" workbookViewId="0">
      <selection activeCell="C110" sqref="C11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626</v>
      </c>
      <c r="K31" s="411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692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679</v>
      </c>
      <c r="K40" s="409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60</v>
      </c>
      <c r="K41" s="411"/>
      <c r="L41" s="229">
        <v>0.02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693</v>
      </c>
      <c r="K55" s="409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693</v>
      </c>
      <c r="K56" s="411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693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708</v>
      </c>
      <c r="K60" s="409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97" workbookViewId="0">
      <selection activeCell="J107" sqref="J1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7490.36</v>
      </c>
      <c r="L7" s="429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29166.850000000002</v>
      </c>
      <c r="L19" s="444"/>
      <c r="M19" s="1"/>
      <c r="N19" s="1"/>
      <c r="R19" s="3"/>
    </row>
    <row r="20" spans="1:18" ht="16.5" thickBot="1">
      <c r="A20" s="112">
        <f>SUM(A6:A15)</f>
        <v>976.1400000000001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328</v>
      </c>
      <c r="K30" s="409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1423.96</v>
      </c>
      <c r="B40" s="135">
        <f>SUM(B26:B39)</f>
        <v>1148</v>
      </c>
      <c r="C40" s="17" t="s">
        <v>53</v>
      </c>
      <c r="D40" s="135">
        <f>SUM(D26:D39)</f>
        <v>104.19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746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747</v>
      </c>
      <c r="D48" s="137"/>
      <c r="E48" s="138"/>
      <c r="F48" s="138"/>
      <c r="G48" s="16"/>
      <c r="H48" s="1">
        <f>20*8</f>
        <v>160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135.73000000000002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39</v>
      </c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'07'!A66+(B66-SUM(D66:F78))+B67</f>
        <v>179.48000000000002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56.61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604.11999999999989</v>
      </c>
      <c r="B120" s="135">
        <f>SUM(B106:B119)</f>
        <v>995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12.370000000000005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748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643.49000000000012</v>
      </c>
      <c r="B260" s="135">
        <f>SUM(B246:B259)</f>
        <v>90</v>
      </c>
      <c r="C260" s="17" t="s">
        <v>53</v>
      </c>
      <c r="D260" s="135">
        <f>SUM(D246:D259)</f>
        <v>45.4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748</v>
      </c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10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</f>
        <v>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841.6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-3058.4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-3058.4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2019-08-06T15:26:52Z</dcterms:modified>
</cp:coreProperties>
</file>