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ABFD3CF-1952-422A-AE51-10DD001D438D}" xr6:coauthVersionLast="31" xr6:coauthVersionMax="31" xr10:uidLastSave="{00000000-0000-0000-0000-000000000000}"/>
  <bookViews>
    <workbookView xWindow="240" yWindow="105" windowWidth="14805" windowHeight="7785" activeTab="13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<sst xmlns="http://schemas.openxmlformats.org/spreadsheetml/2006/main" count="5156" uniqueCount="547">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</sst>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49" zoomScaleNormal="100" workbookViewId="0">
      <pane xSplit="1" topLeftCell="AE1" activePane="topRight" state="frozen"/>
      <selection pane="topRight" activeCell="AL61" sqref="AL6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30.24</v>
      </c>
      <c r="AH20" s="83">
        <f t="shared" ref="AH20:AH45" si="8">AD20+AF20-AG20</f>
        <v>605.64999999999986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1139.6499999999999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1673.6499999999999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1942.6499999999999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2211.6499999999996</v>
      </c>
      <c r="AY20" s="40">
        <f t="shared" ref="AY20:AY27" si="13">E20+I20+M20+Q20+U20+Y20+AC20+AG20+AK20+AO20+AS20+AW20</f>
        <v>5522.5099999999993</v>
      </c>
      <c r="AZ20" s="41">
        <f t="shared" ref="AZ20:AZ45" si="14">AY20/AY$46</f>
        <v>0.16336747305513924</v>
      </c>
      <c r="BA20" s="42">
        <f>_xlfn.RANK.EQ(AZ20,$AZ$20:$AZ$45,)</f>
        <v>2</v>
      </c>
      <c r="BB20" s="42">
        <f t="shared" ref="BB20:BB45" ca="1" si="15">AY20/BB$17</f>
        <v>690.31374999999991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900</v>
      </c>
      <c r="AH21" s="84">
        <f t="shared" si="8"/>
        <v>858.02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1986.02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3114.02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4242.0200000000004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5370.02</v>
      </c>
      <c r="AY21" s="45">
        <f t="shared" si="13"/>
        <v>8592.9000000000015</v>
      </c>
      <c r="AZ21" s="41">
        <f t="shared" si="14"/>
        <v>0.25419607374463904</v>
      </c>
      <c r="BA21" s="42">
        <f t="shared" ref="BA21:BA45" si="16">_xlfn.RANK.EQ(AZ21,$AZ$20:$AZ$45,)</f>
        <v>1</v>
      </c>
      <c r="BB21" s="42">
        <f t="shared" ca="1" si="15"/>
        <v>1074.1125000000002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253.59</v>
      </c>
      <c r="AH22" s="85">
        <f t="shared" si="8"/>
        <v>258.1400000000001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718.1400000000001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1218.1400000000001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1728.14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2238.1400000000003</v>
      </c>
      <c r="AY22" s="43">
        <f t="shared" si="13"/>
        <v>3351.32</v>
      </c>
      <c r="AZ22" s="41">
        <f t="shared" si="14"/>
        <v>9.9139101567792431E-2</v>
      </c>
      <c r="BA22" s="42">
        <f t="shared" si="16"/>
        <v>3</v>
      </c>
      <c r="BB22" s="42">
        <f t="shared" ca="1" si="15"/>
        <v>418.91500000000002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40.75</v>
      </c>
      <c r="AH23" s="84">
        <f t="shared" si="8"/>
        <v>159.01000000000002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309.01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459.01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609.01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759.01</v>
      </c>
      <c r="AY23" s="45">
        <f t="shared" si="13"/>
        <v>1434.09</v>
      </c>
      <c r="AZ23" s="41">
        <f t="shared" si="14"/>
        <v>4.2423401575306274E-2</v>
      </c>
      <c r="BA23" s="42">
        <f t="shared" si="16"/>
        <v>7</v>
      </c>
      <c r="BB23" s="42">
        <f t="shared" ca="1" si="15"/>
        <v>179.26124999999999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3.3403521808815589E-2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7.7817503258468937E-2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1.1240016778970201E-2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45.83</v>
      </c>
      <c r="AH27" s="86">
        <f t="shared" si="8"/>
        <v>262.53000000000003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312.53000000000003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362.53000000000003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412.53000000000003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462.53000000000003</v>
      </c>
      <c r="AY27" s="45">
        <f t="shared" si="13"/>
        <v>292.86</v>
      </c>
      <c r="AZ27" s="41">
        <f t="shared" si="14"/>
        <v>8.6634153960659342E-3</v>
      </c>
      <c r="BA27" s="42">
        <f t="shared" si="16"/>
        <v>17</v>
      </c>
      <c r="BB27" s="42">
        <f t="shared" ca="1" si="15"/>
        <v>36.607500000000002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6.375624108469298E-2</v>
      </c>
      <c r="BA28" s="42">
        <f t="shared" si="16"/>
        <v>6</v>
      </c>
      <c r="BB28" s="42">
        <f t="shared" ca="1" si="15"/>
        <v>269.40375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2.2196341166872063E-2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60.78</v>
      </c>
      <c r="AH30" s="89">
        <f t="shared" si="8"/>
        <v>14.260000000000005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49.260000000000005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84.26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119.26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154.26</v>
      </c>
      <c r="AY30" s="43">
        <f t="shared" si="17"/>
        <v>309.61</v>
      </c>
      <c r="AZ30" s="41">
        <f t="shared" si="14"/>
        <v>9.1589156620090623E-3</v>
      </c>
      <c r="BA30" s="42">
        <f t="shared" si="16"/>
        <v>16</v>
      </c>
      <c r="BB30" s="42">
        <f t="shared" ca="1" si="15"/>
        <v>38.701250000000002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1.8784636947694694E-2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3.2014346137849065E-2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9.3301960524455228E-4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7.6669421746752328E-2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4.1062920546606312E-2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7.8602612336566274E-3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1.4854062599284941E-2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57.89</v>
      </c>
      <c r="AH38" s="85">
        <f t="shared" si="8"/>
        <v>11.760000000000019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81.760000000000019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151.76000000000002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211.76000000000002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271.76</v>
      </c>
      <c r="AY38" s="43">
        <f t="shared" si="17"/>
        <v>569.03</v>
      </c>
      <c r="AZ38" s="41">
        <f t="shared" si="14"/>
        <v>1.6833105452514506E-2</v>
      </c>
      <c r="BA38" s="42">
        <f t="shared" si="16"/>
        <v>13</v>
      </c>
      <c r="BB38" s="42">
        <f t="shared" ca="1" si="15"/>
        <v>71.128749999999997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3.5170165145061768E-3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2.1092041171191052E-3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1860.7100000000003</v>
      </c>
      <c r="AH46" s="116">
        <f>SUM(AH20:AH45)</f>
        <v>23611.659999999996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27511.66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31411.659999999996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36295.299999999996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41178.939999999995</v>
      </c>
      <c r="AY46" s="28">
        <f>SUM(AY20:AY45)</f>
        <v>33804.22</v>
      </c>
      <c r="AZ46" s="1"/>
      <c r="BA46" s="1"/>
      <c r="BB46" s="29">
        <f ca="1">SUM(BB20:BB45)</f>
        <v>4225.5275000000001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-877.09000000000026</v>
      </c>
      <c r="AH47" s="82"/>
      <c r="AI47" s="82">
        <f>AI5-AH46</f>
        <v>-9059.769999999995</v>
      </c>
      <c r="AJ47" s="82">
        <f>AI17-AJ46</f>
        <v>-3900</v>
      </c>
      <c r="AK47" s="82">
        <f>AI17-AK46</f>
        <v>0</v>
      </c>
      <c r="AL47" s="82"/>
      <c r="AM47" s="82">
        <f>AM5-AL46</f>
        <v>-12959.769999999999</v>
      </c>
      <c r="AN47" s="82">
        <f>AM17-AN46</f>
        <v>-3900</v>
      </c>
      <c r="AO47" s="82">
        <f>AM17-AO46</f>
        <v>0</v>
      </c>
      <c r="AP47" s="82"/>
      <c r="AQ47" s="82">
        <f>AQ5-AP46</f>
        <v>-17859.769999999997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-22743.409999999996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281.59000000000003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6" t="s">
        <v>200</v>
      </c>
      <c r="Y54" s="227"/>
      <c r="Z54" s="198">
        <v>15</v>
      </c>
      <c r="AA54" s="185"/>
      <c r="AB54" s="228" t="s">
        <v>372</v>
      </c>
      <c r="AC54" s="229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6" t="s">
        <v>200</v>
      </c>
      <c r="Q55" s="227"/>
      <c r="R55" s="196">
        <v>15</v>
      </c>
      <c r="S55" s="186">
        <v>43238</v>
      </c>
      <c r="T55" s="226" t="s">
        <v>361</v>
      </c>
      <c r="U55" s="227"/>
      <c r="V55" s="190"/>
      <c r="W55" s="186">
        <v>43253</v>
      </c>
      <c r="X55" s="226" t="s">
        <v>221</v>
      </c>
      <c r="Y55" s="227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6" t="s">
        <v>200</v>
      </c>
      <c r="AG55" s="227"/>
      <c r="AH55" s="190">
        <v>15</v>
      </c>
      <c r="AI55" s="186"/>
      <c r="AJ55" s="220"/>
      <c r="AK55" s="221"/>
      <c r="AL55" s="190"/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6" t="s">
        <v>330</v>
      </c>
      <c r="Q56" s="227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8" t="s">
        <v>289</v>
      </c>
      <c r="AG56" s="229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6" t="s">
        <v>301</v>
      </c>
      <c r="Q57" s="227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6" t="s">
        <v>289</v>
      </c>
      <c r="AC57" s="227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6" t="s">
        <v>361</v>
      </c>
      <c r="AC58" s="227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abSelected="1" topLeftCell="A10" workbookViewId="0">
      <selection activeCell="E30" sqref="E3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-0.17388888888888887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134386.30757068936</v>
      </c>
      <c r="L6" s="123">
        <f>B4*(E8/100)</f>
        <v>36.619285708333329</v>
      </c>
      <c r="M6" s="133">
        <f ca="1">B13-L6</f>
        <v>362.68242931063673</v>
      </c>
    </row>
    <row r="7" spans="1:13" ht="12.75" customHeight="1">
      <c r="E7" s="126"/>
      <c r="J7" t="s">
        <v>144</v>
      </c>
      <c r="K7" s="133">
        <f ca="1">K6-(B13-L7)</f>
        <v>134023.5265790704</v>
      </c>
      <c r="L7" s="123">
        <f ca="1">(K6*(E8/100))</f>
        <v>36.520723399997522</v>
      </c>
      <c r="M7" s="133">
        <f ca="1">B13-L7</f>
        <v>362.78099161897256</v>
      </c>
    </row>
    <row r="8" spans="1:13" ht="12.75" customHeight="1">
      <c r="B8" s="126"/>
      <c r="D8" t="s">
        <v>145</v>
      </c>
      <c r="E8" s="134">
        <f>(B6+0.5)/12</f>
        <v>2.7175925925925926E-2</v>
      </c>
      <c r="J8" t="s">
        <v>146</v>
      </c>
      <c r="K8" s="133">
        <f ca="1">K7-(B13-L8)</f>
        <v>133660.64699835787</v>
      </c>
      <c r="L8" s="123">
        <f ca="1">(K7*(E8/100))</f>
        <v>36.422134306441812</v>
      </c>
      <c r="M8" s="133">
        <f ca="1">B13-L8</f>
        <v>362.87958071252825</v>
      </c>
    </row>
    <row r="9" spans="1:13" ht="12.75" customHeight="1">
      <c r="B9" s="126"/>
      <c r="D9" t="s">
        <v>147</v>
      </c>
      <c r="E9" s="134">
        <f>1+(E8/100)</f>
        <v>1.0002717592592592</v>
      </c>
      <c r="J9" t="s">
        <v>148</v>
      </c>
      <c r="K9" s="133">
        <f ca="1">K8-(B13-L9)</f>
        <v>133297.66880175928</v>
      </c>
      <c r="L9" s="123">
        <f ca="1">(K8*(E8/100))</f>
        <v>36.323518420387067</v>
      </c>
      <c r="M9" s="133">
        <f ca="1">B13-L9</f>
        <v>362.978196598583</v>
      </c>
    </row>
    <row r="10" spans="1:13" ht="12.75" customHeight="1">
      <c r="B10" s="126"/>
      <c r="D10" t="s">
        <v>149</v>
      </c>
      <c r="E10" s="134">
        <f ca="1">E9^-B5</f>
        <v>0.90829168938932903</v>
      </c>
      <c r="J10" t="s">
        <v>150</v>
      </c>
      <c r="K10" s="133">
        <f ca="1">K9-(B13-L10)</f>
        <v>132934.59196247486</v>
      </c>
      <c r="L10" s="123">
        <f ca="1">(K9*(E8/100))</f>
        <v>36.224875734552171</v>
      </c>
      <c r="M10" s="133">
        <f ca="1">B13-L10</f>
        <v>363.07683928441793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9.1708310610670978</v>
      </c>
      <c r="J11" t="s">
        <v>153</v>
      </c>
      <c r="K11" s="135">
        <f ca="1">K10-(B13-L11)</f>
        <v>132571.41645369754</v>
      </c>
      <c r="L11" s="123">
        <f ca="1">(K10*(E8/100))</f>
        <v>36.126206241654046</v>
      </c>
      <c r="M11" s="133">
        <f ca="1">B13-L11</f>
        <v>363.17550877731605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399.30171501897007</v>
      </c>
      <c r="E13" s="126"/>
      <c r="F13" s="128"/>
      <c r="G13" s="137"/>
      <c r="L13" s="138">
        <f ca="1">SUM(L6:L11)</f>
        <v>218.23674381136595</v>
      </c>
      <c r="M13" s="138">
        <f ca="1">SUM(M6:M11)</f>
        <v>2177.5735463024548</v>
      </c>
    </row>
    <row r="14" spans="1:13" ht="12.75" customHeight="1">
      <c r="A14" t="s">
        <v>155</v>
      </c>
      <c r="B14" s="139">
        <f>B4*(E8/100)</f>
        <v>36.619285708333329</v>
      </c>
      <c r="E14" s="126"/>
    </row>
    <row r="15" spans="1:13" ht="12.75" customHeight="1">
      <c r="A15" t="s">
        <v>156</v>
      </c>
      <c r="B15" s="139">
        <f ca="1">B13-B14</f>
        <v>362.68242931063673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399.30327501897006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-0.17388888888888887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-1.5649999999999997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2177.5735463024548</v>
      </c>
      <c r="C22" s="142">
        <f ca="1">B22/170000</f>
        <v>1.2809256154720323E-2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132571.41645369754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0.22016813850766148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-8.2668138507661526E-2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9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F27" sqref="F27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-1.7388888888888888E-3</v>
      </c>
      <c r="C23" s="158">
        <f ca="1">Hipoteca!B$13</f>
        <v>399.30171501897007</v>
      </c>
      <c r="D23" s="157">
        <f ca="1">C23-C22</f>
        <v>0.9917150189700692</v>
      </c>
      <c r="F23" s="153">
        <f t="shared" ca="1" si="0"/>
        <v>2395.8102901138204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9.3767819349962166E-3</v>
      </c>
      <c r="C64" s="175">
        <f ca="1">AVERAGE(C2:C63)</f>
        <v>500.96098704631657</v>
      </c>
      <c r="D64" s="176">
        <f ca="1">AVERAGE(D3:D63)</f>
        <v>-21.368965951477616</v>
      </c>
      <c r="L64" s="176">
        <f>AVERAGE(L3:L63)</f>
        <v>-7008.5009999999993</v>
      </c>
    </row>
    <row r="66" spans="4:12">
      <c r="D66" t="s">
        <v>172</v>
      </c>
      <c r="F66" s="153">
        <f ca="1">SUM(F2:F63)</f>
        <v>66126.850290113813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10" workbookViewId="0">
      <selection activeCell="B502" sqref="B502:G5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B358" workbookViewId="0">
      <selection activeCell="H365" sqref="H365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30.24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900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253.59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33.75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45.83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60.78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</f>
        <v>17.399999999999999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0</v>
      </c>
      <c r="F380" s="69">
        <f>SUM(F366:F379)</f>
        <v>17.399999999999999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2018-08-14T14:53:29Z</dcterms:modified>
</cp:coreProperties>
</file>