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60646FA7-7A62-4441-AE0F-8FE64C309B6D}" xr6:coauthVersionLast="36" xr6:coauthVersionMax="36" xr10:uidLastSave="{00000000-0000-0000-0000-000000000000}"/>
  <bookViews>
    <workbookView xWindow="240" yWindow="105" windowWidth="14805" windowHeight="568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67" i="3" l="1"/>
  <c r="F366" i="3"/>
  <c r="I82" i="15"/>
  <c r="A82" i="15"/>
  <c r="B5" i="14"/>
  <c r="D47" i="3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4" i="1"/>
  <c r="D75" i="1" s="1"/>
  <c r="D76" i="1" s="1"/>
  <c r="A66" i="3" l="1"/>
  <c r="A80" i="3" s="1"/>
  <c r="K11" i="2"/>
  <c r="AZ18" i="1" l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I65" i="5"/>
  <c r="B62" i="5"/>
  <c r="I60" i="5"/>
  <c r="F60" i="5"/>
  <c r="E60" i="5"/>
  <c r="D60" i="5"/>
  <c r="B60" i="5"/>
  <c r="I55" i="5"/>
  <c r="I50" i="5"/>
  <c r="I45" i="5"/>
  <c r="B42" i="5"/>
  <c r="I40" i="5"/>
  <c r="F40" i="5"/>
  <c r="E40" i="5"/>
  <c r="D40" i="5"/>
  <c r="B40" i="5"/>
  <c r="I30" i="5"/>
  <c r="I25" i="5"/>
  <c r="B22" i="5"/>
  <c r="F20" i="5"/>
  <c r="E20" i="5"/>
  <c r="D20" i="5"/>
  <c r="B20" i="5"/>
  <c r="K19" i="5"/>
  <c r="L20" i="5" s="1"/>
  <c r="B2" i="5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I65" i="4"/>
  <c r="B62" i="4"/>
  <c r="I60" i="4"/>
  <c r="F60" i="4"/>
  <c r="E60" i="4"/>
  <c r="D60" i="4"/>
  <c r="B60" i="4"/>
  <c r="I55" i="4"/>
  <c r="I50" i="4"/>
  <c r="I45" i="4"/>
  <c r="B42" i="4"/>
  <c r="I40" i="4"/>
  <c r="F40" i="4"/>
  <c r="E40" i="4"/>
  <c r="D40" i="4"/>
  <c r="B40" i="4"/>
  <c r="L21" i="1" s="1"/>
  <c r="I30" i="4"/>
  <c r="I25" i="4"/>
  <c r="B22" i="4"/>
  <c r="F20" i="4"/>
  <c r="E20" i="4"/>
  <c r="D20" i="4"/>
  <c r="B20" i="4"/>
  <c r="K19" i="4"/>
  <c r="L20" i="4" s="1"/>
  <c r="B2" i="4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B426" i="3" s="1"/>
  <c r="B440" i="3" s="1"/>
  <c r="C17" i="1"/>
  <c r="B426" i="2" s="1"/>
  <c r="B440" i="2" s="1"/>
  <c r="A65" i="15" l="1"/>
  <c r="I64" i="15"/>
  <c r="AF41" i="1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E45" i="1" s="1"/>
  <c r="BH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D24" i="15" l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E24" i="15"/>
  <c r="E83" i="15" s="1"/>
  <c r="D83" i="15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K7" i="14" l="1"/>
  <c r="AX23" i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L8" i="14"/>
  <c r="K8" i="14" s="1"/>
  <c r="AL24" i="1"/>
  <c r="B46" i="1"/>
  <c r="C47" i="1" s="1"/>
  <c r="AX21" i="1" l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X26" i="1" l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</calcChain>
</file>

<file path=xl/sharedStrings.xml><?xml version="1.0" encoding="utf-8"?>
<sst xmlns="http://schemas.openxmlformats.org/spreadsheetml/2006/main" count="4861" uniqueCount="315">
  <si>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</si>
  <si>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</si>
  <si>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</si>
  <si>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</si>
  <si>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</si>
  <si>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</si>
  <si>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</si>
  <si>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</si>
  <si>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</si>
  <si>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</si>
  <si>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</si>
  <si>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</si>
  <si>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</si>
  <si>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</si>
  <si>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</si>
  <si>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</si>
  <si>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</si>
  <si>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</si>
  <si>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</si>
  <si>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</si>
  <si>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</si>
  <si>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</si>
  <si>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</si>
  <si>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</si>
  <si>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</si>
  <si>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</si>
  <si>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</si>
  <si>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</si>
  <si>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</si>
  <si>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</si>
  <si>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</si>
  <si>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</si>
  <si>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</si>
  <si>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</si>
  <si>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</si>
  <si>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</si>
  <si>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</si>
  <si>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</si>
  <si>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</si>
  <si>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</si>
  <si>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</si>
  <si>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</si>
  <si>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</si>
  <si>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</si>
  <si>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</si>
  <si>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</si>
  <si>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</si>
  <si>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</si>
  <si>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</si>
  <si>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</si>
  <si>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</si>
  <si>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</si>
  <si>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</si>
  <si>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</si>
  <si>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</si>
  <si>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</si>
  <si>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</si>
  <si>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</si>
  <si>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</si>
  <si>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</si>
  <si>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</si>
  <si>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</si>
  <si>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</si>
  <si>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</si>
  <si>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</si>
  <si>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</si>
  <si>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</si>
  <si>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</si>
  <si>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</si>
  <si>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</si>
  <si>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</si>
  <si>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</si>
  <si>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</si>
  <si>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</si>
  <si>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</si>
  <si>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</si>
  <si>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</si>
  <si>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</si>
  <si>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</si>
  <si>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</si>
  <si>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</si>
  <si>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</si>
  <si>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</si>
  <si>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</si>
  <si>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</si>
  <si>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</si>
  <si>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</si>
  <si>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</si>
  <si>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</si>
  <si>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</si>
  <si>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</si>
  <si>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</si>
  <si>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</si>
  <si>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</si>
  <si>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</si>
  <si>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</si>
  <si>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</si>
  <si>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</si>
  <si>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</si>
  <si>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</si>
  <si>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</si>
  <si>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</si>
  <si>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</si>
  <si>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</si>
  <si>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</si>
  <si>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</si>
  <si>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</si>
  <si>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</si>
  <si>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</si>
  <si>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</si>
  <si>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</si>
  <si>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</si>
  <si>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</si>
  <si>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</si>
  <si>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</si>
  <si>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</si>
  <si>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</si>
  <si>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</si>
  <si>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</si>
  <si>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</si>
  <si>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</si>
  <si>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</si>
  <si>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</si>
  <si>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</si>
  <si>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</si>
  <si>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</si>
  <si>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</si>
  <si>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</si>
  <si>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</si>
  <si>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</si>
  <si>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</si>
  <si>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</si>
  <si>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</si>
  <si>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</si>
  <si>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</si>
  <si>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</si>
  <si>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</si>
  <si>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</si>
  <si>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</si>
  <si>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</si>
  <si>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</si>
  <si>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</si>
  <si>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</si>
  <si>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</si>
  <si>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</si>
  <si>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</si>
  <si>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</si>
  <si>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</si>
  <si>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</si>
  <si>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</si>
  <si>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</si>
  <si>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</si>
  <si>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</si>
  <si>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</si>
  <si>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</si>
  <si>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</si>
  <si>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</si>
  <si>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</si>
  <si>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</si>
  <si>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</si>
  <si>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</si>
  <si>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</si>
  <si>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</si>
  <si>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</si>
  <si>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</si>
  <si>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</si>
  <si>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</si>
  <si>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</si>
  <si>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</si>
  <si>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</si>
  <si>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</si>
  <si>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</si>
  <si>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</si>
  <si>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</si>
  <si>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</si>
  <si>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</si>
  <si>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</si>
  <si>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</si>
  <si>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</si>
  <si>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</si>
  <si>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</si>
  <si>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</si>
  <si>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</si>
  <si>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</si>
  <si>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</si>
  <si>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</si>
  <si>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</si>
  <si>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</si>
  <si>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</si>
  <si>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</si>
  <si>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</si>
  <si>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</si>
  <si>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</si>
  <si>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</si>
  <si>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</si>
  <si>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</si>
  <si>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</si>
  <si>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</si>
  <si>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</si>
  <si>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</si>
  <si>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</si>
  <si>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</si>
  <si>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</si>
  <si>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</si>
  <si>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</si>
  <si>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</si>
  <si>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</si>
  <si>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</si>
  <si>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</si>
  <si>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</si>
  <si>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</si>
  <si>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</si>
  <si>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</si>
  <si>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</si>
  <si>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</si>
  <si>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</si>
  <si>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</si>
  <si>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</si>
  <si>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</si>
  <si>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</si>
  <si>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</si>
  <si>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</si>
  <si>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</si>
  <si>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</si>
  <si>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</si>
  <si>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</si>
  <si>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</si>
  <si>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</si>
  <si>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</si>
  <si>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</si>
  <si>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</si>
  <si>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</si>
  <si>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</si>
  <si>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</si>
  <si>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</si>
  <si>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</si>
  <si>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</si>
  <si>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</si>
  <si>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</si>
  <si>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</si>
  <si>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</si>
  <si>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</si>
  <si>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</si>
  <si>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</si>
  <si>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</si>
  <si>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</si>
  <si>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</si>
  <si>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</si>
  <si>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</si>
  <si>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</si>
  <si>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</si>
  <si>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</si>
  <si>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</si>
  <si>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</si>
  <si>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</si>
  <si>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</si>
  <si>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</si>
  <si>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</si>
  <si>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</si>
  <si>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</si>
  <si>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</si>
  <si>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</si>
  <si>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</si>
  <si>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</si>
  <si>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</si>
  <si>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</si>
  <si>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</si>
  <si>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</si>
  <si>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</si>
  <si>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</si>
  <si>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</si>
  <si>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</si>
  <si>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</si>
  <si>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</si>
  <si>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</si>
  <si>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</si>
  <si>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</si>
  <si>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TODO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</si>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</sst>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6"/>
  <sheetViews>
    <sheetView tabSelected="1" topLeftCell="A10" zoomScaleNormal="100" workbookViewId="0">
      <pane xSplit="1" topLeftCell="F1" activePane="topRight" state="frozen"/>
      <selection pane="topRight" activeCell="I45" sqref="I45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10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73" t="s">
        <v>0</v>
      </c>
      <c r="D4" s="274"/>
      <c r="E4" s="274"/>
      <c r="F4" s="275"/>
      <c r="G4" s="273" t="s">
        <v>1</v>
      </c>
      <c r="H4" s="274"/>
      <c r="I4" s="274"/>
      <c r="J4" s="275"/>
      <c r="K4" s="273" t="s">
        <v>2</v>
      </c>
      <c r="L4" s="274"/>
      <c r="M4" s="274"/>
      <c r="N4" s="275"/>
      <c r="O4" s="273" t="s">
        <v>3</v>
      </c>
      <c r="P4" s="274"/>
      <c r="Q4" s="274"/>
      <c r="R4" s="275"/>
      <c r="S4" s="273" t="s">
        <v>71</v>
      </c>
      <c r="T4" s="274"/>
      <c r="U4" s="274"/>
      <c r="V4" s="275"/>
      <c r="W4" s="273" t="s">
        <v>70</v>
      </c>
      <c r="X4" s="274"/>
      <c r="Y4" s="274"/>
      <c r="Z4" s="275"/>
      <c r="AA4" s="273" t="s">
        <v>72</v>
      </c>
      <c r="AB4" s="274"/>
      <c r="AC4" s="274"/>
      <c r="AD4" s="275"/>
      <c r="AE4" s="273" t="s">
        <v>73</v>
      </c>
      <c r="AF4" s="274"/>
      <c r="AG4" s="274"/>
      <c r="AH4" s="275"/>
      <c r="AI4" s="273" t="s">
        <v>75</v>
      </c>
      <c r="AJ4" s="274"/>
      <c r="AK4" s="274"/>
      <c r="AL4" s="275"/>
      <c r="AM4" s="273" t="s">
        <v>77</v>
      </c>
      <c r="AN4" s="274"/>
      <c r="AO4" s="274"/>
      <c r="AP4" s="275"/>
      <c r="AQ4" s="273" t="s">
        <v>79</v>
      </c>
      <c r="AR4" s="274"/>
      <c r="AS4" s="274"/>
      <c r="AT4" s="275"/>
      <c r="AU4" s="273" t="s">
        <v>84</v>
      </c>
      <c r="AV4" s="274"/>
      <c r="AW4" s="274"/>
      <c r="AX4" s="27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82">
        <f>'01'!K19</f>
        <v>26383.54</v>
      </c>
      <c r="D5" s="280"/>
      <c r="E5" s="280"/>
      <c r="F5" s="281"/>
      <c r="G5" s="282">
        <f>'02'!K19</f>
        <v>25229.379999999997</v>
      </c>
      <c r="H5" s="280"/>
      <c r="I5" s="280"/>
      <c r="J5" s="281"/>
      <c r="K5" s="279">
        <f>'03'!K19</f>
        <v>15101.890000000001</v>
      </c>
      <c r="L5" s="280"/>
      <c r="M5" s="280"/>
      <c r="N5" s="281"/>
      <c r="O5" s="279">
        <f>'04'!K19</f>
        <v>15101.890000000001</v>
      </c>
      <c r="P5" s="280"/>
      <c r="Q5" s="280"/>
      <c r="R5" s="281"/>
      <c r="S5" s="279">
        <f>'05'!K19</f>
        <v>15101.890000000001</v>
      </c>
      <c r="T5" s="280"/>
      <c r="U5" s="280"/>
      <c r="V5" s="281"/>
      <c r="W5" s="279">
        <f>'06'!K19</f>
        <v>15101.890000000001</v>
      </c>
      <c r="X5" s="280"/>
      <c r="Y5" s="280"/>
      <c r="Z5" s="281"/>
      <c r="AA5" s="279">
        <f>'07'!K19</f>
        <v>15101.890000000001</v>
      </c>
      <c r="AB5" s="280"/>
      <c r="AC5" s="280"/>
      <c r="AD5" s="281"/>
      <c r="AE5" s="279">
        <f>'08'!K19</f>
        <v>15101.890000000001</v>
      </c>
      <c r="AF5" s="280"/>
      <c r="AG5" s="280"/>
      <c r="AH5" s="281"/>
      <c r="AI5" s="279">
        <f>'09'!K19</f>
        <v>15101.890000000001</v>
      </c>
      <c r="AJ5" s="280"/>
      <c r="AK5" s="280"/>
      <c r="AL5" s="281"/>
      <c r="AM5" s="279">
        <f>'10'!K19</f>
        <v>15101.890000000001</v>
      </c>
      <c r="AN5" s="280"/>
      <c r="AO5" s="280"/>
      <c r="AP5" s="281"/>
      <c r="AQ5" s="279">
        <f>'11'!K19</f>
        <v>15101.890000000001</v>
      </c>
      <c r="AR5" s="280"/>
      <c r="AS5" s="280"/>
      <c r="AT5" s="281"/>
      <c r="AU5" s="279">
        <f>'12'!K19</f>
        <v>15101.890000000001</v>
      </c>
      <c r="AV5" s="280"/>
      <c r="AW5" s="280"/>
      <c r="AX5" s="281"/>
      <c r="AZ5" s="6"/>
      <c r="BA5" s="7"/>
      <c r="BB5" s="1"/>
      <c r="BC5" s="1"/>
    </row>
    <row r="6" spans="1:55" ht="17.25" thickTop="1" thickBot="1">
      <c r="A6" s="205"/>
      <c r="B6" s="8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76" t="s">
        <v>233</v>
      </c>
      <c r="D7" s="277"/>
      <c r="E7" s="277"/>
      <c r="F7" s="278"/>
      <c r="G7" s="276" t="s">
        <v>233</v>
      </c>
      <c r="H7" s="277"/>
      <c r="I7" s="277"/>
      <c r="J7" s="278"/>
      <c r="K7" s="276" t="s">
        <v>233</v>
      </c>
      <c r="L7" s="277"/>
      <c r="M7" s="277"/>
      <c r="N7" s="278"/>
      <c r="O7" s="276" t="s">
        <v>233</v>
      </c>
      <c r="P7" s="277"/>
      <c r="Q7" s="277"/>
      <c r="R7" s="278"/>
      <c r="S7" s="276" t="s">
        <v>233</v>
      </c>
      <c r="T7" s="277"/>
      <c r="U7" s="277"/>
      <c r="V7" s="278"/>
      <c r="W7" s="276" t="s">
        <v>233</v>
      </c>
      <c r="X7" s="277"/>
      <c r="Y7" s="277"/>
      <c r="Z7" s="278"/>
      <c r="AA7" s="276" t="s">
        <v>233</v>
      </c>
      <c r="AB7" s="277"/>
      <c r="AC7" s="277"/>
      <c r="AD7" s="278"/>
      <c r="AE7" s="276" t="s">
        <v>233</v>
      </c>
      <c r="AF7" s="277"/>
      <c r="AG7" s="277"/>
      <c r="AH7" s="278"/>
      <c r="AI7" s="276" t="s">
        <v>233</v>
      </c>
      <c r="AJ7" s="277"/>
      <c r="AK7" s="277"/>
      <c r="AL7" s="278"/>
      <c r="AM7" s="276" t="s">
        <v>233</v>
      </c>
      <c r="AN7" s="277"/>
      <c r="AO7" s="277"/>
      <c r="AP7" s="278"/>
      <c r="AQ7" s="276" t="s">
        <v>233</v>
      </c>
      <c r="AR7" s="277"/>
      <c r="AS7" s="277"/>
      <c r="AT7" s="278"/>
      <c r="AU7" s="276" t="s">
        <v>233</v>
      </c>
      <c r="AV7" s="277"/>
      <c r="AW7" s="277"/>
      <c r="AX7" s="278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83">
        <f>SUM('01'!L25:'01'!L29)</f>
        <v>2593.46</v>
      </c>
      <c r="D8" s="284"/>
      <c r="E8" s="284"/>
      <c r="F8" s="285"/>
      <c r="G8" s="283">
        <f>SUM('02'!L25:'02'!L29)</f>
        <v>0</v>
      </c>
      <c r="H8" s="284"/>
      <c r="I8" s="284"/>
      <c r="J8" s="285"/>
      <c r="K8" s="283">
        <f>SUM('03'!L25:'03'!L29)</f>
        <v>0</v>
      </c>
      <c r="L8" s="284"/>
      <c r="M8" s="284"/>
      <c r="N8" s="285"/>
      <c r="O8" s="283">
        <f>SUM('04'!L25:'04'!L29)</f>
        <v>0</v>
      </c>
      <c r="P8" s="284"/>
      <c r="Q8" s="284"/>
      <c r="R8" s="285"/>
      <c r="S8" s="283">
        <f>SUM('05'!L25:'05'!L29)</f>
        <v>0</v>
      </c>
      <c r="T8" s="284"/>
      <c r="U8" s="284"/>
      <c r="V8" s="285"/>
      <c r="W8" s="283">
        <f>SUM('06'!L25:'06'!L29)</f>
        <v>0</v>
      </c>
      <c r="X8" s="284"/>
      <c r="Y8" s="284"/>
      <c r="Z8" s="285"/>
      <c r="AA8" s="283">
        <f>SUM('07'!L25:'07'!L29)</f>
        <v>0</v>
      </c>
      <c r="AB8" s="284"/>
      <c r="AC8" s="284"/>
      <c r="AD8" s="285"/>
      <c r="AE8" s="283">
        <f>SUM('08'!L25:'08'!L29)</f>
        <v>0</v>
      </c>
      <c r="AF8" s="284"/>
      <c r="AG8" s="284"/>
      <c r="AH8" s="285"/>
      <c r="AI8" s="283">
        <f>SUM('09'!L25:'09'!L29)</f>
        <v>0</v>
      </c>
      <c r="AJ8" s="284"/>
      <c r="AK8" s="284"/>
      <c r="AL8" s="285"/>
      <c r="AM8" s="283">
        <f>SUM('10'!L25:'10'!L29)</f>
        <v>0</v>
      </c>
      <c r="AN8" s="284"/>
      <c r="AO8" s="284"/>
      <c r="AP8" s="285"/>
      <c r="AQ8" s="283">
        <f>SUM('11'!L25:'11'!L29)</f>
        <v>0</v>
      </c>
      <c r="AR8" s="284"/>
      <c r="AS8" s="284"/>
      <c r="AT8" s="285"/>
      <c r="AU8" s="283">
        <f>SUM('12'!L25:'12'!L29)</f>
        <v>0</v>
      </c>
      <c r="AV8" s="284"/>
      <c r="AW8" s="284"/>
      <c r="AX8" s="285"/>
      <c r="AZ8" s="209">
        <f>SUM(C8:AU8)</f>
        <v>2593.46</v>
      </c>
      <c r="BA8" s="112">
        <f t="shared" ref="BA8:BA16" ca="1" si="0">AZ8/BC$17</f>
        <v>1296.73</v>
      </c>
      <c r="BB8" s="1"/>
      <c r="BC8" s="1"/>
    </row>
    <row r="9" spans="1:55" ht="15.75">
      <c r="A9" s="189" t="s">
        <v>216</v>
      </c>
      <c r="B9" s="193">
        <v>5835.74</v>
      </c>
      <c r="C9" s="270">
        <f>SUM('01'!L30:'01'!L34)</f>
        <v>655.59</v>
      </c>
      <c r="D9" s="271"/>
      <c r="E9" s="271"/>
      <c r="F9" s="272"/>
      <c r="G9" s="270">
        <f>SUM('02'!L30:'02'!L34)</f>
        <v>0</v>
      </c>
      <c r="H9" s="271"/>
      <c r="I9" s="271"/>
      <c r="J9" s="272"/>
      <c r="K9" s="270">
        <f>SUM('03'!L30:'03'!L34)</f>
        <v>0</v>
      </c>
      <c r="L9" s="271"/>
      <c r="M9" s="271"/>
      <c r="N9" s="272"/>
      <c r="O9" s="270">
        <f>SUM('04'!L30:'04'!L34)</f>
        <v>0</v>
      </c>
      <c r="P9" s="271"/>
      <c r="Q9" s="271"/>
      <c r="R9" s="272"/>
      <c r="S9" s="270">
        <f>SUM('05'!L30:'05'!L34)</f>
        <v>0</v>
      </c>
      <c r="T9" s="271"/>
      <c r="U9" s="271"/>
      <c r="V9" s="272"/>
      <c r="W9" s="270">
        <f>SUM('06'!L30:'06'!L34)</f>
        <v>0</v>
      </c>
      <c r="X9" s="271"/>
      <c r="Y9" s="271"/>
      <c r="Z9" s="272"/>
      <c r="AA9" s="270">
        <f>SUM('07'!L30:'07'!L34)</f>
        <v>0</v>
      </c>
      <c r="AB9" s="271"/>
      <c r="AC9" s="271"/>
      <c r="AD9" s="272"/>
      <c r="AE9" s="270">
        <f>SUM('08'!L30:'08'!L34)</f>
        <v>0</v>
      </c>
      <c r="AF9" s="271"/>
      <c r="AG9" s="271"/>
      <c r="AH9" s="272"/>
      <c r="AI9" s="270">
        <f>SUM('09'!L30:'09'!L34)</f>
        <v>0</v>
      </c>
      <c r="AJ9" s="271"/>
      <c r="AK9" s="271"/>
      <c r="AL9" s="272"/>
      <c r="AM9" s="270">
        <f>SUM('10'!L30:'10'!L34)</f>
        <v>0</v>
      </c>
      <c r="AN9" s="271"/>
      <c r="AO9" s="271"/>
      <c r="AP9" s="272"/>
      <c r="AQ9" s="270">
        <f>SUM('11'!L30:'11'!L34)</f>
        <v>0</v>
      </c>
      <c r="AR9" s="271"/>
      <c r="AS9" s="271"/>
      <c r="AT9" s="272"/>
      <c r="AU9" s="270">
        <f>SUM('12'!L30:'12'!L34)</f>
        <v>0</v>
      </c>
      <c r="AV9" s="271"/>
      <c r="AW9" s="271"/>
      <c r="AX9" s="272"/>
      <c r="AZ9" s="210">
        <f t="shared" ref="AZ9:AZ16" si="1">SUM(C9:AW9)</f>
        <v>655.59</v>
      </c>
      <c r="BA9" s="112">
        <f t="shared" ca="1" si="0"/>
        <v>327.79500000000002</v>
      </c>
      <c r="BB9" s="1"/>
      <c r="BC9" s="1"/>
    </row>
    <row r="10" spans="1:55" ht="15.75">
      <c r="A10" s="190" t="s">
        <v>221</v>
      </c>
      <c r="B10" s="194">
        <v>2731.18</v>
      </c>
      <c r="C10" s="270">
        <f>SUM('01'!L35:'01'!L39)</f>
        <v>120.85</v>
      </c>
      <c r="D10" s="271"/>
      <c r="E10" s="271"/>
      <c r="F10" s="272"/>
      <c r="G10" s="270">
        <f>SUM('02'!L35:'02'!L39)</f>
        <v>0</v>
      </c>
      <c r="H10" s="271"/>
      <c r="I10" s="271"/>
      <c r="J10" s="272"/>
      <c r="K10" s="270">
        <f>SUM('03'!L35:'03'!L39)</f>
        <v>0</v>
      </c>
      <c r="L10" s="271"/>
      <c r="M10" s="271"/>
      <c r="N10" s="272"/>
      <c r="O10" s="270">
        <f>SUM('04'!L35:'04'!L39)</f>
        <v>0</v>
      </c>
      <c r="P10" s="271"/>
      <c r="Q10" s="271"/>
      <c r="R10" s="272"/>
      <c r="S10" s="270">
        <f>SUM('05'!L35:'05'!L39)</f>
        <v>0</v>
      </c>
      <c r="T10" s="271"/>
      <c r="U10" s="271"/>
      <c r="V10" s="272"/>
      <c r="W10" s="286">
        <f>SUM('06'!L35:'06'!L39)</f>
        <v>0</v>
      </c>
      <c r="X10" s="287"/>
      <c r="Y10" s="287"/>
      <c r="Z10" s="288"/>
      <c r="AA10" s="286">
        <f>SUM('07'!L35:'07'!L39)</f>
        <v>0</v>
      </c>
      <c r="AB10" s="287"/>
      <c r="AC10" s="287"/>
      <c r="AD10" s="288"/>
      <c r="AE10" s="286">
        <f>SUM('08'!L35:'08'!L39)</f>
        <v>0</v>
      </c>
      <c r="AF10" s="287"/>
      <c r="AG10" s="287"/>
      <c r="AH10" s="288"/>
      <c r="AI10" s="286">
        <f>SUM('09'!L35:'09'!L39)</f>
        <v>0</v>
      </c>
      <c r="AJ10" s="287"/>
      <c r="AK10" s="287"/>
      <c r="AL10" s="288"/>
      <c r="AM10" s="286">
        <f>SUM('10'!L35:'10'!L39)</f>
        <v>0</v>
      </c>
      <c r="AN10" s="287"/>
      <c r="AO10" s="287"/>
      <c r="AP10" s="288"/>
      <c r="AQ10" s="286">
        <f>SUM('11'!L35:'11'!L39)</f>
        <v>0</v>
      </c>
      <c r="AR10" s="287"/>
      <c r="AS10" s="287"/>
      <c r="AT10" s="288"/>
      <c r="AU10" s="286">
        <f>SUM('12'!L35:'12'!L39)</f>
        <v>0</v>
      </c>
      <c r="AV10" s="287"/>
      <c r="AW10" s="287"/>
      <c r="AX10" s="288"/>
      <c r="AZ10" s="211">
        <f t="shared" si="1"/>
        <v>120.85</v>
      </c>
      <c r="BA10" s="112">
        <f t="shared" ca="1" si="0"/>
        <v>60.424999999999997</v>
      </c>
      <c r="BB10" s="1"/>
      <c r="BC10" s="1"/>
    </row>
    <row r="11" spans="1:55" ht="15.75">
      <c r="A11" s="189" t="s">
        <v>217</v>
      </c>
      <c r="B11" s="193">
        <v>2906.88</v>
      </c>
      <c r="C11" s="270">
        <f>SUM('01'!L40:'01'!L44)</f>
        <v>3.87</v>
      </c>
      <c r="D11" s="271"/>
      <c r="E11" s="271"/>
      <c r="F11" s="272"/>
      <c r="G11" s="270">
        <f>SUM('02'!L40:'02'!L44)</f>
        <v>0</v>
      </c>
      <c r="H11" s="271"/>
      <c r="I11" s="271"/>
      <c r="J11" s="272"/>
      <c r="K11" s="270">
        <f>SUM('03'!L40:'03'!L44)</f>
        <v>0</v>
      </c>
      <c r="L11" s="271"/>
      <c r="M11" s="271"/>
      <c r="N11" s="272"/>
      <c r="O11" s="270">
        <f>SUM('04'!L40:'04'!L44)</f>
        <v>0</v>
      </c>
      <c r="P11" s="271"/>
      <c r="Q11" s="271"/>
      <c r="R11" s="272"/>
      <c r="S11" s="270">
        <f>SUM('05'!L40:'05'!L44)</f>
        <v>0</v>
      </c>
      <c r="T11" s="271"/>
      <c r="U11" s="271"/>
      <c r="V11" s="272"/>
      <c r="W11" s="270">
        <f>SUM('06'!L40:'06'!L44)</f>
        <v>0</v>
      </c>
      <c r="X11" s="271"/>
      <c r="Y11" s="271"/>
      <c r="Z11" s="272"/>
      <c r="AA11" s="270">
        <f>SUM('07'!L40:'07'!L44)</f>
        <v>0</v>
      </c>
      <c r="AB11" s="271"/>
      <c r="AC11" s="271"/>
      <c r="AD11" s="272"/>
      <c r="AE11" s="270">
        <f>SUM('08'!L40:'08'!L44)</f>
        <v>0</v>
      </c>
      <c r="AF11" s="271"/>
      <c r="AG11" s="271"/>
      <c r="AH11" s="272"/>
      <c r="AI11" s="270">
        <f>SUM('09'!L40:'09'!L44)</f>
        <v>0</v>
      </c>
      <c r="AJ11" s="271"/>
      <c r="AK11" s="271"/>
      <c r="AL11" s="272"/>
      <c r="AM11" s="270">
        <f>SUM('10'!L40:'10'!L44)</f>
        <v>0</v>
      </c>
      <c r="AN11" s="271"/>
      <c r="AO11" s="271"/>
      <c r="AP11" s="272"/>
      <c r="AQ11" s="270">
        <f>SUM('11'!L40:'11'!L44)</f>
        <v>0</v>
      </c>
      <c r="AR11" s="271"/>
      <c r="AS11" s="271"/>
      <c r="AT11" s="272"/>
      <c r="AU11" s="270">
        <f>SUM('12'!L40:'12'!L44)</f>
        <v>0</v>
      </c>
      <c r="AV11" s="271"/>
      <c r="AW11" s="271"/>
      <c r="AX11" s="272"/>
      <c r="AZ11" s="210">
        <f t="shared" si="1"/>
        <v>3.87</v>
      </c>
      <c r="BA11" s="112">
        <f t="shared" ca="1" si="0"/>
        <v>1.9350000000000001</v>
      </c>
      <c r="BB11" s="1"/>
      <c r="BC11" s="1"/>
    </row>
    <row r="12" spans="1:55" ht="15.75">
      <c r="A12" s="190" t="s">
        <v>23</v>
      </c>
      <c r="B12" s="194">
        <v>3325.31</v>
      </c>
      <c r="C12" s="270">
        <f>SUM('01'!L45:'01'!L49)</f>
        <v>137</v>
      </c>
      <c r="D12" s="271"/>
      <c r="E12" s="271"/>
      <c r="F12" s="272"/>
      <c r="G12" s="270">
        <f>SUM('02'!L45:'02'!L49)</f>
        <v>0</v>
      </c>
      <c r="H12" s="271"/>
      <c r="I12" s="271"/>
      <c r="J12" s="272"/>
      <c r="K12" s="270">
        <f>SUM('03'!L45:'03'!L49)</f>
        <v>0</v>
      </c>
      <c r="L12" s="271"/>
      <c r="M12" s="271"/>
      <c r="N12" s="272"/>
      <c r="O12" s="270">
        <f>SUM('04'!L45:'04'!L49)</f>
        <v>0</v>
      </c>
      <c r="P12" s="271"/>
      <c r="Q12" s="271"/>
      <c r="R12" s="272"/>
      <c r="S12" s="270">
        <f>SUM('05'!L45:'05'!L49)</f>
        <v>0</v>
      </c>
      <c r="T12" s="271"/>
      <c r="U12" s="271"/>
      <c r="V12" s="272"/>
      <c r="W12" s="286">
        <f>SUM('06'!L45:'06'!L49)</f>
        <v>0</v>
      </c>
      <c r="X12" s="287"/>
      <c r="Y12" s="287"/>
      <c r="Z12" s="288"/>
      <c r="AA12" s="286">
        <f>SUM('07'!L45:'07'!L49)</f>
        <v>0</v>
      </c>
      <c r="AB12" s="287"/>
      <c r="AC12" s="287"/>
      <c r="AD12" s="288"/>
      <c r="AE12" s="286">
        <f>SUM('08'!L45:'08'!L49)</f>
        <v>0</v>
      </c>
      <c r="AF12" s="287"/>
      <c r="AG12" s="287"/>
      <c r="AH12" s="288"/>
      <c r="AI12" s="286">
        <f>SUM('09'!L45:'09'!L49)</f>
        <v>0</v>
      </c>
      <c r="AJ12" s="287"/>
      <c r="AK12" s="287"/>
      <c r="AL12" s="288"/>
      <c r="AM12" s="286">
        <f>SUM('10'!L45:'10'!L49)</f>
        <v>0</v>
      </c>
      <c r="AN12" s="287"/>
      <c r="AO12" s="287"/>
      <c r="AP12" s="288"/>
      <c r="AQ12" s="286">
        <f>SUM('11'!L45:'11'!L49)</f>
        <v>0</v>
      </c>
      <c r="AR12" s="287"/>
      <c r="AS12" s="287"/>
      <c r="AT12" s="288"/>
      <c r="AU12" s="286">
        <f>SUM('12'!L45:'12'!L49)</f>
        <v>0</v>
      </c>
      <c r="AV12" s="287"/>
      <c r="AW12" s="287"/>
      <c r="AX12" s="288"/>
      <c r="AZ12" s="211">
        <f t="shared" si="1"/>
        <v>137</v>
      </c>
      <c r="BA12" s="112">
        <f t="shared" ca="1" si="0"/>
        <v>68.5</v>
      </c>
      <c r="BB12" s="1"/>
      <c r="BC12" s="1"/>
    </row>
    <row r="13" spans="1:55" ht="15.75">
      <c r="A13" s="189" t="s">
        <v>218</v>
      </c>
      <c r="B13" s="195">
        <v>3443.8099999999995</v>
      </c>
      <c r="C13" s="270">
        <f>SUM('01'!L50:'01'!L54)</f>
        <v>95.8</v>
      </c>
      <c r="D13" s="271"/>
      <c r="E13" s="271"/>
      <c r="F13" s="272"/>
      <c r="G13" s="270">
        <f>SUM('02'!L50:'02'!L54)</f>
        <v>0</v>
      </c>
      <c r="H13" s="271"/>
      <c r="I13" s="271"/>
      <c r="J13" s="272"/>
      <c r="K13" s="270">
        <f>SUM('03'!L50:'03'!L54)</f>
        <v>0</v>
      </c>
      <c r="L13" s="271"/>
      <c r="M13" s="271"/>
      <c r="N13" s="272"/>
      <c r="O13" s="270">
        <f>SUM('04'!L50:'04'!L54)</f>
        <v>0</v>
      </c>
      <c r="P13" s="271"/>
      <c r="Q13" s="271"/>
      <c r="R13" s="272"/>
      <c r="S13" s="270">
        <f>SUM('05'!L50:'05'!L54)</f>
        <v>0</v>
      </c>
      <c r="T13" s="271"/>
      <c r="U13" s="271"/>
      <c r="V13" s="272"/>
      <c r="W13" s="270">
        <f>SUM('06'!L50:'06'!L54)</f>
        <v>0</v>
      </c>
      <c r="X13" s="271"/>
      <c r="Y13" s="271"/>
      <c r="Z13" s="272"/>
      <c r="AA13" s="270">
        <f>SUM('07'!L50:'07'!L54)</f>
        <v>0</v>
      </c>
      <c r="AB13" s="271"/>
      <c r="AC13" s="271"/>
      <c r="AD13" s="272"/>
      <c r="AE13" s="270">
        <f>SUM('08'!L50:'08'!L54)</f>
        <v>0</v>
      </c>
      <c r="AF13" s="271"/>
      <c r="AG13" s="271"/>
      <c r="AH13" s="272"/>
      <c r="AI13" s="270">
        <f>SUM('09'!L50:'09'!L54)</f>
        <v>0</v>
      </c>
      <c r="AJ13" s="271"/>
      <c r="AK13" s="271"/>
      <c r="AL13" s="272"/>
      <c r="AM13" s="270">
        <f>SUM('10'!L50:'10'!L54)</f>
        <v>0</v>
      </c>
      <c r="AN13" s="271"/>
      <c r="AO13" s="271"/>
      <c r="AP13" s="272"/>
      <c r="AQ13" s="270">
        <f>SUM('11'!L50:'11'!L54)</f>
        <v>0</v>
      </c>
      <c r="AR13" s="271"/>
      <c r="AS13" s="271"/>
      <c r="AT13" s="272"/>
      <c r="AU13" s="270">
        <f>SUM('12'!L50:'12'!L54)</f>
        <v>0</v>
      </c>
      <c r="AV13" s="271"/>
      <c r="AW13" s="271"/>
      <c r="AX13" s="272"/>
      <c r="AZ13" s="212">
        <f t="shared" si="1"/>
        <v>95.8</v>
      </c>
      <c r="BA13" s="112">
        <f t="shared" ca="1" si="0"/>
        <v>47.9</v>
      </c>
      <c r="BB13" s="1"/>
      <c r="BC13" s="1"/>
    </row>
    <row r="14" spans="1:55" ht="15.75">
      <c r="A14" s="190" t="s">
        <v>219</v>
      </c>
      <c r="B14" s="194">
        <v>364.62</v>
      </c>
      <c r="C14" s="270">
        <f>SUM('01'!L55:'01'!L59)</f>
        <v>0</v>
      </c>
      <c r="D14" s="271"/>
      <c r="E14" s="271"/>
      <c r="F14" s="272"/>
      <c r="G14" s="270">
        <f>SUM('02'!L55:'02'!L59)</f>
        <v>0</v>
      </c>
      <c r="H14" s="271"/>
      <c r="I14" s="271"/>
      <c r="J14" s="272"/>
      <c r="K14" s="270">
        <f>SUM('03'!L55:'03'!L59)</f>
        <v>0</v>
      </c>
      <c r="L14" s="271"/>
      <c r="M14" s="271"/>
      <c r="N14" s="272"/>
      <c r="O14" s="270">
        <f>SUM('04'!L55:'04'!L59)</f>
        <v>0</v>
      </c>
      <c r="P14" s="271"/>
      <c r="Q14" s="271"/>
      <c r="R14" s="272"/>
      <c r="S14" s="270">
        <f>SUM('05'!L55:'05'!L59)</f>
        <v>0</v>
      </c>
      <c r="T14" s="271"/>
      <c r="U14" s="271"/>
      <c r="V14" s="272"/>
      <c r="W14" s="286">
        <f>SUM('06'!L55:'06'!L59)</f>
        <v>0</v>
      </c>
      <c r="X14" s="287"/>
      <c r="Y14" s="287"/>
      <c r="Z14" s="288"/>
      <c r="AA14" s="286">
        <f>SUM('07'!L55:'07'!L59)</f>
        <v>0</v>
      </c>
      <c r="AB14" s="287"/>
      <c r="AC14" s="287"/>
      <c r="AD14" s="288"/>
      <c r="AE14" s="286">
        <f>SUM('08'!L55:'08'!L59)</f>
        <v>0</v>
      </c>
      <c r="AF14" s="287"/>
      <c r="AG14" s="287"/>
      <c r="AH14" s="288"/>
      <c r="AI14" s="286">
        <f>SUM('09'!L55:'09'!L59)</f>
        <v>0</v>
      </c>
      <c r="AJ14" s="287"/>
      <c r="AK14" s="287"/>
      <c r="AL14" s="288"/>
      <c r="AM14" s="286">
        <f>SUM('10'!L55:'10'!L59)</f>
        <v>0</v>
      </c>
      <c r="AN14" s="287"/>
      <c r="AO14" s="287"/>
      <c r="AP14" s="288"/>
      <c r="AQ14" s="286">
        <f>SUM('11'!L55:'11'!L59)</f>
        <v>0</v>
      </c>
      <c r="AR14" s="287"/>
      <c r="AS14" s="287"/>
      <c r="AT14" s="288"/>
      <c r="AU14" s="286">
        <f>SUM('12'!L55:'12'!L59)</f>
        <v>0</v>
      </c>
      <c r="AV14" s="287"/>
      <c r="AW14" s="287"/>
      <c r="AX14" s="288"/>
      <c r="AZ14" s="211">
        <f t="shared" si="1"/>
        <v>0</v>
      </c>
      <c r="BA14" s="112">
        <f t="shared" ca="1" si="0"/>
        <v>0</v>
      </c>
      <c r="BB14" s="3"/>
      <c r="BC14" s="3"/>
    </row>
    <row r="15" spans="1:55" ht="15.75">
      <c r="A15" s="189" t="s">
        <v>220</v>
      </c>
      <c r="B15" s="193">
        <v>7756.04</v>
      </c>
      <c r="C15" s="270">
        <f>SUM('01'!L60:'01'!L64)</f>
        <v>0</v>
      </c>
      <c r="D15" s="271"/>
      <c r="E15" s="271"/>
      <c r="F15" s="272"/>
      <c r="G15" s="270">
        <f>SUM('02'!L60:'02'!L64)</f>
        <v>0</v>
      </c>
      <c r="H15" s="271"/>
      <c r="I15" s="271"/>
      <c r="J15" s="272"/>
      <c r="K15" s="270">
        <f>SUM('03'!L60:'03'!L64)</f>
        <v>0</v>
      </c>
      <c r="L15" s="271"/>
      <c r="M15" s="271"/>
      <c r="N15" s="272"/>
      <c r="O15" s="270">
        <f>SUM('04'!L60:'04'!L64)</f>
        <v>0</v>
      </c>
      <c r="P15" s="271"/>
      <c r="Q15" s="271"/>
      <c r="R15" s="272"/>
      <c r="S15" s="270">
        <f>SUM('05'!L60:'05'!L64)</f>
        <v>0</v>
      </c>
      <c r="T15" s="271"/>
      <c r="U15" s="271"/>
      <c r="V15" s="272"/>
      <c r="W15" s="270">
        <f>SUM('06'!L60:'06'!L64)</f>
        <v>0</v>
      </c>
      <c r="X15" s="271"/>
      <c r="Y15" s="271"/>
      <c r="Z15" s="272"/>
      <c r="AA15" s="270">
        <f>SUM('07'!L60:'07'!L64)</f>
        <v>0</v>
      </c>
      <c r="AB15" s="271"/>
      <c r="AC15" s="271"/>
      <c r="AD15" s="272"/>
      <c r="AE15" s="270">
        <f>SUM('08'!L60:'08'!L64)</f>
        <v>0</v>
      </c>
      <c r="AF15" s="271"/>
      <c r="AG15" s="271"/>
      <c r="AH15" s="272"/>
      <c r="AI15" s="270">
        <f>SUM('09'!L60:'09'!L64)</f>
        <v>0</v>
      </c>
      <c r="AJ15" s="271"/>
      <c r="AK15" s="271"/>
      <c r="AL15" s="272"/>
      <c r="AM15" s="270">
        <f>SUM('10'!L60:'10'!L64)</f>
        <v>0</v>
      </c>
      <c r="AN15" s="271"/>
      <c r="AO15" s="271"/>
      <c r="AP15" s="272"/>
      <c r="AQ15" s="270">
        <f>SUM('11'!L60:'11'!L64)</f>
        <v>0</v>
      </c>
      <c r="AR15" s="271"/>
      <c r="AS15" s="271"/>
      <c r="AT15" s="272"/>
      <c r="AU15" s="270">
        <f>SUM('12'!L60:'12'!L64)</f>
        <v>0</v>
      </c>
      <c r="AV15" s="271"/>
      <c r="AW15" s="271"/>
      <c r="AX15" s="272"/>
      <c r="AZ15" s="210">
        <f t="shared" si="1"/>
        <v>0</v>
      </c>
      <c r="BA15" s="112">
        <f t="shared" ca="1" si="0"/>
        <v>0</v>
      </c>
      <c r="BB15" s="1"/>
      <c r="BC15" s="1"/>
    </row>
    <row r="16" spans="1:55" ht="16.5" thickBot="1">
      <c r="A16" s="191" t="s">
        <v>42</v>
      </c>
      <c r="B16" s="196">
        <v>2018.96</v>
      </c>
      <c r="C16" s="270">
        <f>SUM('01'!L65:'01'!L69)</f>
        <v>85</v>
      </c>
      <c r="D16" s="271"/>
      <c r="E16" s="271"/>
      <c r="F16" s="272"/>
      <c r="G16" s="270">
        <f>SUM('02'!L65:'02'!L69)</f>
        <v>0</v>
      </c>
      <c r="H16" s="271"/>
      <c r="I16" s="271"/>
      <c r="J16" s="272"/>
      <c r="K16" s="270">
        <f>SUM('03'!L65:'03'!L69)</f>
        <v>0</v>
      </c>
      <c r="L16" s="271"/>
      <c r="M16" s="271"/>
      <c r="N16" s="272"/>
      <c r="O16" s="270">
        <f>SUM('04'!L65:'04'!L69)</f>
        <v>0</v>
      </c>
      <c r="P16" s="271"/>
      <c r="Q16" s="271"/>
      <c r="R16" s="272"/>
      <c r="S16" s="270">
        <f>SUM('05'!L65:'05'!L69)</f>
        <v>0</v>
      </c>
      <c r="T16" s="271"/>
      <c r="U16" s="271"/>
      <c r="V16" s="272"/>
      <c r="W16" s="289">
        <f>SUM('06'!L65:'06'!L69)</f>
        <v>0</v>
      </c>
      <c r="X16" s="290"/>
      <c r="Y16" s="290"/>
      <c r="Z16" s="291"/>
      <c r="AA16" s="289">
        <f>SUM('07'!L65:'07'!L69)</f>
        <v>0</v>
      </c>
      <c r="AB16" s="290"/>
      <c r="AC16" s="290"/>
      <c r="AD16" s="291"/>
      <c r="AE16" s="289">
        <f>SUM('08'!L65:'08'!L69)</f>
        <v>0</v>
      </c>
      <c r="AF16" s="290"/>
      <c r="AG16" s="290"/>
      <c r="AH16" s="291"/>
      <c r="AI16" s="289">
        <f>SUM('09'!L65:'09'!L69)</f>
        <v>0</v>
      </c>
      <c r="AJ16" s="290"/>
      <c r="AK16" s="290"/>
      <c r="AL16" s="291"/>
      <c r="AM16" s="289">
        <f>SUM('10'!L65:'10'!L69)</f>
        <v>0</v>
      </c>
      <c r="AN16" s="290"/>
      <c r="AO16" s="290"/>
      <c r="AP16" s="291"/>
      <c r="AQ16" s="289">
        <f>SUM('11'!L65:'11'!L69)</f>
        <v>0</v>
      </c>
      <c r="AR16" s="290"/>
      <c r="AS16" s="290"/>
      <c r="AT16" s="291"/>
      <c r="AU16" s="289">
        <f>SUM('12'!L65:'12'!L69)</f>
        <v>0</v>
      </c>
      <c r="AV16" s="290"/>
      <c r="AW16" s="290"/>
      <c r="AX16" s="291"/>
      <c r="AZ16" s="213">
        <f t="shared" si="1"/>
        <v>85</v>
      </c>
      <c r="BA16" s="112">
        <f t="shared" ca="1" si="0"/>
        <v>42.5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66">
        <f>SUM(C8:C16)</f>
        <v>3691.57</v>
      </c>
      <c r="D17" s="267"/>
      <c r="E17" s="267"/>
      <c r="F17" s="268"/>
      <c r="G17" s="266">
        <f>SUM(G8:G16)</f>
        <v>0</v>
      </c>
      <c r="H17" s="267"/>
      <c r="I17" s="267"/>
      <c r="J17" s="268"/>
      <c r="K17" s="266">
        <f>SUM(K8:K16)</f>
        <v>0</v>
      </c>
      <c r="L17" s="267"/>
      <c r="M17" s="267"/>
      <c r="N17" s="268"/>
      <c r="O17" s="266">
        <f>SUM(O8:O16)</f>
        <v>0</v>
      </c>
      <c r="P17" s="267"/>
      <c r="Q17" s="267"/>
      <c r="R17" s="268"/>
      <c r="S17" s="266">
        <f>SUM(S8:S16)</f>
        <v>0</v>
      </c>
      <c r="T17" s="267"/>
      <c r="U17" s="267"/>
      <c r="V17" s="268"/>
      <c r="W17" s="266">
        <f>SUM(W8:W16)</f>
        <v>0</v>
      </c>
      <c r="X17" s="267"/>
      <c r="Y17" s="267"/>
      <c r="Z17" s="268"/>
      <c r="AA17" s="266">
        <f>SUM(AA8:AA16)</f>
        <v>0</v>
      </c>
      <c r="AB17" s="267"/>
      <c r="AC17" s="267"/>
      <c r="AD17" s="268"/>
      <c r="AE17" s="266">
        <f>SUM(AE8:AE16)</f>
        <v>0</v>
      </c>
      <c r="AF17" s="267"/>
      <c r="AG17" s="267"/>
      <c r="AH17" s="268"/>
      <c r="AI17" s="266">
        <f>SUM(AI8:AI16)</f>
        <v>0</v>
      </c>
      <c r="AJ17" s="267"/>
      <c r="AK17" s="267"/>
      <c r="AL17" s="268"/>
      <c r="AM17" s="266">
        <f>SUM(AM8:AM16)</f>
        <v>0</v>
      </c>
      <c r="AN17" s="267"/>
      <c r="AO17" s="267"/>
      <c r="AP17" s="268"/>
      <c r="AQ17" s="266">
        <f>SUM(AQ8:AQ16)</f>
        <v>0</v>
      </c>
      <c r="AR17" s="267"/>
      <c r="AS17" s="267"/>
      <c r="AT17" s="268"/>
      <c r="AU17" s="266">
        <f>SUM(AU8:AU16)</f>
        <v>0</v>
      </c>
      <c r="AV17" s="267"/>
      <c r="AW17" s="267"/>
      <c r="AX17" s="268"/>
      <c r="AZ17" s="227">
        <f>SUM(AZ8:AZ16)</f>
        <v>3691.57</v>
      </c>
      <c r="BA17" s="112">
        <f ca="1">AZ17/BC$17</f>
        <v>1845.7850000000001</v>
      </c>
      <c r="BB17" s="1" t="s">
        <v>83</v>
      </c>
      <c r="BC17" s="1">
        <f ca="1">MONTH(TODAY())</f>
        <v>2</v>
      </c>
      <c r="BD17" s="39"/>
    </row>
    <row r="18" spans="1:62" ht="32.25" customHeight="1" thickTop="1" thickBot="1">
      <c r="A18" s="10"/>
      <c r="B18" s="10"/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  <c r="AA18" s="269"/>
      <c r="AB18" s="269"/>
      <c r="AC18" s="269"/>
      <c r="AD18" s="269"/>
      <c r="AE18" s="269"/>
      <c r="AF18" s="269"/>
      <c r="AG18" s="269"/>
      <c r="AH18" s="269"/>
      <c r="AI18" s="269"/>
      <c r="AJ18" s="269"/>
      <c r="AK18" s="269"/>
      <c r="AL18" s="269"/>
      <c r="AM18" s="269"/>
      <c r="AN18" s="269"/>
      <c r="AO18" s="269"/>
      <c r="AP18" s="269"/>
      <c r="AQ18" s="269"/>
      <c r="AR18" s="269"/>
      <c r="AS18" s="269"/>
      <c r="AT18" s="269"/>
      <c r="AU18" s="269" t="s">
        <v>176</v>
      </c>
      <c r="AV18" s="269"/>
      <c r="AW18" s="269"/>
      <c r="AX18" s="269"/>
      <c r="AZ18" s="131">
        <f>(2500*13)+(600*12)+(550*12)+(95*12)</f>
        <v>47440</v>
      </c>
      <c r="BA18" s="131">
        <f ca="1">12*BA17</f>
        <v>22149.420000000002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406.79</v>
      </c>
      <c r="I20" s="144">
        <f>SUM('02'!D20:F20)</f>
        <v>0</v>
      </c>
      <c r="J20" s="145">
        <f t="shared" ref="J20:J45" si="3">F20+H20-I20</f>
        <v>1073.5099999999998</v>
      </c>
      <c r="K20" s="143" t="s">
        <v>2</v>
      </c>
      <c r="L20" s="144">
        <f>'03'!B20</f>
        <v>544</v>
      </c>
      <c r="M20" s="144">
        <f>SUM('03'!D20:F20)</f>
        <v>0</v>
      </c>
      <c r="N20" s="145">
        <f t="shared" ref="N20:N45" si="4">J20+L20-M20</f>
        <v>1617.5099999999998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2161.5099999999998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2705.5099999999998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3249.5099999999998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3793.5099999999998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4337.51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4881.51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5425.51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5969.51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6513.51</v>
      </c>
      <c r="AZ20" s="123">
        <f t="shared" ref="AZ20:AZ27" si="14">E20+I20+M20+Q20+U20+Y20+AC20+AG20+AK20+AO20+AS20+AW20</f>
        <v>441.83</v>
      </c>
      <c r="BA20" s="21">
        <f t="shared" ref="BA20:BA45" si="15">AZ20/AZ$46</f>
        <v>8.0000651839727113E-2</v>
      </c>
      <c r="BB20" s="22">
        <f>_xlfn.RANK.EQ(BA20,$BA$20:$BA$45,)</f>
        <v>5</v>
      </c>
      <c r="BC20" s="22">
        <f t="shared" ref="BC20:BC45" ca="1" si="16">AZ20/BC$17</f>
        <v>220.91499999999999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1066.56</v>
      </c>
      <c r="BF20" s="21">
        <f t="shared" ref="BF20:BF45" ca="1" si="18">BE20/BE$46</f>
        <v>0.28891772335347832</v>
      </c>
      <c r="BG20" s="22">
        <f ca="1">_xlfn.RANK.EQ(BF20,$BF$20:$BF$45,)</f>
        <v>2</v>
      </c>
      <c r="BH20" s="22">
        <f t="shared" ref="BH20:BH45" ca="1" si="19">BE20/BC$17</f>
        <v>533.28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624.73000000000013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0</v>
      </c>
      <c r="J21" s="151">
        <f t="shared" si="3"/>
        <v>1823.9099999999996</v>
      </c>
      <c r="K21" s="148" t="s">
        <v>2</v>
      </c>
      <c r="L21" s="149">
        <f>'03'!B40</f>
        <v>1128</v>
      </c>
      <c r="M21" s="150">
        <f>SUM('03'!D40:F40)</f>
        <v>0</v>
      </c>
      <c r="N21" s="151">
        <f t="shared" si="4"/>
        <v>2951.91</v>
      </c>
      <c r="O21" s="148" t="s">
        <v>3</v>
      </c>
      <c r="P21" s="149">
        <f>'04'!B40</f>
        <v>1128</v>
      </c>
      <c r="Q21" s="150">
        <f>SUM('04'!D40:F40)</f>
        <v>0</v>
      </c>
      <c r="R21" s="151">
        <f t="shared" si="5"/>
        <v>4079.91</v>
      </c>
      <c r="S21" s="148" t="s">
        <v>71</v>
      </c>
      <c r="T21" s="149">
        <f>'05'!B40</f>
        <v>1128</v>
      </c>
      <c r="U21" s="150">
        <f>SUM('05'!D40:F40)</f>
        <v>0</v>
      </c>
      <c r="V21" s="151">
        <f t="shared" si="6"/>
        <v>5207.91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6335.91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7463.91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8591.91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9719.91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10847.91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11975.91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13103.91</v>
      </c>
      <c r="AZ21" s="152">
        <f t="shared" si="14"/>
        <v>1169.95</v>
      </c>
      <c r="BA21" s="21">
        <f t="shared" si="15"/>
        <v>0.21183885797679816</v>
      </c>
      <c r="BB21" s="22">
        <f t="shared" ref="BB21:BB45" si="20">_xlfn.RANK.EQ(BA21,$BA$20:$BA$45,)</f>
        <v>1</v>
      </c>
      <c r="BC21" s="22">
        <f t="shared" ca="1" si="16"/>
        <v>584.97500000000002</v>
      </c>
      <c r="BE21" s="224">
        <f t="shared" ca="1" si="17"/>
        <v>2341</v>
      </c>
      <c r="BF21" s="21">
        <f t="shared" ca="1" si="18"/>
        <v>0.63414753072540953</v>
      </c>
      <c r="BG21" s="22">
        <f t="shared" ref="BG21:BG45" ca="1" si="21">_xlfn.RANK.EQ(BF21,$BF$20:$BF$45,)</f>
        <v>1</v>
      </c>
      <c r="BH21" s="22">
        <f t="shared" ca="1" si="19"/>
        <v>1170.5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1171.05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120.85</v>
      </c>
      <c r="J22" s="156">
        <f t="shared" si="3"/>
        <v>536.86000000000013</v>
      </c>
      <c r="K22" s="143" t="s">
        <v>2</v>
      </c>
      <c r="L22" s="155">
        <f>'03'!B60</f>
        <v>490</v>
      </c>
      <c r="M22" s="155">
        <f>SUM('03'!D60:F60)</f>
        <v>0</v>
      </c>
      <c r="N22" s="156">
        <f t="shared" si="4"/>
        <v>1026.8600000000001</v>
      </c>
      <c r="O22" s="143" t="s">
        <v>3</v>
      </c>
      <c r="P22" s="155">
        <f>'04'!B60</f>
        <v>490</v>
      </c>
      <c r="Q22" s="155">
        <f>SUM('04'!D60:F60)</f>
        <v>0</v>
      </c>
      <c r="R22" s="156">
        <f t="shared" si="5"/>
        <v>1516.8600000000001</v>
      </c>
      <c r="S22" s="143" t="s">
        <v>71</v>
      </c>
      <c r="T22" s="155">
        <f>'05'!B60</f>
        <v>490</v>
      </c>
      <c r="U22" s="155">
        <f>SUM('05'!D60:F60)</f>
        <v>0</v>
      </c>
      <c r="V22" s="156">
        <f t="shared" si="6"/>
        <v>2006.8600000000001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2496.86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2986.86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3476.86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3966.86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4456.8600000000006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4946.8600000000006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5436.8600000000006</v>
      </c>
      <c r="AZ22" s="157">
        <f t="shared" si="14"/>
        <v>629.21</v>
      </c>
      <c r="BA22" s="21">
        <f t="shared" si="15"/>
        <v>0.11392890963509653</v>
      </c>
      <c r="BB22" s="22">
        <f t="shared" si="20"/>
        <v>3</v>
      </c>
      <c r="BC22" s="22">
        <f t="shared" ca="1" si="16"/>
        <v>314.60500000000002</v>
      </c>
      <c r="BE22" s="225">
        <f t="shared" ca="1" si="17"/>
        <v>920</v>
      </c>
      <c r="BF22" s="21">
        <f t="shared" ca="1" si="18"/>
        <v>0.24921645803817891</v>
      </c>
      <c r="BG22" s="22">
        <f t="shared" ca="1" si="21"/>
        <v>3</v>
      </c>
      <c r="BH22" s="22">
        <f t="shared" ca="1" si="19"/>
        <v>460</v>
      </c>
      <c r="BJ22" s="225">
        <f t="shared" ca="1" si="22"/>
        <v>290.78999999999996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170</v>
      </c>
      <c r="I23" s="150">
        <f>SUM('02'!D80:F80)</f>
        <v>0</v>
      </c>
      <c r="J23" s="151">
        <f t="shared" si="3"/>
        <v>215.34000000000003</v>
      </c>
      <c r="K23" s="148" t="s">
        <v>2</v>
      </c>
      <c r="L23" s="149">
        <f>'03'!B80</f>
        <v>150</v>
      </c>
      <c r="M23" s="150">
        <f>SUM('03'!D80:F80)</f>
        <v>0</v>
      </c>
      <c r="N23" s="151">
        <f t="shared" si="4"/>
        <v>365.34000000000003</v>
      </c>
      <c r="O23" s="148" t="s">
        <v>3</v>
      </c>
      <c r="P23" s="149">
        <f>'04'!B80</f>
        <v>150</v>
      </c>
      <c r="Q23" s="150">
        <f>SUM('04'!D80:F80)</f>
        <v>0</v>
      </c>
      <c r="R23" s="151">
        <f t="shared" si="5"/>
        <v>515.34</v>
      </c>
      <c r="S23" s="148" t="s">
        <v>71</v>
      </c>
      <c r="T23" s="149">
        <f>'05'!B80</f>
        <v>150</v>
      </c>
      <c r="U23" s="150">
        <f>SUM('05'!D80:F80)</f>
        <v>0</v>
      </c>
      <c r="V23" s="151">
        <f t="shared" si="6"/>
        <v>665.34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815.34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965.34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1115.3400000000001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1265.3400000000001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1415.3400000000001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1565.3400000000001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1715.3400000000001</v>
      </c>
      <c r="AZ23" s="152">
        <f t="shared" si="14"/>
        <v>166.79</v>
      </c>
      <c r="BA23" s="21">
        <f t="shared" si="15"/>
        <v>3.0200096689559523E-2</v>
      </c>
      <c r="BB23" s="22">
        <f t="shared" si="20"/>
        <v>10</v>
      </c>
      <c r="BC23" s="22">
        <f t="shared" ca="1" si="16"/>
        <v>83.394999999999996</v>
      </c>
      <c r="BE23" s="224">
        <f t="shared" ca="1" si="17"/>
        <v>340</v>
      </c>
      <c r="BF23" s="21">
        <f t="shared" ca="1" si="18"/>
        <v>9.2101734492370468E-2</v>
      </c>
      <c r="BG23" s="22">
        <f t="shared" ca="1" si="21"/>
        <v>6</v>
      </c>
      <c r="BH23" s="22">
        <f t="shared" ca="1" si="19"/>
        <v>170</v>
      </c>
      <c r="BJ23" s="224">
        <f t="shared" ca="1" si="22"/>
        <v>173.21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0</v>
      </c>
      <c r="J24" s="156">
        <f t="shared" si="3"/>
        <v>174.98999999999998</v>
      </c>
      <c r="K24" s="143" t="s">
        <v>2</v>
      </c>
      <c r="L24" s="155">
        <f>'03'!B100</f>
        <v>160</v>
      </c>
      <c r="M24" s="155">
        <f>SUM('03'!D100:F100)</f>
        <v>0</v>
      </c>
      <c r="N24" s="156">
        <f t="shared" si="4"/>
        <v>334.99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494.99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654.99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814.99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974.99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1134.99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1294.99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1454.99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1614.99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1774.99</v>
      </c>
      <c r="AZ24" s="157">
        <f t="shared" si="14"/>
        <v>145.01000000000002</v>
      </c>
      <c r="BA24" s="21">
        <f t="shared" si="15"/>
        <v>2.6256466340626099E-2</v>
      </c>
      <c r="BB24" s="22">
        <f t="shared" si="20"/>
        <v>11</v>
      </c>
      <c r="BC24" s="22">
        <f t="shared" ca="1" si="16"/>
        <v>72.50500000000001</v>
      </c>
      <c r="BE24" s="225">
        <f t="shared" ca="1" si="17"/>
        <v>320</v>
      </c>
      <c r="BF24" s="21">
        <f t="shared" ca="1" si="18"/>
        <v>8.6683985404583969E-2</v>
      </c>
      <c r="BG24" s="22">
        <f t="shared" ca="1" si="21"/>
        <v>7</v>
      </c>
      <c r="BH24" s="22">
        <f t="shared" ca="1" si="19"/>
        <v>160</v>
      </c>
      <c r="BJ24" s="225">
        <f t="shared" ca="1" si="22"/>
        <v>174.98999999999998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0</v>
      </c>
      <c r="J25" s="151">
        <f t="shared" si="3"/>
        <v>3645.1699999999983</v>
      </c>
      <c r="K25" s="148" t="s">
        <v>2</v>
      </c>
      <c r="L25" s="149">
        <f>'03'!B120</f>
        <v>405</v>
      </c>
      <c r="M25" s="150">
        <f>SUM('03'!D120:F120)</f>
        <v>0</v>
      </c>
      <c r="N25" s="151">
        <f t="shared" si="4"/>
        <v>4050.1699999999983</v>
      </c>
      <c r="O25" s="148" t="s">
        <v>3</v>
      </c>
      <c r="P25" s="149">
        <f>'04'!B120</f>
        <v>405</v>
      </c>
      <c r="Q25" s="150">
        <f>SUM('04'!D120:F120)</f>
        <v>0</v>
      </c>
      <c r="R25" s="151">
        <f t="shared" si="5"/>
        <v>4455.1699999999983</v>
      </c>
      <c r="S25" s="148" t="s">
        <v>71</v>
      </c>
      <c r="T25" s="149">
        <f>'05'!B120</f>
        <v>405</v>
      </c>
      <c r="U25" s="150">
        <f>SUM('05'!D120:F120)</f>
        <v>0</v>
      </c>
      <c r="V25" s="151">
        <f t="shared" si="6"/>
        <v>4860.1699999999983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5265.1699999999983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5670.1699999999983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6075.1699999999983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6480.1699999999983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6885.1699999999983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7290.1699999999983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7695.1699999999983</v>
      </c>
      <c r="AZ25" s="152">
        <f t="shared" si="14"/>
        <v>327.38</v>
      </c>
      <c r="BA25" s="21">
        <f t="shared" si="15"/>
        <v>5.9277580515786299E-2</v>
      </c>
      <c r="BB25" s="22">
        <f t="shared" si="20"/>
        <v>8</v>
      </c>
      <c r="BC25" s="22">
        <f t="shared" ca="1" si="16"/>
        <v>163.69</v>
      </c>
      <c r="BE25" s="224">
        <f t="shared" ca="1" si="17"/>
        <v>810</v>
      </c>
      <c r="BF25" s="21">
        <f t="shared" ca="1" si="18"/>
        <v>0.21941883805535317</v>
      </c>
      <c r="BG25" s="22">
        <f t="shared" ca="1" si="21"/>
        <v>4</v>
      </c>
      <c r="BH25" s="22">
        <f t="shared" ca="1" si="19"/>
        <v>405</v>
      </c>
      <c r="BJ25" s="224">
        <f t="shared" ca="1" si="22"/>
        <v>482.61999999999989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</v>
      </c>
      <c r="I26" s="155">
        <f>SUM('02'!D140:F140)</f>
        <v>0</v>
      </c>
      <c r="J26" s="156">
        <f t="shared" si="3"/>
        <v>55.049999999999947</v>
      </c>
      <c r="K26" s="143" t="s">
        <v>2</v>
      </c>
      <c r="L26" s="155">
        <f>'03'!B140</f>
        <v>48</v>
      </c>
      <c r="M26" s="155">
        <f>SUM('03'!D140:F140)</f>
        <v>0</v>
      </c>
      <c r="N26" s="156">
        <f t="shared" si="4"/>
        <v>103.04999999999995</v>
      </c>
      <c r="O26" s="143" t="s">
        <v>3</v>
      </c>
      <c r="P26" s="155">
        <f>'04'!B140</f>
        <v>48</v>
      </c>
      <c r="Q26" s="155">
        <f>SUM('04'!D140:F140)</f>
        <v>0</v>
      </c>
      <c r="R26" s="156">
        <f t="shared" si="5"/>
        <v>151.04999999999995</v>
      </c>
      <c r="S26" s="143" t="s">
        <v>71</v>
      </c>
      <c r="T26" s="155">
        <f>'05'!B140</f>
        <v>48</v>
      </c>
      <c r="U26" s="155">
        <f>SUM('05'!D140:F140)</f>
        <v>0</v>
      </c>
      <c r="V26" s="156">
        <f t="shared" si="6"/>
        <v>199.04999999999995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247.04999999999995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295.04999999999995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343.04999999999995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391.04999999999995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439.04999999999995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487.04999999999995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535.04999999999995</v>
      </c>
      <c r="AZ26" s="157">
        <f t="shared" si="14"/>
        <v>60.49</v>
      </c>
      <c r="BA26" s="21">
        <f t="shared" si="15"/>
        <v>1.0952718081128699E-2</v>
      </c>
      <c r="BB26" s="22">
        <f t="shared" si="20"/>
        <v>15</v>
      </c>
      <c r="BC26" s="22">
        <f t="shared" ca="1" si="16"/>
        <v>30.245000000000001</v>
      </c>
      <c r="BE26" s="225">
        <f t="shared" ca="1" si="17"/>
        <v>96</v>
      </c>
      <c r="BF26" s="21">
        <f t="shared" ca="1" si="18"/>
        <v>2.6005195621375189E-2</v>
      </c>
      <c r="BG26" s="22">
        <f t="shared" ca="1" si="21"/>
        <v>17</v>
      </c>
      <c r="BH26" s="22">
        <f t="shared" ca="1" si="19"/>
        <v>48</v>
      </c>
      <c r="BJ26" s="225">
        <f t="shared" ca="1" si="22"/>
        <v>35.51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32.47</v>
      </c>
      <c r="J27" s="187">
        <f t="shared" si="3"/>
        <v>347.81000000000006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397.81000000000006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447.81000000000006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497.81000000000006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547.81000000000006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597.81000000000006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647.81000000000006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697.81000000000006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747.81000000000006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797.81000000000006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847.81000000000006</v>
      </c>
      <c r="AZ27" s="188">
        <f t="shared" si="14"/>
        <v>56.14</v>
      </c>
      <c r="BA27" s="21">
        <f t="shared" si="15"/>
        <v>1.0165078410887174E-2</v>
      </c>
      <c r="BB27" s="22">
        <f t="shared" si="20"/>
        <v>16</v>
      </c>
      <c r="BC27" s="22">
        <f t="shared" ca="1" si="16"/>
        <v>28.07</v>
      </c>
      <c r="BE27" s="224">
        <f t="shared" ca="1" si="17"/>
        <v>100</v>
      </c>
      <c r="BF27" s="21">
        <f t="shared" ca="1" si="18"/>
        <v>2.7088745438932488E-2</v>
      </c>
      <c r="BG27" s="22">
        <f t="shared" ca="1" si="21"/>
        <v>14</v>
      </c>
      <c r="BH27" s="22">
        <f t="shared" ca="1" si="19"/>
        <v>50</v>
      </c>
      <c r="BJ27" s="224">
        <f t="shared" ca="1" si="22"/>
        <v>43.860000000000014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627.65000000000009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827.65000000000009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1027.6500000000001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1227.6500000000001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1427.65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1627.65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1827.65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2027.65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2227.65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2427.65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2627.65</v>
      </c>
      <c r="AZ28" s="182">
        <f t="shared" ref="AZ28:AZ45" si="23">E28+I28+M28+Q28+U28+Y28+AC28+AG28+AK28+AO28+AS28+AW28</f>
        <v>381.4</v>
      </c>
      <c r="BA28" s="21">
        <f t="shared" si="15"/>
        <v>6.9058797754050022E-2</v>
      </c>
      <c r="BB28" s="22">
        <f t="shared" si="20"/>
        <v>6</v>
      </c>
      <c r="BC28" s="22">
        <f t="shared" ca="1" si="16"/>
        <v>190.7</v>
      </c>
      <c r="BE28" s="223">
        <f t="shared" ca="1" si="17"/>
        <v>400</v>
      </c>
      <c r="BF28" s="21">
        <f t="shared" ca="1" si="18"/>
        <v>0.10835498175572995</v>
      </c>
      <c r="BG28" s="22">
        <f t="shared" ca="1" si="21"/>
        <v>5</v>
      </c>
      <c r="BH28" s="22">
        <f t="shared" ca="1" si="19"/>
        <v>200</v>
      </c>
      <c r="BJ28" s="223">
        <f t="shared" ca="1" si="22"/>
        <v>18.600000000000023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0</v>
      </c>
      <c r="J29" s="160">
        <f t="shared" si="3"/>
        <v>47.36000000000007</v>
      </c>
      <c r="K29" s="148" t="s">
        <v>2</v>
      </c>
      <c r="L29" s="149">
        <f>'03'!B200</f>
        <v>70</v>
      </c>
      <c r="M29" s="150">
        <f>SUM('03'!D200:F200)</f>
        <v>0</v>
      </c>
      <c r="N29" s="160">
        <f t="shared" si="4"/>
        <v>117.36000000000007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187.36000000000007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257.36000000000007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327.36000000000007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397.36000000000007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467.36000000000007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537.36000000000013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607.36000000000013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677.36000000000013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747.36000000000013</v>
      </c>
      <c r="AZ29" s="152">
        <f t="shared" si="23"/>
        <v>45.97</v>
      </c>
      <c r="BA29" s="21">
        <f t="shared" si="15"/>
        <v>8.3236311818397461E-3</v>
      </c>
      <c r="BB29" s="22">
        <f t="shared" si="20"/>
        <v>17</v>
      </c>
      <c r="BC29" s="22">
        <f t="shared" ca="1" si="16"/>
        <v>22.984999999999999</v>
      </c>
      <c r="BE29" s="224">
        <f t="shared" ca="1" si="17"/>
        <v>140</v>
      </c>
      <c r="BF29" s="21">
        <f t="shared" ca="1" si="18"/>
        <v>3.7924243614505485E-2</v>
      </c>
      <c r="BG29" s="22">
        <f t="shared" ca="1" si="21"/>
        <v>12</v>
      </c>
      <c r="BH29" s="22">
        <f t="shared" ca="1" si="19"/>
        <v>70</v>
      </c>
      <c r="BJ29" s="224">
        <f t="shared" ca="1" si="22"/>
        <v>94.03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36.109999999999971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71.109999999999971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106.10999999999997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141.10999999999996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176.10999999999996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211.10999999999996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246.10999999999996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281.10999999999996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316.10999999999996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351.10999999999996</v>
      </c>
      <c r="AZ30" s="157">
        <f t="shared" si="23"/>
        <v>42.06</v>
      </c>
      <c r="BA30" s="21">
        <f t="shared" si="15"/>
        <v>7.6156608115766754E-3</v>
      </c>
      <c r="BB30" s="22">
        <f t="shared" si="20"/>
        <v>18</v>
      </c>
      <c r="BC30" s="22">
        <f t="shared" ca="1" si="16"/>
        <v>21.03</v>
      </c>
      <c r="BE30" s="225">
        <f t="shared" ca="1" si="17"/>
        <v>70</v>
      </c>
      <c r="BF30" s="21">
        <f t="shared" ca="1" si="18"/>
        <v>1.8962121807252742E-2</v>
      </c>
      <c r="BG30" s="22">
        <f t="shared" ca="1" si="21"/>
        <v>19</v>
      </c>
      <c r="BH30" s="22">
        <f t="shared" ca="1" si="19"/>
        <v>35</v>
      </c>
      <c r="BJ30" s="225">
        <f t="shared" ca="1" si="22"/>
        <v>27.939999999999998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20.98</v>
      </c>
      <c r="J31" s="160">
        <f t="shared" si="3"/>
        <v>88.06</v>
      </c>
      <c r="K31" s="148" t="s">
        <v>2</v>
      </c>
      <c r="L31" s="149">
        <f>'03'!B240</f>
        <v>20</v>
      </c>
      <c r="M31" s="150">
        <f>SUM('03'!D240:F240)</f>
        <v>0</v>
      </c>
      <c r="N31" s="160">
        <f t="shared" si="4"/>
        <v>108.06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128.06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148.06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168.06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188.06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208.06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228.06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248.06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268.06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288.06</v>
      </c>
      <c r="AZ31" s="152">
        <f t="shared" si="23"/>
        <v>27.98</v>
      </c>
      <c r="BA31" s="21">
        <f t="shared" si="15"/>
        <v>5.0662432122661758E-3</v>
      </c>
      <c r="BB31" s="22">
        <f t="shared" si="20"/>
        <v>20</v>
      </c>
      <c r="BC31" s="22">
        <f t="shared" ca="1" si="16"/>
        <v>13.99</v>
      </c>
      <c r="BE31" s="224">
        <f t="shared" ca="1" si="17"/>
        <v>40</v>
      </c>
      <c r="BF31" s="21">
        <f t="shared" ca="1" si="18"/>
        <v>1.0835498175572996E-2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12.019999999999996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24.000000000000028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74.000000000000028</v>
      </c>
      <c r="O32" s="143" t="s">
        <v>3</v>
      </c>
      <c r="P32" s="155">
        <f>'04'!B260</f>
        <v>50</v>
      </c>
      <c r="Q32" s="155">
        <f>SUM('04'!D260:F260)</f>
        <v>0</v>
      </c>
      <c r="R32" s="161">
        <f t="shared" si="5"/>
        <v>124.00000000000003</v>
      </c>
      <c r="S32" s="143" t="s">
        <v>71</v>
      </c>
      <c r="T32" s="155">
        <f>'05'!B260</f>
        <v>50</v>
      </c>
      <c r="U32" s="155">
        <f>SUM('05'!D260:F260)</f>
        <v>0</v>
      </c>
      <c r="V32" s="161">
        <f t="shared" si="6"/>
        <v>174.00000000000003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224.00000000000003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274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324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374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424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474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524</v>
      </c>
      <c r="AZ32" s="157">
        <f t="shared" si="23"/>
        <v>61.75</v>
      </c>
      <c r="BA32" s="21">
        <f t="shared" si="15"/>
        <v>1.1180861985612451E-2</v>
      </c>
      <c r="BB32" s="22">
        <f t="shared" si="20"/>
        <v>14</v>
      </c>
      <c r="BC32" s="22">
        <f t="shared" ca="1" si="16"/>
        <v>30.875</v>
      </c>
      <c r="BE32" s="225">
        <f t="shared" ca="1" si="17"/>
        <v>100</v>
      </c>
      <c r="BF32" s="21">
        <f t="shared" ca="1" si="18"/>
        <v>2.7088745438932488E-2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38.25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0</v>
      </c>
      <c r="J33" s="160">
        <f t="shared" si="3"/>
        <v>-120</v>
      </c>
      <c r="K33" s="148" t="s">
        <v>2</v>
      </c>
      <c r="L33" s="149">
        <f>'03'!B280</f>
        <v>50</v>
      </c>
      <c r="M33" s="150">
        <f>SUM('03'!D280:F280)</f>
        <v>0</v>
      </c>
      <c r="N33" s="160">
        <f t="shared" si="4"/>
        <v>-70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-20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30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80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130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180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230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280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330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380</v>
      </c>
      <c r="AZ33" s="152">
        <f t="shared" si="23"/>
        <v>640</v>
      </c>
      <c r="BA33" s="21">
        <f t="shared" si="15"/>
        <v>0.11588261815047722</v>
      </c>
      <c r="BB33" s="22">
        <f t="shared" si="20"/>
        <v>2</v>
      </c>
      <c r="BC33" s="22">
        <f t="shared" ca="1" si="16"/>
        <v>320</v>
      </c>
      <c r="BE33" s="224">
        <f t="shared" ca="1" si="17"/>
        <v>100</v>
      </c>
      <c r="BF33" s="21">
        <f t="shared" ca="1" si="18"/>
        <v>2.7088745438932488E-2</v>
      </c>
      <c r="BG33" s="22">
        <f t="shared" ca="1" si="21"/>
        <v>14</v>
      </c>
      <c r="BH33" s="22">
        <f t="shared" ca="1" si="19"/>
        <v>50</v>
      </c>
      <c r="BJ33" s="224">
        <f t="shared" ca="1" si="22"/>
        <v>-540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262.5499999999999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352.5499999999999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442.5499999999999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532.54999999999995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622.54999999999995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712.55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802.55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892.55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982.55</v>
      </c>
      <c r="AZ34" s="152">
        <f t="shared" si="23"/>
        <v>336.05</v>
      </c>
      <c r="BA34" s="21">
        <f t="shared" si="15"/>
        <v>6.0847427858543551E-2</v>
      </c>
      <c r="BB34" s="22">
        <f t="shared" si="20"/>
        <v>7</v>
      </c>
      <c r="BC34" s="22">
        <f t="shared" ca="1" si="16"/>
        <v>168.02500000000001</v>
      </c>
      <c r="BE34" s="225">
        <f t="shared" ca="1" si="17"/>
        <v>317</v>
      </c>
      <c r="BF34" s="21">
        <f t="shared" ca="1" si="18"/>
        <v>8.5871323041415995E-2</v>
      </c>
      <c r="BG34" s="22">
        <f t="shared" ca="1" si="21"/>
        <v>8</v>
      </c>
      <c r="BH34" s="22">
        <f t="shared" ca="1" si="19"/>
        <v>158.5</v>
      </c>
      <c r="BJ34" s="225">
        <f t="shared" ca="1" si="22"/>
        <v>-19.050000000000011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115</v>
      </c>
      <c r="I35" s="186">
        <f>SUM('02'!D320:F320)</f>
        <v>0</v>
      </c>
      <c r="J35" s="187">
        <f t="shared" si="3"/>
        <v>1644.6000000000004</v>
      </c>
      <c r="K35" s="185" t="s">
        <v>2</v>
      </c>
      <c r="L35" s="186">
        <f>'03'!B320</f>
        <v>115</v>
      </c>
      <c r="M35" s="186">
        <f>SUM('03'!D320:F320)</f>
        <v>0</v>
      </c>
      <c r="N35" s="187">
        <f t="shared" si="4"/>
        <v>1759.6000000000004</v>
      </c>
      <c r="O35" s="185" t="s">
        <v>3</v>
      </c>
      <c r="P35" s="186">
        <f>'04'!B320</f>
        <v>115</v>
      </c>
      <c r="Q35" s="186">
        <f>SUM('04'!D320:F320)</f>
        <v>0</v>
      </c>
      <c r="R35" s="187">
        <f t="shared" si="5"/>
        <v>1874.6000000000004</v>
      </c>
      <c r="S35" s="185" t="s">
        <v>71</v>
      </c>
      <c r="T35" s="186">
        <f>'05'!B320</f>
        <v>115</v>
      </c>
      <c r="U35" s="186">
        <f>SUM('05'!D320:F320)</f>
        <v>0</v>
      </c>
      <c r="V35" s="187">
        <f t="shared" si="6"/>
        <v>1989.6000000000004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2104.6000000000004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2219.6000000000004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2334.6000000000004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2449.6000000000004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2564.6000000000004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2679.6000000000004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2794.6000000000004</v>
      </c>
      <c r="AZ35" s="188">
        <f t="shared" si="23"/>
        <v>75</v>
      </c>
      <c r="BA35" s="21">
        <f t="shared" si="15"/>
        <v>1.3579994314509049E-2</v>
      </c>
      <c r="BB35" s="22">
        <f t="shared" si="20"/>
        <v>13</v>
      </c>
      <c r="BC35" s="22">
        <f t="shared" ca="1" si="16"/>
        <v>37.5</v>
      </c>
      <c r="BE35" s="224">
        <f t="shared" ca="1" si="17"/>
        <v>230</v>
      </c>
      <c r="BF35" s="21">
        <f t="shared" ca="1" si="18"/>
        <v>6.2304114509544727E-2</v>
      </c>
      <c r="BG35" s="22">
        <f t="shared" ca="1" si="21"/>
        <v>10</v>
      </c>
      <c r="BH35" s="22">
        <f t="shared" ca="1" si="19"/>
        <v>115</v>
      </c>
      <c r="BJ35" s="224">
        <f t="shared" ca="1" si="22"/>
        <v>155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19.990000000000066</v>
      </c>
      <c r="K36" s="143" t="s">
        <v>2</v>
      </c>
      <c r="L36" s="164">
        <f>'03'!B340</f>
        <v>90</v>
      </c>
      <c r="M36" s="164">
        <f>SUM('03'!D340:F340)</f>
        <v>0</v>
      </c>
      <c r="N36" s="156">
        <f t="shared" si="4"/>
        <v>109.99000000000007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199.99000000000007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289.99000000000007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379.99000000000007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469.99000000000007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559.99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649.99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739.99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829.99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919.99</v>
      </c>
      <c r="AZ36" s="182">
        <f t="shared" si="23"/>
        <v>261</v>
      </c>
      <c r="BA36" s="21">
        <f t="shared" si="15"/>
        <v>4.725838021449149E-2</v>
      </c>
      <c r="BB36" s="22">
        <f t="shared" si="20"/>
        <v>9</v>
      </c>
      <c r="BC36" s="22">
        <f t="shared" ca="1" si="16"/>
        <v>130.5</v>
      </c>
      <c r="BE36" s="223">
        <f t="shared" ca="1" si="17"/>
        <v>180</v>
      </c>
      <c r="BF36" s="21">
        <f t="shared" ca="1" si="18"/>
        <v>4.8759741790078477E-2</v>
      </c>
      <c r="BG36" s="22">
        <f t="shared" ca="1" si="21"/>
        <v>11</v>
      </c>
      <c r="BH36" s="22">
        <f t="shared" ca="1" si="19"/>
        <v>90</v>
      </c>
      <c r="BJ36" s="223">
        <f t="shared" ca="1" si="22"/>
        <v>-81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0</v>
      </c>
      <c r="J37" s="151">
        <f t="shared" si="3"/>
        <v>363.38</v>
      </c>
      <c r="K37" s="148" t="s">
        <v>2</v>
      </c>
      <c r="L37" s="165">
        <f>'03'!B360</f>
        <v>45</v>
      </c>
      <c r="M37" s="165">
        <f>SUM('03'!D360:F360)</f>
        <v>0</v>
      </c>
      <c r="N37" s="151">
        <f t="shared" si="4"/>
        <v>408.38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453.38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498.38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543.38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588.38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633.38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678.38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723.38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768.38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813.38</v>
      </c>
      <c r="AZ37" s="152">
        <f t="shared" si="23"/>
        <v>0</v>
      </c>
      <c r="BA37" s="21">
        <f t="shared" si="15"/>
        <v>0</v>
      </c>
      <c r="BB37" s="22">
        <f t="shared" si="20"/>
        <v>22</v>
      </c>
      <c r="BC37" s="22">
        <f t="shared" ca="1" si="16"/>
        <v>0</v>
      </c>
      <c r="BE37" s="224">
        <f t="shared" ca="1" si="17"/>
        <v>90</v>
      </c>
      <c r="BF37" s="21">
        <f t="shared" ca="1" si="18"/>
        <v>2.4379870895039239E-2</v>
      </c>
      <c r="BG37" s="22">
        <f t="shared" ca="1" si="21"/>
        <v>18</v>
      </c>
      <c r="BH37" s="22">
        <f t="shared" ca="1" si="19"/>
        <v>45</v>
      </c>
      <c r="BJ37" s="224">
        <f t="shared" ca="1" si="22"/>
        <v>90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70</v>
      </c>
      <c r="I38" s="166">
        <f>SUM('02'!D380:F380)</f>
        <v>2.8</v>
      </c>
      <c r="J38" s="156">
        <f t="shared" si="3"/>
        <v>85.500000000000028</v>
      </c>
      <c r="K38" s="143" t="s">
        <v>2</v>
      </c>
      <c r="L38" s="166">
        <f>'03'!B380</f>
        <v>70</v>
      </c>
      <c r="M38" s="166">
        <f>SUM('03'!D380:F380)</f>
        <v>0</v>
      </c>
      <c r="N38" s="156">
        <f t="shared" si="4"/>
        <v>155.50000000000003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225.50000000000003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295.5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365.5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435.5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505.5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575.5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645.5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715.5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785.5</v>
      </c>
      <c r="AZ38" s="157">
        <f t="shared" si="23"/>
        <v>93.7</v>
      </c>
      <c r="BA38" s="21">
        <f t="shared" si="15"/>
        <v>1.6965939563593307E-2</v>
      </c>
      <c r="BB38" s="22">
        <f t="shared" si="20"/>
        <v>12</v>
      </c>
      <c r="BC38" s="22">
        <f t="shared" ca="1" si="16"/>
        <v>46.85</v>
      </c>
      <c r="BE38" s="225">
        <f t="shared" ca="1" si="17"/>
        <v>140</v>
      </c>
      <c r="BF38" s="21">
        <f t="shared" ca="1" si="18"/>
        <v>3.7924243614505485E-2</v>
      </c>
      <c r="BG38" s="22">
        <f t="shared" ca="1" si="21"/>
        <v>12</v>
      </c>
      <c r="BH38" s="22">
        <f t="shared" ca="1" si="19"/>
        <v>70</v>
      </c>
      <c r="BJ38" s="225">
        <f t="shared" ca="1" si="22"/>
        <v>46.3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1240</v>
      </c>
      <c r="O39" s="148" t="s">
        <v>3</v>
      </c>
      <c r="P39" s="165">
        <f>'04'!B400</f>
        <v>20</v>
      </c>
      <c r="Q39" s="165">
        <f>SUM('04'!D400:F400)</f>
        <v>0</v>
      </c>
      <c r="R39" s="151">
        <f t="shared" si="5"/>
        <v>1260</v>
      </c>
      <c r="S39" s="148" t="s">
        <v>71</v>
      </c>
      <c r="T39" s="165">
        <f>'05'!B400</f>
        <v>20</v>
      </c>
      <c r="U39" s="165">
        <f>SUM('05'!D400:F400)</f>
        <v>0</v>
      </c>
      <c r="V39" s="151">
        <f t="shared" si="6"/>
        <v>1280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1300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1320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1340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1360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1380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1400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1420</v>
      </c>
      <c r="AZ39" s="152">
        <f t="shared" si="23"/>
        <v>0</v>
      </c>
      <c r="BA39" s="21">
        <f t="shared" si="15"/>
        <v>0</v>
      </c>
      <c r="BB39" s="22">
        <f t="shared" si="20"/>
        <v>22</v>
      </c>
      <c r="BC39" s="22">
        <f t="shared" ca="1" si="16"/>
        <v>0</v>
      </c>
      <c r="BE39" s="224">
        <f t="shared" ca="1" si="17"/>
        <v>40</v>
      </c>
      <c r="BF39" s="21">
        <f t="shared" ca="1" si="18"/>
        <v>1.0835498175572996E-2</v>
      </c>
      <c r="BG39" s="22">
        <f t="shared" ca="1" si="21"/>
        <v>21</v>
      </c>
      <c r="BH39" s="22">
        <f t="shared" ca="1" si="19"/>
        <v>20</v>
      </c>
      <c r="BJ39" s="224">
        <f t="shared" ca="1" si="22"/>
        <v>40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30</v>
      </c>
      <c r="I40" s="166">
        <f>SUM('02'!D420:F420)</f>
        <v>0</v>
      </c>
      <c r="J40" s="156">
        <f t="shared" si="3"/>
        <v>820.51000000000045</v>
      </c>
      <c r="K40" s="143" t="s">
        <v>2</v>
      </c>
      <c r="L40" s="166">
        <f>'03'!B420</f>
        <v>20</v>
      </c>
      <c r="M40" s="166">
        <f>SUM('03'!D420:F420)</f>
        <v>0</v>
      </c>
      <c r="N40" s="156">
        <f>J40+L40-M40</f>
        <v>840.51000000000045</v>
      </c>
      <c r="O40" s="143" t="s">
        <v>3</v>
      </c>
      <c r="P40" s="166">
        <f>'04'!B420</f>
        <v>20</v>
      </c>
      <c r="Q40" s="166">
        <f>SUM('04'!D420:F420)</f>
        <v>0</v>
      </c>
      <c r="R40" s="156">
        <f t="shared" si="5"/>
        <v>860.51000000000045</v>
      </c>
      <c r="S40" s="143" t="s">
        <v>71</v>
      </c>
      <c r="T40" s="166">
        <f>'05'!B420</f>
        <v>20</v>
      </c>
      <c r="U40" s="166">
        <f>SUM('05'!D420:F420)</f>
        <v>0</v>
      </c>
      <c r="V40" s="156">
        <f t="shared" si="6"/>
        <v>880.51000000000045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900.51000000000045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920.51000000000045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940.51000000000045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960.51000000000045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980.51000000000045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1000.5100000000004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1020.5100000000004</v>
      </c>
      <c r="AZ40" s="157">
        <f t="shared" si="23"/>
        <v>35.870000000000005</v>
      </c>
      <c r="BA40" s="21">
        <f t="shared" si="15"/>
        <v>6.4948586141525292E-3</v>
      </c>
      <c r="BB40" s="22">
        <f t="shared" si="20"/>
        <v>19</v>
      </c>
      <c r="BC40" s="22">
        <f t="shared" ca="1" si="16"/>
        <v>17.935000000000002</v>
      </c>
      <c r="BE40" s="225">
        <f t="shared" ca="1" si="17"/>
        <v>51.870000000000005</v>
      </c>
      <c r="BF40" s="21">
        <f t="shared" ca="1" si="18"/>
        <v>1.4050932259174283E-2</v>
      </c>
      <c r="BG40" s="22">
        <f t="shared" ca="1" si="21"/>
        <v>20</v>
      </c>
      <c r="BH40" s="22">
        <f t="shared" ca="1" si="19"/>
        <v>25.935000000000002</v>
      </c>
      <c r="BJ40" s="225">
        <f t="shared" ca="1" si="22"/>
        <v>16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-3900</v>
      </c>
      <c r="I41" s="165">
        <f>SUM('02'!D440:F440)</f>
        <v>0</v>
      </c>
      <c r="J41" s="151">
        <f t="shared" si="3"/>
        <v>4099.9299999999985</v>
      </c>
      <c r="K41" s="148" t="s">
        <v>2</v>
      </c>
      <c r="L41" s="165">
        <f>'03'!B440</f>
        <v>-3900</v>
      </c>
      <c r="M41" s="165">
        <f>SUM('03'!D440:F440)</f>
        <v>0</v>
      </c>
      <c r="N41" s="151">
        <f t="shared" si="4"/>
        <v>199.92999999999847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-3700.0700000000015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-7600.0700000000015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-11500.070000000002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-15400.070000000002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-19300.07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-23200.07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-27100.07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-31000.07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-34900.07</v>
      </c>
      <c r="AZ41" s="152">
        <f t="shared" si="23"/>
        <v>0</v>
      </c>
      <c r="BA41" s="21">
        <f t="shared" si="15"/>
        <v>0</v>
      </c>
      <c r="BB41" s="22">
        <f t="shared" si="20"/>
        <v>22</v>
      </c>
      <c r="BC41" s="22">
        <f t="shared" ca="1" si="16"/>
        <v>0</v>
      </c>
      <c r="BE41" s="224">
        <f t="shared" ca="1" si="17"/>
        <v>-4450.07</v>
      </c>
      <c r="BF41" s="21">
        <f t="shared" ca="1" si="18"/>
        <v>-1.205468134154303</v>
      </c>
      <c r="BG41" s="22">
        <f t="shared" ca="1" si="21"/>
        <v>26</v>
      </c>
      <c r="BH41" s="22">
        <f t="shared" ca="1" si="19"/>
        <v>-2225.0349999999999</v>
      </c>
      <c r="BJ41" s="224">
        <f t="shared" ca="1" si="22"/>
        <v>-4450.07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6894.0999999999995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22</v>
      </c>
      <c r="BC42" s="22">
        <f t="shared" ca="1" si="16"/>
        <v>0</v>
      </c>
      <c r="BE42" s="225">
        <f t="shared" ca="1" si="17"/>
        <v>1.98</v>
      </c>
      <c r="BF42" s="21">
        <f t="shared" ca="1" si="18"/>
        <v>5.3635715969086329E-4</v>
      </c>
      <c r="BG42" s="22">
        <f t="shared" ca="1" si="21"/>
        <v>23</v>
      </c>
      <c r="BH42" s="22">
        <f t="shared" ca="1" si="19"/>
        <v>0.99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197.20999999999998</v>
      </c>
      <c r="I43" s="149">
        <f>SUM('02'!D480:F480)</f>
        <v>500</v>
      </c>
      <c r="J43" s="151">
        <f t="shared" si="3"/>
        <v>710.23</v>
      </c>
      <c r="K43" s="148" t="s">
        <v>2</v>
      </c>
      <c r="L43" s="149">
        <f>'03'!B480</f>
        <v>50</v>
      </c>
      <c r="M43" s="149">
        <f>SUM('03'!D480:F480)</f>
        <v>0</v>
      </c>
      <c r="N43" s="151">
        <f t="shared" si="4"/>
        <v>760.23</v>
      </c>
      <c r="O43" s="148" t="s">
        <v>3</v>
      </c>
      <c r="P43" s="149">
        <f>'04'!B480</f>
        <v>50</v>
      </c>
      <c r="Q43" s="149">
        <f>SUM('04'!D480:F480)</f>
        <v>0</v>
      </c>
      <c r="R43" s="151">
        <f t="shared" si="5"/>
        <v>810.23</v>
      </c>
      <c r="S43" s="148" t="s">
        <v>71</v>
      </c>
      <c r="T43" s="149">
        <f>'05'!B480</f>
        <v>50</v>
      </c>
      <c r="U43" s="149">
        <f>SUM('05'!D480:F480)</f>
        <v>0</v>
      </c>
      <c r="V43" s="151">
        <f t="shared" si="6"/>
        <v>860.23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910.23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960.23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1010.23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1060.23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1110.23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1160.23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1210.23</v>
      </c>
      <c r="AZ43" s="152">
        <f t="shared" si="23"/>
        <v>500</v>
      </c>
      <c r="BA43" s="21">
        <f t="shared" si="15"/>
        <v>9.0533295430060334E-2</v>
      </c>
      <c r="BB43" s="22">
        <f t="shared" si="20"/>
        <v>4</v>
      </c>
      <c r="BC43" s="22">
        <f t="shared" ca="1" si="16"/>
        <v>250</v>
      </c>
      <c r="BE43" s="224">
        <f t="shared" ca="1" si="17"/>
        <v>247.23</v>
      </c>
      <c r="BF43" s="21">
        <f t="shared" ca="1" si="18"/>
        <v>6.6971505348672786E-2</v>
      </c>
      <c r="BG43" s="22">
        <f t="shared" ca="1" si="21"/>
        <v>9</v>
      </c>
      <c r="BH43" s="22">
        <f t="shared" ca="1" si="19"/>
        <v>123.61499999999999</v>
      </c>
      <c r="BJ43" s="224">
        <f t="shared" ca="1" si="22"/>
        <v>-252.76999999999998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22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0</v>
      </c>
      <c r="J45" s="176">
        <f t="shared" si="3"/>
        <v>70.67000000000003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70.67000000000003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70.67000000000003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70.67000000000003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70.67000000000003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70.67000000000003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70.67000000000003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70.67000000000003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70.67000000000003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70.67000000000003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70.67000000000003</v>
      </c>
      <c r="AZ45" s="177">
        <f t="shared" si="23"/>
        <v>25.25</v>
      </c>
      <c r="BA45" s="21">
        <f t="shared" si="15"/>
        <v>4.571931419218047E-3</v>
      </c>
      <c r="BB45" s="22">
        <f t="shared" si="20"/>
        <v>21</v>
      </c>
      <c r="BC45" s="22">
        <f t="shared" ca="1" si="16"/>
        <v>12.625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-25.25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-5.6843418860808015E-14</v>
      </c>
      <c r="I46" s="219">
        <f>SUM(I20:I45)</f>
        <v>677.1</v>
      </c>
      <c r="J46" s="220">
        <f>SUM(J20:J45)</f>
        <v>24552.279999999992</v>
      </c>
      <c r="K46" s="218"/>
      <c r="L46" s="219">
        <f>SUM(L20:L45)</f>
        <v>0</v>
      </c>
      <c r="M46" s="219">
        <f>SUM(M20:M45)</f>
        <v>0</v>
      </c>
      <c r="N46" s="220">
        <f>SUM(N20:N45)</f>
        <v>24552.279999999995</v>
      </c>
      <c r="O46" s="218"/>
      <c r="P46" s="219">
        <f>SUM(P20:P45)</f>
        <v>0</v>
      </c>
      <c r="Q46" s="219">
        <f>SUM(Q20:Q45)</f>
        <v>0</v>
      </c>
      <c r="R46" s="220">
        <f>SUM(R20:R45)</f>
        <v>24552.279999999995</v>
      </c>
      <c r="S46" s="218"/>
      <c r="T46" s="219">
        <f>SUM(T20:T45)</f>
        <v>0</v>
      </c>
      <c r="U46" s="219">
        <f>SUM(U20:U45)</f>
        <v>0</v>
      </c>
      <c r="V46" s="220">
        <f>SUM(V20:V45)</f>
        <v>24552.280000000002</v>
      </c>
      <c r="W46" s="218"/>
      <c r="X46" s="219">
        <f>SUM(X20:X45)</f>
        <v>0</v>
      </c>
      <c r="Y46" s="219">
        <f>SUM(Y20:Y45)</f>
        <v>0</v>
      </c>
      <c r="Z46" s="220">
        <f>SUM(Z20:Z45)</f>
        <v>24552.280000000002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24552.280000000002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24552.280000000002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24552.279999999995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24552.279999999995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24552.279999999995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24552.279999999995</v>
      </c>
      <c r="AZ46" s="227">
        <f>SUM(AZ20:AZ45)</f>
        <v>5522.829999999999</v>
      </c>
      <c r="BA46" s="1"/>
      <c r="BB46" s="1"/>
      <c r="BC46" s="124">
        <f ca="1">SUM(BC20:BC45)</f>
        <v>2761.4149999999995</v>
      </c>
      <c r="BE46" s="227">
        <f ca="1">SUM(BE20:BE45)</f>
        <v>3691.5699999999997</v>
      </c>
      <c r="BF46" s="1"/>
      <c r="BG46" s="1"/>
      <c r="BH46" s="124">
        <f ca="1">SUM(BH20:BH45)</f>
        <v>1845.7849999999999</v>
      </c>
      <c r="BJ46" s="227">
        <f ca="1">SUM(BJ20:BJ45)</f>
        <v>-1831.2599999999998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5.6843418860808015E-14</v>
      </c>
      <c r="I47" s="125">
        <f>G17-I46</f>
        <v>-677.1</v>
      </c>
      <c r="J47" s="125"/>
      <c r="K47" s="125">
        <f>K5-J46</f>
        <v>-9450.3899999999903</v>
      </c>
      <c r="L47" s="125">
        <f>K17-L46</f>
        <v>0</v>
      </c>
      <c r="M47" s="125">
        <f>K17-M46</f>
        <v>0</v>
      </c>
      <c r="N47" s="125"/>
      <c r="O47" s="125">
        <f>O5-N46</f>
        <v>-9450.389999999994</v>
      </c>
      <c r="P47" s="125">
        <f>O17-P46</f>
        <v>0</v>
      </c>
      <c r="Q47" s="125">
        <f>O17-Q46</f>
        <v>0</v>
      </c>
      <c r="R47" s="125"/>
      <c r="S47" s="125">
        <f>S5-R46</f>
        <v>-9450.389999999994</v>
      </c>
      <c r="T47" s="125">
        <f>S17-T46</f>
        <v>0</v>
      </c>
      <c r="U47" s="125">
        <f>S17-U46</f>
        <v>0</v>
      </c>
      <c r="V47" s="125"/>
      <c r="W47" s="125">
        <f>W5-V46</f>
        <v>-9450.3900000000012</v>
      </c>
      <c r="X47" s="125">
        <f>W17-X46</f>
        <v>0</v>
      </c>
      <c r="Y47" s="125">
        <f>W17-Y46</f>
        <v>0</v>
      </c>
      <c r="Z47" s="125"/>
      <c r="AA47" s="125">
        <f>AA5-Z46</f>
        <v>-9450.3900000000012</v>
      </c>
      <c r="AB47" s="125">
        <f>AA17-AB46</f>
        <v>0</v>
      </c>
      <c r="AC47" s="125">
        <f>AA17-AC46</f>
        <v>0</v>
      </c>
      <c r="AD47" s="125"/>
      <c r="AE47" s="125">
        <f>AE5-AD46</f>
        <v>-9450.3900000000012</v>
      </c>
      <c r="AF47" s="125">
        <f>AE17-AF46</f>
        <v>0</v>
      </c>
      <c r="AG47" s="125">
        <f>AE17-AG46</f>
        <v>0</v>
      </c>
      <c r="AH47" s="125"/>
      <c r="AI47" s="125">
        <f>AI5-AH46</f>
        <v>-9450.3900000000012</v>
      </c>
      <c r="AJ47" s="125">
        <f>AI17-AJ46</f>
        <v>0</v>
      </c>
      <c r="AK47" s="125">
        <f>AI17-AK46</f>
        <v>0</v>
      </c>
      <c r="AL47" s="125"/>
      <c r="AM47" s="125">
        <f>AM5-AL46</f>
        <v>-9450.389999999994</v>
      </c>
      <c r="AN47" s="125">
        <f>AM17-AN46</f>
        <v>0</v>
      </c>
      <c r="AO47" s="125">
        <f>AM17-AO46</f>
        <v>0</v>
      </c>
      <c r="AP47" s="125"/>
      <c r="AQ47" s="125">
        <f>AQ5-AP46</f>
        <v>-9450.389999999994</v>
      </c>
      <c r="AR47" s="125">
        <f>AQ17-AR46</f>
        <v>0</v>
      </c>
      <c r="AS47" s="125">
        <f>AQ17-AS46</f>
        <v>0</v>
      </c>
      <c r="AT47" s="140"/>
      <c r="AU47" s="125">
        <f>AU5-AT46</f>
        <v>-9450.389999999994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33136.979999999996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151.19999999999999</v>
      </c>
      <c r="J50" s="119"/>
      <c r="K50" s="119"/>
      <c r="L50" s="119"/>
      <c r="M50" s="119">
        <f>M22+30.35</f>
        <v>30.35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</f>
        <v>0</v>
      </c>
      <c r="V50" s="119"/>
      <c r="W50" s="119"/>
      <c r="X50" s="119"/>
      <c r="Y50" s="119">
        <f>Y22</f>
        <v>0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39" t="s">
        <v>149</v>
      </c>
      <c r="D52" s="240"/>
      <c r="E52" s="240"/>
      <c r="F52" s="241"/>
      <c r="G52" s="239" t="s">
        <v>149</v>
      </c>
      <c r="H52" s="240"/>
      <c r="I52" s="240"/>
      <c r="J52" s="241"/>
      <c r="K52" s="239" t="s">
        <v>149</v>
      </c>
      <c r="L52" s="240"/>
      <c r="M52" s="240"/>
      <c r="N52" s="241"/>
      <c r="O52" s="239" t="s">
        <v>149</v>
      </c>
      <c r="P52" s="240"/>
      <c r="Q52" s="240"/>
      <c r="R52" s="241"/>
      <c r="S52" s="239" t="s">
        <v>149</v>
      </c>
      <c r="T52" s="240"/>
      <c r="U52" s="240"/>
      <c r="V52" s="241"/>
      <c r="W52" s="239" t="s">
        <v>149</v>
      </c>
      <c r="X52" s="240"/>
      <c r="Y52" s="240"/>
      <c r="Z52" s="241"/>
      <c r="AA52" s="239" t="s">
        <v>149</v>
      </c>
      <c r="AB52" s="240"/>
      <c r="AC52" s="240"/>
      <c r="AD52" s="241"/>
      <c r="AE52" s="239" t="s">
        <v>149</v>
      </c>
      <c r="AF52" s="240"/>
      <c r="AG52" s="240"/>
      <c r="AH52" s="241"/>
      <c r="AI52" s="239" t="s">
        <v>149</v>
      </c>
      <c r="AJ52" s="240"/>
      <c r="AK52" s="240"/>
      <c r="AL52" s="241"/>
      <c r="AM52" s="239" t="s">
        <v>149</v>
      </c>
      <c r="AN52" s="240"/>
      <c r="AO52" s="240"/>
      <c r="AP52" s="241"/>
      <c r="AQ52" s="239" t="s">
        <v>149</v>
      </c>
      <c r="AR52" s="240"/>
      <c r="AS52" s="240"/>
      <c r="AT52" s="241"/>
      <c r="AU52" s="239" t="s">
        <v>149</v>
      </c>
      <c r="AV52" s="240"/>
      <c r="AW52" s="240"/>
      <c r="AX52" s="241"/>
    </row>
    <row r="53" spans="1:62" ht="15.75" thickBot="1">
      <c r="C53" s="93" t="s">
        <v>150</v>
      </c>
      <c r="D53" s="242" t="s">
        <v>31</v>
      </c>
      <c r="E53" s="243"/>
      <c r="F53" s="94" t="s">
        <v>88</v>
      </c>
      <c r="G53" s="93" t="s">
        <v>150</v>
      </c>
      <c r="H53" s="242" t="s">
        <v>31</v>
      </c>
      <c r="I53" s="243"/>
      <c r="J53" s="94" t="s">
        <v>88</v>
      </c>
      <c r="K53" s="93" t="s">
        <v>150</v>
      </c>
      <c r="L53" s="242" t="s">
        <v>31</v>
      </c>
      <c r="M53" s="243"/>
      <c r="N53" s="94" t="s">
        <v>88</v>
      </c>
      <c r="O53" s="93" t="s">
        <v>150</v>
      </c>
      <c r="P53" s="242" t="s">
        <v>31</v>
      </c>
      <c r="Q53" s="243"/>
      <c r="R53" s="94" t="s">
        <v>88</v>
      </c>
      <c r="S53" s="93" t="s">
        <v>150</v>
      </c>
      <c r="T53" s="242" t="s">
        <v>31</v>
      </c>
      <c r="U53" s="243"/>
      <c r="V53" s="94" t="s">
        <v>88</v>
      </c>
      <c r="W53" s="93" t="s">
        <v>150</v>
      </c>
      <c r="X53" s="242" t="s">
        <v>31</v>
      </c>
      <c r="Y53" s="243"/>
      <c r="Z53" s="94" t="s">
        <v>88</v>
      </c>
      <c r="AA53" s="93" t="s">
        <v>150</v>
      </c>
      <c r="AB53" s="242" t="s">
        <v>31</v>
      </c>
      <c r="AC53" s="243"/>
      <c r="AD53" s="94" t="s">
        <v>88</v>
      </c>
      <c r="AE53" s="93" t="s">
        <v>150</v>
      </c>
      <c r="AF53" s="242" t="s">
        <v>31</v>
      </c>
      <c r="AG53" s="243"/>
      <c r="AH53" s="94" t="s">
        <v>88</v>
      </c>
      <c r="AI53" s="93" t="s">
        <v>150</v>
      </c>
      <c r="AJ53" s="242" t="s">
        <v>31</v>
      </c>
      <c r="AK53" s="243"/>
      <c r="AL53" s="94" t="s">
        <v>88</v>
      </c>
      <c r="AM53" s="93" t="s">
        <v>150</v>
      </c>
      <c r="AN53" s="242" t="s">
        <v>31</v>
      </c>
      <c r="AO53" s="243"/>
      <c r="AP53" s="94" t="s">
        <v>88</v>
      </c>
      <c r="AQ53" s="93" t="s">
        <v>150</v>
      </c>
      <c r="AR53" s="242" t="s">
        <v>31</v>
      </c>
      <c r="AS53" s="243"/>
      <c r="AT53" s="94" t="s">
        <v>88</v>
      </c>
      <c r="AU53" s="93" t="s">
        <v>150</v>
      </c>
      <c r="AV53" s="242" t="s">
        <v>31</v>
      </c>
      <c r="AW53" s="243"/>
      <c r="AX53" s="94" t="s">
        <v>88</v>
      </c>
    </row>
    <row r="54" spans="1:62">
      <c r="C54" s="95">
        <v>43495</v>
      </c>
      <c r="D54" s="244" t="s">
        <v>238</v>
      </c>
      <c r="E54" s="245"/>
      <c r="F54" s="98"/>
      <c r="G54" s="95">
        <v>43497</v>
      </c>
      <c r="H54" s="244" t="s">
        <v>273</v>
      </c>
      <c r="I54" s="245"/>
      <c r="J54" s="100" t="s">
        <v>277</v>
      </c>
      <c r="K54" s="95">
        <v>43539</v>
      </c>
      <c r="L54" s="264" t="s">
        <v>260</v>
      </c>
      <c r="M54" s="265"/>
      <c r="N54" s="100">
        <v>70</v>
      </c>
      <c r="O54" s="95"/>
      <c r="P54" s="250"/>
      <c r="Q54" s="251"/>
      <c r="R54" s="102"/>
      <c r="S54" s="95"/>
      <c r="T54" s="250"/>
      <c r="U54" s="251"/>
      <c r="V54" s="103"/>
      <c r="W54" s="96"/>
      <c r="X54" s="252"/>
      <c r="Y54" s="253"/>
      <c r="Z54" s="104"/>
      <c r="AA54" s="95"/>
      <c r="AB54" s="262"/>
      <c r="AC54" s="263"/>
      <c r="AD54" s="100"/>
      <c r="AE54" s="95"/>
      <c r="AF54" s="258"/>
      <c r="AG54" s="259"/>
      <c r="AH54" s="100"/>
      <c r="AI54" s="95"/>
      <c r="AJ54" s="254"/>
      <c r="AK54" s="255"/>
      <c r="AL54" s="100"/>
      <c r="AM54" s="95"/>
      <c r="AN54" s="254"/>
      <c r="AO54" s="255"/>
      <c r="AP54" s="100"/>
      <c r="AQ54" s="95"/>
      <c r="AR54" s="250"/>
      <c r="AS54" s="251"/>
      <c r="AT54" s="100"/>
      <c r="AU54" s="95"/>
      <c r="AV54" s="244"/>
      <c r="AW54" s="245"/>
      <c r="AX54" s="100"/>
    </row>
    <row r="55" spans="1:62">
      <c r="C55" s="96"/>
      <c r="D55" s="235" t="s">
        <v>239</v>
      </c>
      <c r="E55" s="236"/>
      <c r="F55" s="98">
        <v>121.4</v>
      </c>
      <c r="G55" s="96"/>
      <c r="H55" s="235"/>
      <c r="I55" s="236"/>
      <c r="J55" s="100"/>
      <c r="K55" s="96">
        <v>43553</v>
      </c>
      <c r="L55" s="235" t="s">
        <v>301</v>
      </c>
      <c r="M55" s="236"/>
      <c r="N55" s="100">
        <v>4421.9399999999996</v>
      </c>
      <c r="O55" s="96"/>
      <c r="P55" s="252"/>
      <c r="Q55" s="253"/>
      <c r="R55" s="102"/>
      <c r="S55" s="96"/>
      <c r="T55" s="252"/>
      <c r="U55" s="253"/>
      <c r="V55" s="100"/>
      <c r="W55" s="96"/>
      <c r="X55" s="252"/>
      <c r="Y55" s="253"/>
      <c r="Z55" s="100"/>
      <c r="AA55" s="96"/>
      <c r="AB55" s="235"/>
      <c r="AC55" s="236"/>
      <c r="AD55" s="100"/>
      <c r="AE55" s="96"/>
      <c r="AF55" s="252"/>
      <c r="AG55" s="253"/>
      <c r="AH55" s="100"/>
      <c r="AI55" s="96"/>
      <c r="AJ55" s="252"/>
      <c r="AK55" s="253"/>
      <c r="AL55" s="100"/>
      <c r="AM55" s="96"/>
      <c r="AN55" s="252"/>
      <c r="AO55" s="253"/>
      <c r="AP55" s="100"/>
      <c r="AQ55" s="96"/>
      <c r="AR55" s="235"/>
      <c r="AS55" s="236"/>
      <c r="AT55" s="100"/>
      <c r="AU55" s="96"/>
      <c r="AV55" s="235"/>
      <c r="AW55" s="236"/>
      <c r="AX55" s="100"/>
    </row>
    <row r="56" spans="1:62">
      <c r="B56" s="119"/>
      <c r="C56" s="96">
        <v>43472</v>
      </c>
      <c r="D56" s="235" t="s">
        <v>151</v>
      </c>
      <c r="E56" s="236"/>
      <c r="F56" s="98">
        <v>15</v>
      </c>
      <c r="G56" s="96"/>
      <c r="H56" s="235"/>
      <c r="I56" s="236"/>
      <c r="J56" s="100"/>
      <c r="K56" s="96"/>
      <c r="L56" s="235"/>
      <c r="M56" s="236"/>
      <c r="N56" s="100"/>
      <c r="O56" s="96"/>
      <c r="P56" s="252"/>
      <c r="Q56" s="253"/>
      <c r="R56" s="102"/>
      <c r="S56" s="96"/>
      <c r="T56" s="235"/>
      <c r="U56" s="236"/>
      <c r="V56" s="100"/>
      <c r="W56" s="96"/>
      <c r="X56" s="235"/>
      <c r="Y56" s="236"/>
      <c r="Z56" s="100"/>
      <c r="AA56" s="96"/>
      <c r="AB56" s="235"/>
      <c r="AC56" s="236"/>
      <c r="AD56" s="100"/>
      <c r="AE56" s="96"/>
      <c r="AF56" s="252"/>
      <c r="AG56" s="253"/>
      <c r="AH56" s="100"/>
      <c r="AI56" s="96"/>
      <c r="AJ56" s="256"/>
      <c r="AK56" s="257"/>
      <c r="AL56" s="100"/>
      <c r="AM56" s="96"/>
      <c r="AN56" s="256"/>
      <c r="AO56" s="257"/>
      <c r="AP56" s="100"/>
      <c r="AQ56" s="96"/>
      <c r="AR56" s="252"/>
      <c r="AS56" s="253"/>
      <c r="AT56" s="100"/>
      <c r="AU56" s="96"/>
      <c r="AV56" s="235"/>
      <c r="AW56" s="236"/>
      <c r="AX56" s="100"/>
    </row>
    <row r="57" spans="1:62">
      <c r="C57" s="96">
        <v>43476</v>
      </c>
      <c r="D57" s="235" t="s">
        <v>153</v>
      </c>
      <c r="E57" s="236"/>
      <c r="F57" s="98">
        <v>10</v>
      </c>
      <c r="G57" s="96"/>
      <c r="H57" s="235"/>
      <c r="I57" s="236"/>
      <c r="J57" s="100"/>
      <c r="K57" s="96"/>
      <c r="L57" s="235"/>
      <c r="M57" s="236"/>
      <c r="N57" s="100"/>
      <c r="O57" s="96"/>
      <c r="P57" s="252"/>
      <c r="Q57" s="253"/>
      <c r="R57" s="100"/>
      <c r="S57" s="96"/>
      <c r="T57" s="235"/>
      <c r="U57" s="236"/>
      <c r="V57" s="100"/>
      <c r="W57" s="96"/>
      <c r="X57" s="235"/>
      <c r="Y57" s="236"/>
      <c r="Z57" s="100"/>
      <c r="AA57" s="96"/>
      <c r="AB57" s="252"/>
      <c r="AC57" s="253"/>
      <c r="AD57" s="100"/>
      <c r="AE57" s="96"/>
      <c r="AF57" s="235"/>
      <c r="AG57" s="236"/>
      <c r="AH57" s="100"/>
      <c r="AI57" s="96"/>
      <c r="AJ57" s="246"/>
      <c r="AK57" s="247"/>
      <c r="AL57" s="100"/>
      <c r="AM57" s="96"/>
      <c r="AN57" s="256"/>
      <c r="AO57" s="257"/>
      <c r="AP57" s="100"/>
      <c r="AQ57" s="96"/>
      <c r="AR57" s="235"/>
      <c r="AS57" s="236"/>
      <c r="AT57" s="100"/>
      <c r="AU57" s="96"/>
      <c r="AV57" s="235"/>
      <c r="AW57" s="236"/>
      <c r="AX57" s="100"/>
    </row>
    <row r="58" spans="1:62">
      <c r="C58" s="96">
        <v>43478</v>
      </c>
      <c r="D58" s="235" t="s">
        <v>246</v>
      </c>
      <c r="E58" s="236"/>
      <c r="F58" s="98"/>
      <c r="G58" s="96"/>
      <c r="H58" s="235"/>
      <c r="I58" s="236"/>
      <c r="J58" s="100"/>
      <c r="K58" s="96"/>
      <c r="L58" s="235"/>
      <c r="M58" s="236"/>
      <c r="N58" s="100"/>
      <c r="O58" s="96"/>
      <c r="P58" s="235"/>
      <c r="Q58" s="236"/>
      <c r="R58" s="100"/>
      <c r="S58" s="96"/>
      <c r="T58" s="235"/>
      <c r="U58" s="236"/>
      <c r="V58" s="100"/>
      <c r="W58" s="96"/>
      <c r="X58" s="235"/>
      <c r="Y58" s="236"/>
      <c r="Z58" s="100"/>
      <c r="AA58" s="96"/>
      <c r="AB58" s="252"/>
      <c r="AC58" s="253"/>
      <c r="AD58" s="100"/>
      <c r="AE58" s="96"/>
      <c r="AF58" s="235"/>
      <c r="AG58" s="236"/>
      <c r="AH58" s="100"/>
      <c r="AI58" s="96"/>
      <c r="AJ58" s="246"/>
      <c r="AK58" s="247"/>
      <c r="AL58" s="100"/>
      <c r="AM58" s="96"/>
      <c r="AN58" s="246"/>
      <c r="AO58" s="247"/>
      <c r="AP58" s="100"/>
      <c r="AQ58" s="96"/>
      <c r="AR58" s="235"/>
      <c r="AS58" s="236"/>
      <c r="AT58" s="100"/>
      <c r="AU58" s="96"/>
      <c r="AV58" s="235"/>
      <c r="AW58" s="236"/>
      <c r="AX58" s="100"/>
    </row>
    <row r="59" spans="1:62">
      <c r="C59" s="96">
        <v>43481</v>
      </c>
      <c r="D59" s="235" t="s">
        <v>274</v>
      </c>
      <c r="E59" s="236"/>
      <c r="F59" s="98">
        <v>50</v>
      </c>
      <c r="G59" s="96"/>
      <c r="H59" s="235"/>
      <c r="I59" s="236"/>
      <c r="J59" s="100"/>
      <c r="K59" s="96"/>
      <c r="L59" s="235"/>
      <c r="M59" s="236"/>
      <c r="N59" s="100"/>
      <c r="O59" s="96"/>
      <c r="P59" s="235"/>
      <c r="Q59" s="236"/>
      <c r="R59" s="100"/>
      <c r="S59" s="96"/>
      <c r="T59" s="256"/>
      <c r="U59" s="257"/>
      <c r="V59" s="100"/>
      <c r="W59" s="96"/>
      <c r="X59" s="256"/>
      <c r="Y59" s="257"/>
      <c r="Z59" s="100"/>
      <c r="AA59" s="96"/>
      <c r="AB59" s="256"/>
      <c r="AC59" s="257"/>
      <c r="AD59" s="100"/>
      <c r="AE59" s="96"/>
      <c r="AF59" s="235"/>
      <c r="AG59" s="236"/>
      <c r="AH59" s="100"/>
      <c r="AI59" s="96"/>
      <c r="AJ59" s="246"/>
      <c r="AK59" s="247"/>
      <c r="AL59" s="100"/>
      <c r="AM59" s="96"/>
      <c r="AN59" s="246"/>
      <c r="AO59" s="247"/>
      <c r="AP59" s="100"/>
      <c r="AQ59" s="96"/>
      <c r="AR59" s="235"/>
      <c r="AS59" s="236"/>
      <c r="AT59" s="100"/>
      <c r="AU59" s="96"/>
      <c r="AV59" s="235"/>
      <c r="AW59" s="236"/>
      <c r="AX59" s="100"/>
    </row>
    <row r="60" spans="1:62">
      <c r="C60" s="96">
        <v>43488</v>
      </c>
      <c r="D60" s="235" t="s">
        <v>294</v>
      </c>
      <c r="E60" s="236"/>
      <c r="F60" s="98"/>
      <c r="G60" s="96"/>
      <c r="H60" s="235"/>
      <c r="I60" s="236"/>
      <c r="J60" s="100"/>
      <c r="K60" s="96"/>
      <c r="L60" s="235"/>
      <c r="M60" s="236"/>
      <c r="N60" s="100"/>
      <c r="O60" s="96"/>
      <c r="P60" s="235"/>
      <c r="Q60" s="236"/>
      <c r="R60" s="100"/>
      <c r="S60" s="96"/>
      <c r="T60" s="256"/>
      <c r="U60" s="257"/>
      <c r="V60" s="100"/>
      <c r="W60" s="96"/>
      <c r="X60" s="246"/>
      <c r="Y60" s="247"/>
      <c r="Z60" s="100"/>
      <c r="AA60" s="96"/>
      <c r="AB60" s="246"/>
      <c r="AC60" s="247"/>
      <c r="AD60" s="100"/>
      <c r="AE60" s="96"/>
      <c r="AF60" s="256"/>
      <c r="AG60" s="257"/>
      <c r="AH60" s="100"/>
      <c r="AI60" s="96"/>
      <c r="AJ60" s="246"/>
      <c r="AK60" s="247"/>
      <c r="AL60" s="100"/>
      <c r="AM60" s="96"/>
      <c r="AN60" s="246"/>
      <c r="AO60" s="247"/>
      <c r="AP60" s="100"/>
      <c r="AQ60" s="96"/>
      <c r="AR60" s="235"/>
      <c r="AS60" s="236"/>
      <c r="AT60" s="100"/>
      <c r="AU60" s="96"/>
      <c r="AV60" s="235"/>
      <c r="AW60" s="236"/>
      <c r="AX60" s="100"/>
    </row>
    <row r="61" spans="1:62">
      <c r="C61" s="96">
        <v>43490</v>
      </c>
      <c r="D61" s="235" t="s">
        <v>296</v>
      </c>
      <c r="E61" s="236"/>
      <c r="F61" s="98">
        <v>40</v>
      </c>
      <c r="G61" s="96"/>
      <c r="H61" s="235"/>
      <c r="I61" s="236"/>
      <c r="J61" s="100"/>
      <c r="K61" s="96"/>
      <c r="L61" s="235"/>
      <c r="M61" s="236"/>
      <c r="N61" s="100"/>
      <c r="O61" s="96"/>
      <c r="P61" s="235"/>
      <c r="Q61" s="236"/>
      <c r="R61" s="100"/>
      <c r="S61" s="96"/>
      <c r="T61" s="256"/>
      <c r="U61" s="257"/>
      <c r="V61" s="100"/>
      <c r="W61" s="96"/>
      <c r="X61" s="246"/>
      <c r="Y61" s="247"/>
      <c r="Z61" s="100"/>
      <c r="AA61" s="96"/>
      <c r="AB61" s="246"/>
      <c r="AC61" s="247"/>
      <c r="AD61" s="100"/>
      <c r="AE61" s="96"/>
      <c r="AF61" s="246"/>
      <c r="AG61" s="247"/>
      <c r="AH61" s="100"/>
      <c r="AI61" s="96"/>
      <c r="AJ61" s="246"/>
      <c r="AK61" s="247"/>
      <c r="AL61" s="100"/>
      <c r="AM61" s="96"/>
      <c r="AN61" s="246"/>
      <c r="AO61" s="247"/>
      <c r="AP61" s="100"/>
      <c r="AQ61" s="96"/>
      <c r="AR61" s="235"/>
      <c r="AS61" s="236"/>
      <c r="AT61" s="100"/>
      <c r="AU61" s="96"/>
      <c r="AV61" s="235"/>
      <c r="AW61" s="236"/>
      <c r="AX61" s="100"/>
    </row>
    <row r="62" spans="1:62">
      <c r="C62" s="96"/>
      <c r="D62" s="235"/>
      <c r="E62" s="236"/>
      <c r="F62" s="98"/>
      <c r="G62" s="96"/>
      <c r="H62" s="235"/>
      <c r="I62" s="236"/>
      <c r="J62" s="100"/>
      <c r="K62" s="96"/>
      <c r="L62" s="235"/>
      <c r="M62" s="236"/>
      <c r="N62" s="100"/>
      <c r="O62" s="96"/>
      <c r="P62" s="235"/>
      <c r="Q62" s="236"/>
      <c r="R62" s="100"/>
      <c r="S62" s="96"/>
      <c r="T62" s="256"/>
      <c r="U62" s="257"/>
      <c r="V62" s="100"/>
      <c r="W62" s="96"/>
      <c r="X62" s="246"/>
      <c r="Y62" s="247"/>
      <c r="Z62" s="100"/>
      <c r="AA62" s="96"/>
      <c r="AB62" s="246"/>
      <c r="AC62" s="247"/>
      <c r="AD62" s="100"/>
      <c r="AE62" s="96"/>
      <c r="AF62" s="246"/>
      <c r="AG62" s="247"/>
      <c r="AH62" s="100"/>
      <c r="AI62" s="96"/>
      <c r="AJ62" s="246"/>
      <c r="AK62" s="247"/>
      <c r="AL62" s="100"/>
      <c r="AM62" s="96"/>
      <c r="AN62" s="246"/>
      <c r="AO62" s="247"/>
      <c r="AP62" s="100"/>
      <c r="AQ62" s="96"/>
      <c r="AR62" s="235"/>
      <c r="AS62" s="236"/>
      <c r="AT62" s="100"/>
      <c r="AU62" s="96"/>
      <c r="AV62" s="235"/>
      <c r="AW62" s="236"/>
      <c r="AX62" s="100"/>
    </row>
    <row r="63" spans="1:62">
      <c r="C63" s="96"/>
      <c r="D63" s="235"/>
      <c r="E63" s="236"/>
      <c r="F63" s="98"/>
      <c r="G63" s="96"/>
      <c r="H63" s="235"/>
      <c r="I63" s="236"/>
      <c r="J63" s="100"/>
      <c r="K63" s="96"/>
      <c r="L63" s="235"/>
      <c r="M63" s="236"/>
      <c r="N63" s="100"/>
      <c r="O63" s="96"/>
      <c r="P63" s="235"/>
      <c r="Q63" s="236"/>
      <c r="R63" s="100"/>
      <c r="S63" s="96"/>
      <c r="T63" s="256"/>
      <c r="U63" s="257"/>
      <c r="V63" s="100"/>
      <c r="W63" s="96"/>
      <c r="X63" s="246"/>
      <c r="Y63" s="247"/>
      <c r="Z63" s="100"/>
      <c r="AA63" s="96"/>
      <c r="AB63" s="246"/>
      <c r="AC63" s="247"/>
      <c r="AD63" s="100"/>
      <c r="AE63" s="96"/>
      <c r="AF63" s="246"/>
      <c r="AG63" s="247"/>
      <c r="AH63" s="100"/>
      <c r="AI63" s="96"/>
      <c r="AJ63" s="246"/>
      <c r="AK63" s="247"/>
      <c r="AL63" s="100"/>
      <c r="AM63" s="96"/>
      <c r="AN63" s="246"/>
      <c r="AO63" s="247"/>
      <c r="AP63" s="100"/>
      <c r="AQ63" s="96"/>
      <c r="AR63" s="235"/>
      <c r="AS63" s="236"/>
      <c r="AT63" s="100"/>
      <c r="AU63" s="96"/>
      <c r="AV63" s="235"/>
      <c r="AW63" s="236"/>
      <c r="AX63" s="100"/>
    </row>
    <row r="64" spans="1:62">
      <c r="C64" s="96"/>
      <c r="D64" s="235"/>
      <c r="E64" s="236"/>
      <c r="F64" s="98"/>
      <c r="G64" s="96"/>
      <c r="H64" s="235"/>
      <c r="I64" s="236"/>
      <c r="J64" s="100"/>
      <c r="K64" s="96"/>
      <c r="L64" s="235"/>
      <c r="M64" s="236"/>
      <c r="N64" s="100"/>
      <c r="O64" s="96"/>
      <c r="P64" s="235"/>
      <c r="Q64" s="236"/>
      <c r="R64" s="100"/>
      <c r="S64" s="96"/>
      <c r="T64" s="256"/>
      <c r="U64" s="257"/>
      <c r="V64" s="100"/>
      <c r="W64" s="96"/>
      <c r="X64" s="246"/>
      <c r="Y64" s="247"/>
      <c r="Z64" s="100"/>
      <c r="AA64" s="96"/>
      <c r="AB64" s="246"/>
      <c r="AC64" s="247"/>
      <c r="AD64" s="100"/>
      <c r="AE64" s="96"/>
      <c r="AF64" s="246"/>
      <c r="AG64" s="247"/>
      <c r="AH64" s="100"/>
      <c r="AI64" s="96"/>
      <c r="AJ64" s="246"/>
      <c r="AK64" s="247"/>
      <c r="AL64" s="100"/>
      <c r="AM64" s="96"/>
      <c r="AN64" s="246"/>
      <c r="AO64" s="247"/>
      <c r="AP64" s="100"/>
      <c r="AQ64" s="96"/>
      <c r="AR64" s="235"/>
      <c r="AS64" s="236"/>
      <c r="AT64" s="100"/>
      <c r="AU64" s="96"/>
      <c r="AV64" s="235"/>
      <c r="AW64" s="236"/>
      <c r="AX64" s="100"/>
    </row>
    <row r="65" spans="1:50">
      <c r="C65" s="96"/>
      <c r="D65" s="235"/>
      <c r="E65" s="236"/>
      <c r="F65" s="98"/>
      <c r="G65" s="96"/>
      <c r="H65" s="235"/>
      <c r="I65" s="236"/>
      <c r="J65" s="100"/>
      <c r="K65" s="96"/>
      <c r="L65" s="235"/>
      <c r="M65" s="236"/>
      <c r="N65" s="100"/>
      <c r="O65" s="96"/>
      <c r="P65" s="235"/>
      <c r="Q65" s="236"/>
      <c r="R65" s="100"/>
      <c r="S65" s="96"/>
      <c r="T65" s="256"/>
      <c r="U65" s="257"/>
      <c r="V65" s="100"/>
      <c r="W65" s="96"/>
      <c r="X65" s="246"/>
      <c r="Y65" s="247"/>
      <c r="Z65" s="100"/>
      <c r="AA65" s="96"/>
      <c r="AB65" s="246"/>
      <c r="AC65" s="247"/>
      <c r="AD65" s="100"/>
      <c r="AE65" s="96"/>
      <c r="AF65" s="246"/>
      <c r="AG65" s="247"/>
      <c r="AH65" s="100"/>
      <c r="AI65" s="96"/>
      <c r="AJ65" s="246"/>
      <c r="AK65" s="247"/>
      <c r="AL65" s="100"/>
      <c r="AM65" s="96"/>
      <c r="AN65" s="246"/>
      <c r="AO65" s="247"/>
      <c r="AP65" s="100"/>
      <c r="AQ65" s="96"/>
      <c r="AR65" s="235"/>
      <c r="AS65" s="236"/>
      <c r="AT65" s="100"/>
      <c r="AU65" s="96"/>
      <c r="AV65" s="235"/>
      <c r="AW65" s="236"/>
      <c r="AX65" s="100"/>
    </row>
    <row r="66" spans="1:50">
      <c r="C66" s="96"/>
      <c r="D66" s="235"/>
      <c r="E66" s="236"/>
      <c r="F66" s="98"/>
      <c r="G66" s="96"/>
      <c r="H66" s="235"/>
      <c r="I66" s="236"/>
      <c r="J66" s="100"/>
      <c r="K66" s="96"/>
      <c r="L66" s="235"/>
      <c r="M66" s="236"/>
      <c r="N66" s="100"/>
      <c r="O66" s="96"/>
      <c r="P66" s="235"/>
      <c r="Q66" s="236"/>
      <c r="R66" s="100"/>
      <c r="S66" s="96"/>
      <c r="T66" s="246"/>
      <c r="U66" s="247"/>
      <c r="V66" s="100"/>
      <c r="W66" s="96"/>
      <c r="X66" s="246"/>
      <c r="Y66" s="247"/>
      <c r="Z66" s="100"/>
      <c r="AA66" s="96"/>
      <c r="AB66" s="246"/>
      <c r="AC66" s="247"/>
      <c r="AD66" s="100"/>
      <c r="AE66" s="96"/>
      <c r="AF66" s="246"/>
      <c r="AG66" s="247"/>
      <c r="AH66" s="100"/>
      <c r="AI66" s="96"/>
      <c r="AJ66" s="246"/>
      <c r="AK66" s="247"/>
      <c r="AL66" s="100"/>
      <c r="AM66" s="96"/>
      <c r="AN66" s="246"/>
      <c r="AO66" s="247"/>
      <c r="AP66" s="100"/>
      <c r="AQ66" s="96"/>
      <c r="AR66" s="235"/>
      <c r="AS66" s="236"/>
      <c r="AT66" s="100"/>
      <c r="AU66" s="96"/>
      <c r="AV66" s="235"/>
      <c r="AW66" s="236"/>
      <c r="AX66" s="100"/>
    </row>
    <row r="67" spans="1:50">
      <c r="C67" s="96"/>
      <c r="D67" s="235"/>
      <c r="E67" s="236"/>
      <c r="F67" s="98"/>
      <c r="G67" s="96"/>
      <c r="H67" s="235"/>
      <c r="I67" s="236"/>
      <c r="J67" s="100"/>
      <c r="K67" s="96"/>
      <c r="L67" s="235"/>
      <c r="M67" s="236"/>
      <c r="N67" s="100"/>
      <c r="O67" s="96"/>
      <c r="P67" s="235"/>
      <c r="Q67" s="236"/>
      <c r="R67" s="100"/>
      <c r="S67" s="96"/>
      <c r="T67" s="246"/>
      <c r="U67" s="247"/>
      <c r="V67" s="100"/>
      <c r="W67" s="96"/>
      <c r="X67" s="246"/>
      <c r="Y67" s="247"/>
      <c r="Z67" s="100"/>
      <c r="AA67" s="96"/>
      <c r="AB67" s="246"/>
      <c r="AC67" s="247"/>
      <c r="AD67" s="100"/>
      <c r="AE67" s="96"/>
      <c r="AF67" s="246"/>
      <c r="AG67" s="247"/>
      <c r="AH67" s="100"/>
      <c r="AI67" s="96"/>
      <c r="AJ67" s="246"/>
      <c r="AK67" s="247"/>
      <c r="AL67" s="100"/>
      <c r="AM67" s="96"/>
      <c r="AN67" s="246"/>
      <c r="AO67" s="247"/>
      <c r="AP67" s="100"/>
      <c r="AQ67" s="96"/>
      <c r="AR67" s="235"/>
      <c r="AS67" s="236"/>
      <c r="AT67" s="100"/>
      <c r="AU67" s="96"/>
      <c r="AV67" s="235"/>
      <c r="AW67" s="236"/>
      <c r="AX67" s="100"/>
    </row>
    <row r="68" spans="1:50">
      <c r="C68" s="96"/>
      <c r="D68" s="235"/>
      <c r="E68" s="236"/>
      <c r="F68" s="98"/>
      <c r="G68" s="96"/>
      <c r="H68" s="235"/>
      <c r="I68" s="236"/>
      <c r="J68" s="100"/>
      <c r="K68" s="96"/>
      <c r="L68" s="235"/>
      <c r="M68" s="236"/>
      <c r="N68" s="100"/>
      <c r="O68" s="96"/>
      <c r="P68" s="235"/>
      <c r="Q68" s="236"/>
      <c r="R68" s="100"/>
      <c r="S68" s="96"/>
      <c r="T68" s="246"/>
      <c r="U68" s="247"/>
      <c r="V68" s="100"/>
      <c r="W68" s="96"/>
      <c r="X68" s="246"/>
      <c r="Y68" s="247"/>
      <c r="Z68" s="100"/>
      <c r="AA68" s="96"/>
      <c r="AB68" s="246"/>
      <c r="AC68" s="247"/>
      <c r="AD68" s="100"/>
      <c r="AE68" s="96"/>
      <c r="AF68" s="246"/>
      <c r="AG68" s="247"/>
      <c r="AH68" s="100"/>
      <c r="AI68" s="96"/>
      <c r="AJ68" s="246"/>
      <c r="AK68" s="247"/>
      <c r="AL68" s="100"/>
      <c r="AM68" s="96"/>
      <c r="AN68" s="246"/>
      <c r="AO68" s="247"/>
      <c r="AP68" s="100"/>
      <c r="AQ68" s="96"/>
      <c r="AR68" s="235"/>
      <c r="AS68" s="236"/>
      <c r="AT68" s="100"/>
      <c r="AU68" s="96"/>
      <c r="AV68" s="235"/>
      <c r="AW68" s="236"/>
      <c r="AX68" s="100"/>
    </row>
    <row r="69" spans="1:50">
      <c r="C69" s="96"/>
      <c r="D69" s="235"/>
      <c r="E69" s="236"/>
      <c r="F69" s="98"/>
      <c r="G69" s="96"/>
      <c r="H69" s="235"/>
      <c r="I69" s="236"/>
      <c r="J69" s="100"/>
      <c r="K69" s="96"/>
      <c r="L69" s="235"/>
      <c r="M69" s="236"/>
      <c r="N69" s="100"/>
      <c r="O69" s="96"/>
      <c r="P69" s="235"/>
      <c r="Q69" s="236"/>
      <c r="R69" s="100"/>
      <c r="S69" s="96"/>
      <c r="T69" s="246"/>
      <c r="U69" s="247"/>
      <c r="V69" s="100"/>
      <c r="W69" s="96"/>
      <c r="X69" s="246"/>
      <c r="Y69" s="247"/>
      <c r="Z69" s="100"/>
      <c r="AA69" s="96"/>
      <c r="AB69" s="246"/>
      <c r="AC69" s="247"/>
      <c r="AD69" s="100"/>
      <c r="AE69" s="96"/>
      <c r="AF69" s="246"/>
      <c r="AG69" s="247"/>
      <c r="AH69" s="100"/>
      <c r="AI69" s="96"/>
      <c r="AJ69" s="246"/>
      <c r="AK69" s="247"/>
      <c r="AL69" s="100"/>
      <c r="AM69" s="96"/>
      <c r="AN69" s="246"/>
      <c r="AO69" s="247"/>
      <c r="AP69" s="100"/>
      <c r="AQ69" s="96"/>
      <c r="AR69" s="235"/>
      <c r="AS69" s="236"/>
      <c r="AT69" s="100"/>
      <c r="AU69" s="96"/>
      <c r="AV69" s="235"/>
      <c r="AW69" s="236"/>
      <c r="AX69" s="100"/>
    </row>
    <row r="70" spans="1:50">
      <c r="C70" s="96"/>
      <c r="D70" s="235"/>
      <c r="E70" s="236"/>
      <c r="F70" s="98"/>
      <c r="G70" s="96"/>
      <c r="H70" s="235"/>
      <c r="I70" s="236"/>
      <c r="J70" s="100"/>
      <c r="K70" s="96"/>
      <c r="L70" s="235"/>
      <c r="M70" s="236"/>
      <c r="N70" s="100"/>
      <c r="O70" s="96"/>
      <c r="P70" s="235"/>
      <c r="Q70" s="236"/>
      <c r="R70" s="100"/>
      <c r="S70" s="96"/>
      <c r="T70" s="246"/>
      <c r="U70" s="247"/>
      <c r="V70" s="100"/>
      <c r="W70" s="96"/>
      <c r="X70" s="235" t="s">
        <v>172</v>
      </c>
      <c r="Y70" s="236"/>
      <c r="Z70" s="100">
        <f>3289.11+270.87</f>
        <v>3559.98</v>
      </c>
      <c r="AA70" s="96"/>
      <c r="AB70" s="246"/>
      <c r="AC70" s="247"/>
      <c r="AD70" s="100"/>
      <c r="AE70" s="96"/>
      <c r="AF70" s="246"/>
      <c r="AG70" s="247"/>
      <c r="AH70" s="100"/>
      <c r="AI70" s="96"/>
      <c r="AJ70" s="246"/>
      <c r="AK70" s="247"/>
      <c r="AL70" s="100"/>
      <c r="AM70" s="96"/>
      <c r="AN70" s="246"/>
      <c r="AO70" s="247"/>
      <c r="AP70" s="100"/>
      <c r="AQ70" s="96"/>
      <c r="AR70" s="235"/>
      <c r="AS70" s="236"/>
      <c r="AT70" s="100"/>
      <c r="AU70" s="96"/>
      <c r="AV70" s="235"/>
      <c r="AW70" s="236"/>
      <c r="AX70" s="100"/>
    </row>
    <row r="71" spans="1:50" ht="15.75" thickBot="1">
      <c r="C71" s="97"/>
      <c r="D71" s="237"/>
      <c r="E71" s="238"/>
      <c r="F71" s="99"/>
      <c r="G71" s="97"/>
      <c r="H71" s="237"/>
      <c r="I71" s="238"/>
      <c r="J71" s="101"/>
      <c r="K71" s="97"/>
      <c r="L71" s="237"/>
      <c r="M71" s="238"/>
      <c r="N71" s="101"/>
      <c r="O71" s="97"/>
      <c r="P71" s="237"/>
      <c r="Q71" s="238"/>
      <c r="R71" s="101"/>
      <c r="S71" s="97"/>
      <c r="T71" s="248"/>
      <c r="U71" s="249"/>
      <c r="V71" s="101"/>
      <c r="W71" s="97"/>
      <c r="X71" s="260" t="s">
        <v>173</v>
      </c>
      <c r="Y71" s="261"/>
      <c r="Z71" s="101">
        <f>Z70-1484.91-429.89</f>
        <v>1645.1799999999998</v>
      </c>
      <c r="AA71" s="97"/>
      <c r="AB71" s="248"/>
      <c r="AC71" s="249"/>
      <c r="AD71" s="101"/>
      <c r="AE71" s="97"/>
      <c r="AF71" s="248"/>
      <c r="AG71" s="249"/>
      <c r="AH71" s="101"/>
      <c r="AI71" s="97"/>
      <c r="AJ71" s="248"/>
      <c r="AK71" s="249"/>
      <c r="AL71" s="101"/>
      <c r="AM71" s="97"/>
      <c r="AN71" s="248"/>
      <c r="AO71" s="249"/>
      <c r="AP71" s="101"/>
      <c r="AQ71" s="97"/>
      <c r="AR71" s="237"/>
      <c r="AS71" s="238"/>
      <c r="AT71" s="101"/>
      <c r="AU71" s="97"/>
      <c r="AV71" s="237"/>
      <c r="AW71" s="238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93</v>
      </c>
      <c r="F73">
        <f>F72*20</f>
        <v>21.799999999999997</v>
      </c>
    </row>
    <row r="74" spans="1:50">
      <c r="A74" t="s">
        <v>257</v>
      </c>
      <c r="D74">
        <f>100/31</f>
        <v>3.225806451612903</v>
      </c>
    </row>
    <row r="75" spans="1:50">
      <c r="A75" t="s">
        <v>258</v>
      </c>
      <c r="C75">
        <v>30</v>
      </c>
      <c r="D75">
        <f>C75*D74</f>
        <v>96.774193548387089</v>
      </c>
      <c r="Z75" s="111"/>
    </row>
    <row r="76" spans="1:50">
      <c r="D76">
        <f>D75-D73</f>
        <v>3.774193548387089</v>
      </c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'08'!A6+(B6-SUM(D6:F6))</f>
        <v>3065.51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'08'!A7+(B7-SUM(D7:F7))</f>
        <v>1070.9000000000003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'08'!A10+(B10-SUM(D10:F10))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'08'!A11+(B11-SUM(D11:F11))</f>
        <v>272.06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'08'!A13+(B13-SUM(D13:F13))</f>
        <v>126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4893.5100000000011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'08'!A26+(B26-SUM(D26:F26))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'08'!A27+(B27-SUM(D27:F27))</f>
        <v>1375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'08'!A29+(B29-SUM(D29:F29))</f>
        <v>145.23000000000002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'08'!A30+(B30-SUM(D30:F30))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9719.91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569.48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3195.8300000000022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3284.34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260.22999999999996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75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1060.23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3465.1000000000004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'09'!A7+(B7-SUM(D7:F7))</f>
        <v>1141.0800000000004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'09'!A10+(B10-SUM(D10:F10))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'09'!A11+(B11-SUM(D11:F11))</f>
        <v>302.29000000000002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'09'!A13+(B13-SUM(D13:F13))</f>
        <v>133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5437.51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'09'!A26+(B26-SUM(D26:F26))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'09'!A27+(B27-SUM(D27:F27))</f>
        <v>1545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'09'!A29+(B29-SUM(D29:F29))</f>
        <v>163.23000000000002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'09'!A30+(B30-SUM(D30:F30))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10847.91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640.48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3221.3600000000024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3663.8100000000004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280.22999999999996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80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1110.23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'10'!A6+(B6-SUM(D6:F6))</f>
        <v>3864.6900000000005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'10'!A7+(B7-SUM(D7:F7))</f>
        <v>1211.2600000000004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'10'!A10+(B10-SUM(D10:F10))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'10'!A11+(B11-SUM(D11:F11))</f>
        <v>332.52000000000004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'10'!A13+(B13-SUM(D13:F13))</f>
        <v>140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5981.5100000000011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'10'!A26+(B26-SUM(D26:F26))</f>
        <v>9000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'10'!A27+(B27-SUM(D27:F27))</f>
        <v>1715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'10'!A29+(B29-SUM(D29:F29))</f>
        <v>181.23000000000002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'10'!A30+(B30-SUM(D30:F30))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11975.91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2584.7000000000007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711.48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3246.8900000000026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4043.2800000000007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775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300.22999999999996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85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1160.23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22" workbookViewId="0">
      <selection activeCell="B22" sqref="B22:G2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'11'!A6+(B6-SUM(D6:F6))</f>
        <v>4264.2800000000007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'11'!A7+(B7-SUM(D7:F7))</f>
        <v>1281.4400000000005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'11'!A10+(B10-SUM(D10:F10))</f>
        <v>132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'11'!A11+(B11-SUM(D11:F11))</f>
        <v>362.75000000000006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'11'!A13+(B13-SUM(D13:F13))</f>
        <v>147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6525.5100000000011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'11'!A26+(B26-SUM(D26:F26))</f>
        <v>9900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'11'!A27+(B27-SUM(D27:F27))</f>
        <v>1885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'11'!A29+(B29-SUM(D29:F29))</f>
        <v>199.23000000000002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'11'!A30+(B30-SUM(D30:F30))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13103.91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2843.170000000001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782.48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3272.4200000000028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4422.7500000000009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800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320.22999999999996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90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1210.23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D23" sqref="D23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Historico!I24</f>
        <v>43556</v>
      </c>
      <c r="D3" s="44"/>
      <c r="E3" s="45"/>
    </row>
    <row r="4" spans="1:13" ht="12.75" customHeight="1">
      <c r="A4" t="s">
        <v>182</v>
      </c>
      <c r="B4" s="119">
        <f>Historico!B24</f>
        <v>132209.95000000001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347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-0.109</v>
      </c>
      <c r="C6" s="44" t="s">
        <v>95</v>
      </c>
      <c r="D6" s="43" t="s">
        <v>96</v>
      </c>
      <c r="E6" s="42"/>
      <c r="J6" t="s">
        <v>97</v>
      </c>
      <c r="K6" s="49">
        <f>B4-B15</f>
        <v>131850.01290080333</v>
      </c>
      <c r="L6" s="39">
        <f>B4*(E8/100)</f>
        <v>43.078408708333335</v>
      </c>
      <c r="M6" s="49">
        <f>B13-L6</f>
        <v>359.93709919668373</v>
      </c>
    </row>
    <row r="7" spans="1:13" ht="12.75" customHeight="1">
      <c r="E7" s="42"/>
      <c r="J7" t="s">
        <v>98</v>
      </c>
      <c r="K7" s="49">
        <f>K6-(B13-L7)</f>
        <v>131489.95852210181</v>
      </c>
      <c r="L7" s="39">
        <f>(K6*(E8/100))</f>
        <v>42.961129203511746</v>
      </c>
      <c r="M7" s="49">
        <f>B13-L7</f>
        <v>360.0543787015053</v>
      </c>
    </row>
    <row r="8" spans="1:13" ht="12.75" customHeight="1">
      <c r="B8" s="42"/>
      <c r="D8" t="s">
        <v>186</v>
      </c>
      <c r="E8" s="50">
        <f>(B6+0.5)/12</f>
        <v>3.2583333333333332E-2</v>
      </c>
      <c r="J8" t="s">
        <v>99</v>
      </c>
      <c r="K8" s="49">
        <f>K7-(B13-L8)</f>
        <v>131129.78682568192</v>
      </c>
      <c r="L8" s="39">
        <f>(K7*(E8/100))</f>
        <v>42.843811485118167</v>
      </c>
      <c r="M8" s="49">
        <f>B13-L8</f>
        <v>360.17169641989886</v>
      </c>
    </row>
    <row r="9" spans="1:13" ht="12.75" customHeight="1">
      <c r="A9" t="s">
        <v>314</v>
      </c>
      <c r="B9" s="114">
        <v>54117</v>
      </c>
      <c r="D9" t="s">
        <v>100</v>
      </c>
      <c r="E9" s="50">
        <f>1+(E8/100)</f>
        <v>1.0003258333333334</v>
      </c>
      <c r="J9" t="s">
        <v>101</v>
      </c>
      <c r="K9" s="49">
        <f>K8-(B13-L9)</f>
        <v>130769.49777331761</v>
      </c>
      <c r="L9" s="39">
        <f>(K8*(E8/100))</f>
        <v>42.726455540701352</v>
      </c>
      <c r="M9" s="49">
        <f>B13-L9</f>
        <v>360.28905236431569</v>
      </c>
    </row>
    <row r="10" spans="1:13" ht="12.75" customHeight="1">
      <c r="B10" s="42"/>
      <c r="D10" t="s">
        <v>102</v>
      </c>
      <c r="E10" s="50">
        <f>E9^-B5</f>
        <v>0.89310979884554198</v>
      </c>
      <c r="J10" t="s">
        <v>103</v>
      </c>
      <c r="K10" s="49">
        <f>K9-(B13-L10)</f>
        <v>130409.0913267704</v>
      </c>
      <c r="L10" s="39">
        <f>(K9*(E8/100))</f>
        <v>42.609061357805984</v>
      </c>
      <c r="M10" s="49">
        <f>B13-L10</f>
        <v>360.40644654721109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10.689020115445802</v>
      </c>
      <c r="J11" t="s">
        <v>106</v>
      </c>
      <c r="K11" s="51">
        <f>K10-(B13-L11)</f>
        <v>130048.56744778936</v>
      </c>
      <c r="L11" s="39">
        <f>(K10*(E8/100))</f>
        <v>42.491628923972684</v>
      </c>
      <c r="M11" s="49">
        <f>B13-L11</f>
        <v>360.52387898104439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403.01550790501705</v>
      </c>
      <c r="E13" s="42"/>
      <c r="F13" s="44"/>
      <c r="G13" s="53"/>
      <c r="L13" s="54">
        <f>SUM(L6:L11)</f>
        <v>256.71049521944326</v>
      </c>
      <c r="M13" s="54">
        <f>SUM(M6:M11)</f>
        <v>2161.382552210659</v>
      </c>
    </row>
    <row r="14" spans="1:13" ht="12.75" customHeight="1">
      <c r="A14" t="s">
        <v>108</v>
      </c>
      <c r="B14" s="55">
        <f>B4*(E8/100)</f>
        <v>43.078408708333335</v>
      </c>
      <c r="E14" s="42"/>
    </row>
    <row r="15" spans="1:13" ht="12.75" customHeight="1">
      <c r="A15" t="s">
        <v>109</v>
      </c>
      <c r="B15" s="55">
        <f>B13-B14</f>
        <v>359.93709919668373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403.01706790501703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-0.109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-0.109</v>
      </c>
    </row>
    <row r="21" spans="1:9" ht="12.75" customHeight="1">
      <c r="E21" s="42">
        <v>-0.109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2161.382552210659</v>
      </c>
      <c r="C22" s="58">
        <f>B22/170000</f>
        <v>1.2714015013003876E-2</v>
      </c>
      <c r="E22" s="42"/>
      <c r="F22">
        <v>2</v>
      </c>
      <c r="G22" s="57">
        <f t="shared" ref="G22:G40" si="0">IF(E22="",0,1)</f>
        <v>0</v>
      </c>
    </row>
    <row r="23" spans="1:9" ht="12.75" customHeight="1">
      <c r="A23" t="s">
        <v>115</v>
      </c>
      <c r="B23" s="53">
        <f>K11</f>
        <v>130048.56744778936</v>
      </c>
      <c r="C23" s="59">
        <f>6/(40*6)</f>
        <v>2.5000000000000001E-2</v>
      </c>
      <c r="E23" s="42"/>
      <c r="F23">
        <v>3</v>
      </c>
      <c r="G23" s="57">
        <f t="shared" si="0"/>
        <v>0</v>
      </c>
    </row>
    <row r="24" spans="1:9" ht="12.75" customHeight="1">
      <c r="E24" s="42"/>
      <c r="F24">
        <v>6</v>
      </c>
      <c r="G24" s="57">
        <f t="shared" si="0"/>
        <v>0</v>
      </c>
    </row>
    <row r="25" spans="1:9" ht="12.75" customHeight="1">
      <c r="E25" s="42"/>
      <c r="F25">
        <v>7</v>
      </c>
      <c r="G25" s="57">
        <f t="shared" si="0"/>
        <v>0</v>
      </c>
    </row>
    <row r="26" spans="1:9" ht="12.75" customHeight="1">
      <c r="E26" s="42"/>
      <c r="F26">
        <v>8</v>
      </c>
      <c r="G26" s="57">
        <f t="shared" si="0"/>
        <v>0</v>
      </c>
    </row>
    <row r="27" spans="1:9" ht="12.75" customHeight="1">
      <c r="E27" s="42"/>
      <c r="F27">
        <v>9</v>
      </c>
      <c r="G27" s="57">
        <f t="shared" si="0"/>
        <v>0</v>
      </c>
    </row>
    <row r="28" spans="1:9" ht="12.75" customHeight="1">
      <c r="C28" s="59">
        <f>1-(35/40)</f>
        <v>0.125</v>
      </c>
      <c r="E28" s="42"/>
      <c r="F28">
        <v>10</v>
      </c>
      <c r="G28" s="57">
        <f t="shared" si="0"/>
        <v>0</v>
      </c>
    </row>
    <row r="29" spans="1:9" ht="12.75" customHeight="1">
      <c r="C29" s="59">
        <f>1-(B4/170000)</f>
        <v>0.22229441176470577</v>
      </c>
      <c r="E29" s="42"/>
      <c r="F29">
        <v>13</v>
      </c>
      <c r="G29" s="57">
        <f t="shared" si="0"/>
        <v>0</v>
      </c>
    </row>
    <row r="30" spans="1:9" ht="12.75" customHeight="1">
      <c r="C30" s="59">
        <f>C28-C29</f>
        <v>-9.7294411764705768E-2</v>
      </c>
      <c r="E30" s="42"/>
      <c r="F30">
        <v>14</v>
      </c>
      <c r="G30" s="57">
        <f t="shared" si="0"/>
        <v>0</v>
      </c>
    </row>
    <row r="31" spans="1:9" ht="12.75" customHeight="1">
      <c r="E31" s="42"/>
      <c r="F31">
        <v>15</v>
      </c>
      <c r="G31" s="57">
        <f t="shared" si="0"/>
        <v>0</v>
      </c>
    </row>
    <row r="32" spans="1:9" ht="12.75" customHeight="1">
      <c r="E32" s="42"/>
      <c r="F32">
        <v>16</v>
      </c>
      <c r="G32" s="57">
        <f t="shared" si="0"/>
        <v>0</v>
      </c>
    </row>
    <row r="33" spans="2:7" ht="12.75" customHeight="1">
      <c r="C33" s="59">
        <f>1-(((12*35)-6)/(40*12))</f>
        <v>0.13749999999999996</v>
      </c>
      <c r="E33" s="42"/>
      <c r="F33">
        <v>17</v>
      </c>
      <c r="G33" s="57">
        <f t="shared" si="0"/>
        <v>0</v>
      </c>
    </row>
    <row r="34" spans="2:7" ht="12.75" customHeight="1">
      <c r="C34" s="58">
        <f>1-(K11/170000)</f>
        <v>0.23500842677770961</v>
      </c>
      <c r="E34" s="42"/>
      <c r="F34">
        <v>20</v>
      </c>
      <c r="G34" s="57">
        <f t="shared" si="0"/>
        <v>0</v>
      </c>
    </row>
    <row r="35" spans="2:7" ht="12.75" customHeight="1">
      <c r="C35" s="58">
        <f>C33-C34</f>
        <v>-9.7508426777709656E-2</v>
      </c>
      <c r="E35" s="42"/>
      <c r="F35">
        <v>21</v>
      </c>
      <c r="G35" s="57">
        <f t="shared" si="0"/>
        <v>0</v>
      </c>
    </row>
    <row r="36" spans="2:7" ht="12.75" customHeight="1">
      <c r="E36" s="42"/>
      <c r="F36">
        <v>22</v>
      </c>
      <c r="G36" s="57">
        <f t="shared" si="0"/>
        <v>0</v>
      </c>
    </row>
    <row r="37" spans="2:7" ht="12.75" customHeight="1">
      <c r="E37" s="42"/>
      <c r="F37">
        <v>23</v>
      </c>
      <c r="G37" s="57">
        <f t="shared" si="0"/>
        <v>0</v>
      </c>
    </row>
    <row r="38" spans="2:7" ht="12.75" customHeight="1">
      <c r="E38" s="42"/>
      <c r="F38">
        <v>24</v>
      </c>
      <c r="G38" s="57">
        <f t="shared" si="0"/>
        <v>0</v>
      </c>
    </row>
    <row r="39" spans="2:7" ht="12.75" customHeight="1">
      <c r="E39" s="42"/>
      <c r="F39">
        <v>27</v>
      </c>
      <c r="G39" s="57">
        <f t="shared" si="0"/>
        <v>0</v>
      </c>
    </row>
    <row r="40" spans="2:7" ht="12.75" customHeight="1">
      <c r="E40" s="42"/>
      <c r="F40">
        <v>28</v>
      </c>
      <c r="G40" s="57">
        <f t="shared" si="0"/>
        <v>0</v>
      </c>
    </row>
    <row r="41" spans="2:7" ht="12.75" customHeight="1">
      <c r="E41" s="42"/>
      <c r="F41">
        <v>29</v>
      </c>
      <c r="G41" s="57">
        <f t="shared" ref="G41:G43" si="1">IF(E41="",0,1)</f>
        <v>0</v>
      </c>
    </row>
    <row r="42" spans="2:7" ht="12.75" customHeight="1">
      <c r="E42" s="42"/>
      <c r="F42">
        <v>30</v>
      </c>
      <c r="G42" s="57">
        <f t="shared" si="1"/>
        <v>0</v>
      </c>
    </row>
    <row r="43" spans="2:7" ht="12.75" customHeight="1">
      <c r="B43" s="39"/>
      <c r="E43" s="42"/>
      <c r="F43">
        <v>31</v>
      </c>
      <c r="G43" s="57">
        <f t="shared" si="1"/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7" workbookViewId="0">
      <selection activeCell="E16" sqref="E16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9397.4200000000019</v>
      </c>
      <c r="I63" s="119">
        <f>H63-D62</f>
        <v>-89.499999999979991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3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f>Hipoteca!B$6/100</f>
        <v>-1.09E-3</v>
      </c>
      <c r="D24" s="73">
        <f>Hipoteca!B$13</f>
        <v>403.01550790501705</v>
      </c>
      <c r="E24" s="72">
        <f t="shared" si="7"/>
        <v>3.4296653068906835</v>
      </c>
      <c r="I24" s="79">
        <f t="shared" si="4"/>
        <v>43556</v>
      </c>
      <c r="J24" s="128">
        <f>B24+Coche!D18</f>
        <v>153069.54999999999</v>
      </c>
      <c r="K24" s="127"/>
      <c r="L24" s="127"/>
      <c r="M24" s="72"/>
    </row>
    <row r="25" spans="1:13" ht="12.75" customHeight="1">
      <c r="A25" s="120">
        <f t="shared" si="5"/>
        <v>43678</v>
      </c>
      <c r="B25" s="116"/>
      <c r="C25" s="71"/>
      <c r="D25" s="73"/>
      <c r="E25" s="72"/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2" si="9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9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9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9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9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9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9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9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9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9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9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9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9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9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9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9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9"/>
        <v>53601</v>
      </c>
      <c r="J79" s="128"/>
      <c r="K79" s="127"/>
      <c r="L79" s="127"/>
      <c r="M79" s="72"/>
    </row>
    <row r="80" spans="1:13" ht="12.75" customHeight="1">
      <c r="A80" s="120">
        <f t="shared" ref="A80:A82" si="10">EDATE(A79,6)</f>
        <v>53724</v>
      </c>
      <c r="B80" s="116"/>
      <c r="C80" s="71"/>
      <c r="D80" s="73"/>
      <c r="E80" s="72"/>
      <c r="I80" s="79">
        <f t="shared" si="9"/>
        <v>53783</v>
      </c>
      <c r="J80" s="128"/>
      <c r="K80" s="127"/>
      <c r="L80" s="127"/>
      <c r="M80" s="72"/>
    </row>
    <row r="81" spans="1:13" ht="12.75" customHeight="1">
      <c r="A81" s="120">
        <f t="shared" si="10"/>
        <v>53905</v>
      </c>
      <c r="B81" s="116"/>
      <c r="C81" s="71"/>
      <c r="D81" s="73"/>
      <c r="E81" s="72"/>
      <c r="I81" s="79">
        <f t="shared" si="9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EDATE(A82,0)</f>
        <v>54089</v>
      </c>
      <c r="J82" s="129"/>
      <c r="K82" s="130"/>
      <c r="L82" s="130"/>
      <c r="M82" s="82"/>
    </row>
    <row r="83" spans="1:13" ht="12.75" customHeight="1">
      <c r="C83" s="84">
        <f>AVERAGE(C3:C82)</f>
        <v>8.903241341991339E-3</v>
      </c>
      <c r="D83" s="85">
        <f>AVERAGE(D2:D82)</f>
        <v>496.71484132622334</v>
      </c>
      <c r="E83" s="86">
        <f>AVERAGE(E3:E82)</f>
        <v>-20.228840549771952</v>
      </c>
      <c r="M83" s="86">
        <f>AVERAGE(M3:M82)</f>
        <v>-6376.5190476190455</v>
      </c>
    </row>
    <row r="85" spans="1:13">
      <c r="E85" t="s">
        <v>125</v>
      </c>
      <c r="G85" s="68">
        <f>SUM(G2:G82)</f>
        <v>66128.555055588746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L57" sqref="L57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8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8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8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8">
      <c r="F6" s="39">
        <f>SUM(F2:F4)</f>
        <v>9.9365049245808024</v>
      </c>
      <c r="G6" s="39">
        <f>SUM(G2:G5)</f>
        <v>9.8596597639872012</v>
      </c>
    </row>
    <row r="8" spans="3:8">
      <c r="F8" t="s">
        <v>126</v>
      </c>
      <c r="G8">
        <v>386785</v>
      </c>
    </row>
    <row r="9" spans="3:8">
      <c r="F9" t="s">
        <v>127</v>
      </c>
      <c r="G9">
        <v>36372553</v>
      </c>
    </row>
    <row r="13" spans="3:8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8">
      <c r="F14" s="39">
        <f>F13/H13</f>
        <v>40.708125000000003</v>
      </c>
    </row>
    <row r="15" spans="3:8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5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496" workbookViewId="0">
      <selection activeCell="B502" sqref="B502:G50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>
        <v>2018</v>
      </c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15">
        <v>2901.68</v>
      </c>
      <c r="L5" s="316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7">
        <v>620.05999999999995</v>
      </c>
      <c r="L6" s="318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7">
        <v>8035.29</v>
      </c>
      <c r="L7" s="318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7">
        <v>659.39</v>
      </c>
      <c r="L9" s="318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7">
        <f>240+35</f>
        <v>275</v>
      </c>
      <c r="L11" s="318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23">
        <f>SUM(K5:K18)</f>
        <v>26383.54</v>
      </c>
      <c r="L19" s="324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12"/>
      <c r="I22" s="307" t="s">
        <v>6</v>
      </c>
      <c r="J22" s="308"/>
      <c r="K22" s="308"/>
      <c r="L22" s="309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12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12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294" t="str">
        <f>AÑO!A8</f>
        <v>Manolo Salario</v>
      </c>
      <c r="J25" s="297" t="s">
        <v>295</v>
      </c>
      <c r="K25" s="298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295"/>
      <c r="J26" s="299"/>
      <c r="K26" s="300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295"/>
      <c r="J27" s="299"/>
      <c r="K27" s="300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295"/>
      <c r="J28" s="299"/>
      <c r="K28" s="300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03"/>
      <c r="J29" s="304"/>
      <c r="K29" s="305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300</v>
      </c>
      <c r="H30" s="112">
        <v>593.55999999999995</v>
      </c>
      <c r="I30" s="294" t="str">
        <f>AÑO!A9</f>
        <v>Rocío Salario</v>
      </c>
      <c r="J30" s="297" t="s">
        <v>241</v>
      </c>
      <c r="K30" s="298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295"/>
      <c r="J31" s="299" t="s">
        <v>259</v>
      </c>
      <c r="K31" s="300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295"/>
      <c r="J32" s="306" t="s">
        <v>270</v>
      </c>
      <c r="K32" s="300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295"/>
      <c r="J33" s="299"/>
      <c r="K33" s="30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03"/>
      <c r="J34" s="304"/>
      <c r="K34" s="30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294" t="s">
        <v>221</v>
      </c>
      <c r="J35" s="297" t="s">
        <v>310</v>
      </c>
      <c r="K35" s="298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295"/>
      <c r="J36" s="299"/>
      <c r="K36" s="30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295"/>
      <c r="J37" s="299"/>
      <c r="K37" s="30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295"/>
      <c r="J38" s="299"/>
      <c r="K38" s="30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03"/>
      <c r="J39" s="304"/>
      <c r="K39" s="305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294" t="str">
        <f>AÑO!A11</f>
        <v>Finanazas</v>
      </c>
      <c r="J40" s="297" t="s">
        <v>242</v>
      </c>
      <c r="K40" s="298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295"/>
      <c r="J41" s="299" t="s">
        <v>243</v>
      </c>
      <c r="K41" s="300"/>
      <c r="L41" s="229">
        <v>1.87</v>
      </c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12"/>
      <c r="I42" s="295"/>
      <c r="J42" s="299" t="s">
        <v>272</v>
      </c>
      <c r="K42" s="300"/>
      <c r="L42" s="229">
        <v>0.02</v>
      </c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12"/>
      <c r="I43" s="295"/>
      <c r="J43" s="299"/>
      <c r="K43" s="300"/>
      <c r="L43" s="22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12"/>
      <c r="I44" s="303"/>
      <c r="J44" s="304"/>
      <c r="K44" s="30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294" t="str">
        <f>AÑO!A12</f>
        <v>Regalos</v>
      </c>
      <c r="J45" s="297" t="s">
        <v>303</v>
      </c>
      <c r="K45" s="298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295"/>
      <c r="J46" s="299"/>
      <c r="K46" s="300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295"/>
      <c r="J47" s="299"/>
      <c r="K47" s="30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295"/>
      <c r="J48" s="299"/>
      <c r="K48" s="300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03"/>
      <c r="J49" s="304"/>
      <c r="K49" s="305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294" t="str">
        <f>AÑO!A13</f>
        <v>Gubernamental</v>
      </c>
      <c r="J50" s="297" t="s">
        <v>262</v>
      </c>
      <c r="K50" s="298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295"/>
      <c r="J51" s="299"/>
      <c r="K51" s="300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295"/>
      <c r="J52" s="299"/>
      <c r="K52" s="300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295"/>
      <c r="J53" s="299"/>
      <c r="K53" s="300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278</v>
      </c>
      <c r="H54" s="112"/>
      <c r="I54" s="303"/>
      <c r="J54" s="304"/>
      <c r="K54" s="305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279</v>
      </c>
      <c r="H55" s="112"/>
      <c r="I55" s="294" t="str">
        <f>AÑO!A14</f>
        <v>Mutualite/DKV</v>
      </c>
      <c r="J55" s="297"/>
      <c r="K55" s="298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281</v>
      </c>
      <c r="H56" s="112"/>
      <c r="I56" s="295"/>
      <c r="J56" s="299"/>
      <c r="K56" s="300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292</v>
      </c>
      <c r="H57" s="112"/>
      <c r="I57" s="295"/>
      <c r="J57" s="299"/>
      <c r="K57" s="300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283</v>
      </c>
      <c r="H58" s="112"/>
      <c r="I58" s="295"/>
      <c r="J58" s="299"/>
      <c r="K58" s="30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03"/>
      <c r="J59" s="304"/>
      <c r="K59" s="305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294" t="str">
        <f>AÑO!A15</f>
        <v>Alquiler Cartama</v>
      </c>
      <c r="J60" s="297"/>
      <c r="K60" s="29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295"/>
      <c r="J61" s="299"/>
      <c r="K61" s="300"/>
      <c r="L61" s="22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12"/>
      <c r="I62" s="295"/>
      <c r="J62" s="299"/>
      <c r="K62" s="300"/>
      <c r="L62" s="22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12"/>
      <c r="I63" s="295"/>
      <c r="J63" s="299"/>
      <c r="K63" s="300"/>
      <c r="L63" s="22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12"/>
      <c r="I64" s="303"/>
      <c r="J64" s="304"/>
      <c r="K64" s="305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294" t="str">
        <f>AÑO!A16</f>
        <v>Otros</v>
      </c>
      <c r="J65" s="297" t="s">
        <v>300</v>
      </c>
      <c r="K65" s="298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295"/>
      <c r="J66" s="299"/>
      <c r="K66" s="300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295"/>
      <c r="J67" s="299"/>
      <c r="K67" s="300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295"/>
      <c r="J68" s="299"/>
      <c r="K68" s="300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296"/>
      <c r="J69" s="301"/>
      <c r="K69" s="302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298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299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306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12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12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288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302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305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12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12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12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12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12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12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282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>
        <v>7.2</v>
      </c>
      <c r="F167" s="138"/>
      <c r="G167" s="16" t="s">
        <v>309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280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  <c r="H202" s="112"/>
    </row>
    <row r="203" spans="2:12" ht="15" customHeight="1" thickBot="1">
      <c r="B203" s="310"/>
      <c r="C203" s="311"/>
      <c r="D203" s="311"/>
      <c r="E203" s="311"/>
      <c r="F203" s="311"/>
      <c r="G203" s="312"/>
      <c r="H203" s="112"/>
    </row>
    <row r="204" spans="2:12" ht="15.75">
      <c r="B204" s="320" t="s">
        <v>8</v>
      </c>
      <c r="C204" s="321"/>
      <c r="D204" s="322" t="s">
        <v>9</v>
      </c>
      <c r="E204" s="322"/>
      <c r="F204" s="322"/>
      <c r="G204" s="321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290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19" t="str">
        <f>AÑO!A31</f>
        <v>Deportes</v>
      </c>
      <c r="C222" s="308"/>
      <c r="D222" s="308"/>
      <c r="E222" s="308"/>
      <c r="F222" s="308"/>
      <c r="G222" s="309"/>
      <c r="H222" s="112"/>
    </row>
    <row r="223" spans="2:8" ht="15" customHeight="1" thickBot="1">
      <c r="B223" s="310"/>
      <c r="C223" s="311"/>
      <c r="D223" s="311"/>
      <c r="E223" s="311"/>
      <c r="F223" s="311"/>
      <c r="G223" s="312"/>
      <c r="H223" s="112"/>
    </row>
    <row r="224" spans="2:8" ht="15.75">
      <c r="B224" s="320" t="s">
        <v>8</v>
      </c>
      <c r="C224" s="321"/>
      <c r="D224" s="322" t="s">
        <v>9</v>
      </c>
      <c r="E224" s="322"/>
      <c r="F224" s="322"/>
      <c r="G224" s="321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19" t="str">
        <f>AÑO!A32</f>
        <v>Hogar</v>
      </c>
      <c r="C242" s="308"/>
      <c r="D242" s="308"/>
      <c r="E242" s="308"/>
      <c r="F242" s="308"/>
      <c r="G242" s="309"/>
      <c r="H242" s="112"/>
    </row>
    <row r="243" spans="2:8" ht="15" customHeight="1" thickBot="1">
      <c r="B243" s="310"/>
      <c r="C243" s="311"/>
      <c r="D243" s="311"/>
      <c r="E243" s="311"/>
      <c r="F243" s="311"/>
      <c r="G243" s="312"/>
      <c r="H243" s="112"/>
    </row>
    <row r="244" spans="2:8" ht="15" customHeight="1">
      <c r="B244" s="320" t="s">
        <v>8</v>
      </c>
      <c r="C244" s="321"/>
      <c r="D244" s="322" t="s">
        <v>9</v>
      </c>
      <c r="E244" s="322"/>
      <c r="F244" s="322"/>
      <c r="G244" s="32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307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19" t="str">
        <f>AÑO!A33</f>
        <v>Formación</v>
      </c>
      <c r="C262" s="308"/>
      <c r="D262" s="308"/>
      <c r="E262" s="308"/>
      <c r="F262" s="308"/>
      <c r="G262" s="309"/>
      <c r="H262" s="112"/>
    </row>
    <row r="263" spans="2:8" ht="15" customHeight="1" thickBot="1">
      <c r="B263" s="310"/>
      <c r="C263" s="311"/>
      <c r="D263" s="311"/>
      <c r="E263" s="311"/>
      <c r="F263" s="311"/>
      <c r="G263" s="312"/>
      <c r="H263" s="112"/>
    </row>
    <row r="264" spans="2:8" ht="15.75">
      <c r="B264" s="320" t="s">
        <v>8</v>
      </c>
      <c r="C264" s="321"/>
      <c r="D264" s="322" t="s">
        <v>9</v>
      </c>
      <c r="E264" s="322"/>
      <c r="F264" s="322"/>
      <c r="G264" s="321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297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308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  <c r="H282" s="112"/>
    </row>
    <row r="283" spans="2:8" ht="15" customHeight="1" thickBot="1">
      <c r="B283" s="310"/>
      <c r="C283" s="311"/>
      <c r="D283" s="311"/>
      <c r="E283" s="311"/>
      <c r="F283" s="311"/>
      <c r="G283" s="312"/>
      <c r="H283" s="112"/>
    </row>
    <row r="284" spans="2:8" ht="15.75">
      <c r="B284" s="320" t="s">
        <v>8</v>
      </c>
      <c r="C284" s="321"/>
      <c r="D284" s="322" t="s">
        <v>9</v>
      </c>
      <c r="E284" s="322"/>
      <c r="F284" s="322"/>
      <c r="G284" s="321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304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285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286</v>
      </c>
      <c r="H291" s="112" t="s">
        <v>284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287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  <c r="H302" s="112"/>
    </row>
    <row r="303" spans="2:8" ht="15" customHeight="1" thickBot="1">
      <c r="B303" s="310"/>
      <c r="C303" s="311"/>
      <c r="D303" s="311"/>
      <c r="E303" s="311"/>
      <c r="F303" s="311"/>
      <c r="G303" s="312"/>
      <c r="H303" s="112"/>
    </row>
    <row r="304" spans="2:8" ht="15.75">
      <c r="B304" s="320" t="s">
        <v>8</v>
      </c>
      <c r="C304" s="321"/>
      <c r="D304" s="322" t="s">
        <v>9</v>
      </c>
      <c r="E304" s="322"/>
      <c r="F304" s="322"/>
      <c r="G304" s="321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19" t="str">
        <f>AÑO!A36</f>
        <v>Martina</v>
      </c>
      <c r="C322" s="308"/>
      <c r="D322" s="308"/>
      <c r="E322" s="308"/>
      <c r="F322" s="308"/>
      <c r="G322" s="309"/>
      <c r="H322" s="112"/>
    </row>
    <row r="323" spans="2:8" ht="15" customHeight="1" thickBot="1">
      <c r="B323" s="310"/>
      <c r="C323" s="311"/>
      <c r="D323" s="311"/>
      <c r="E323" s="311"/>
      <c r="F323" s="311"/>
      <c r="G323" s="312"/>
      <c r="H323" s="112"/>
    </row>
    <row r="324" spans="2:8" ht="15.75">
      <c r="B324" s="320" t="s">
        <v>8</v>
      </c>
      <c r="C324" s="321"/>
      <c r="D324" s="322" t="s">
        <v>9</v>
      </c>
      <c r="E324" s="322"/>
      <c r="F324" s="322"/>
      <c r="G324" s="321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291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19" t="str">
        <f>AÑO!A37</f>
        <v>Impuestos</v>
      </c>
      <c r="C342" s="308"/>
      <c r="D342" s="308"/>
      <c r="E342" s="308"/>
      <c r="F342" s="308"/>
      <c r="G342" s="309"/>
      <c r="H342" s="112"/>
    </row>
    <row r="343" spans="2:8" ht="15" customHeight="1" thickBot="1">
      <c r="B343" s="310"/>
      <c r="C343" s="311"/>
      <c r="D343" s="311"/>
      <c r="E343" s="311"/>
      <c r="F343" s="311"/>
      <c r="G343" s="312"/>
      <c r="H343" s="112"/>
    </row>
    <row r="344" spans="2:8" ht="15.75">
      <c r="B344" s="320" t="s">
        <v>8</v>
      </c>
      <c r="C344" s="321"/>
      <c r="D344" s="322" t="s">
        <v>9</v>
      </c>
      <c r="E344" s="322"/>
      <c r="F344" s="322"/>
      <c r="G344" s="321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19" t="str">
        <f>AÑO!A38</f>
        <v>Gastos Curros</v>
      </c>
      <c r="C362" s="308"/>
      <c r="D362" s="308"/>
      <c r="E362" s="308"/>
      <c r="F362" s="308"/>
      <c r="G362" s="309"/>
      <c r="H362" s="112"/>
    </row>
    <row r="363" spans="2:8" ht="15" customHeight="1" thickBot="1">
      <c r="B363" s="310"/>
      <c r="C363" s="311"/>
      <c r="D363" s="311"/>
      <c r="E363" s="311"/>
      <c r="F363" s="311"/>
      <c r="G363" s="312"/>
      <c r="H363" s="112"/>
    </row>
    <row r="364" spans="2:8" ht="15.75">
      <c r="B364" s="320" t="s">
        <v>8</v>
      </c>
      <c r="C364" s="321"/>
      <c r="D364" s="322" t="s">
        <v>9</v>
      </c>
      <c r="E364" s="322"/>
      <c r="F364" s="322"/>
      <c r="G364" s="321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293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19" t="str">
        <f>AÑO!A39</f>
        <v>Dreamed Holidays</v>
      </c>
      <c r="C382" s="308"/>
      <c r="D382" s="308"/>
      <c r="E382" s="308"/>
      <c r="F382" s="308"/>
      <c r="G382" s="309"/>
      <c r="H382" s="112"/>
    </row>
    <row r="383" spans="2:8" ht="15" customHeight="1" thickBot="1">
      <c r="B383" s="310"/>
      <c r="C383" s="311"/>
      <c r="D383" s="311"/>
      <c r="E383" s="311"/>
      <c r="F383" s="311"/>
      <c r="G383" s="312"/>
      <c r="H383" s="112"/>
    </row>
    <row r="384" spans="2:8" ht="15.75">
      <c r="B384" s="320" t="s">
        <v>8</v>
      </c>
      <c r="C384" s="321"/>
      <c r="D384" s="322" t="s">
        <v>9</v>
      </c>
      <c r="E384" s="322"/>
      <c r="F384" s="322"/>
      <c r="G384" s="321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19" t="str">
        <f>AÑO!A40</f>
        <v>Financieros</v>
      </c>
      <c r="C402" s="308"/>
      <c r="D402" s="308"/>
      <c r="E402" s="308"/>
      <c r="F402" s="308"/>
      <c r="G402" s="309"/>
      <c r="H402" s="112"/>
    </row>
    <row r="403" spans="2:8" ht="15" customHeight="1" thickBot="1">
      <c r="B403" s="310"/>
      <c r="C403" s="311"/>
      <c r="D403" s="311"/>
      <c r="E403" s="311"/>
      <c r="F403" s="311"/>
      <c r="G403" s="312"/>
      <c r="H403" s="112"/>
    </row>
    <row r="404" spans="2:8" ht="15.75">
      <c r="B404" s="320" t="s">
        <v>8</v>
      </c>
      <c r="C404" s="321"/>
      <c r="D404" s="322" t="s">
        <v>9</v>
      </c>
      <c r="E404" s="322"/>
      <c r="F404" s="322"/>
      <c r="G404" s="321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19" t="str">
        <f>AÑO!A41</f>
        <v>Ahorros Colchón</v>
      </c>
      <c r="C422" s="325"/>
      <c r="D422" s="325"/>
      <c r="E422" s="325"/>
      <c r="F422" s="325"/>
      <c r="G422" s="326"/>
      <c r="H422" s="112"/>
    </row>
    <row r="423" spans="1:8" ht="15" customHeight="1" thickBot="1">
      <c r="B423" s="327"/>
      <c r="C423" s="328"/>
      <c r="D423" s="328"/>
      <c r="E423" s="328"/>
      <c r="F423" s="328"/>
      <c r="G423" s="329"/>
      <c r="H423" s="112"/>
    </row>
    <row r="424" spans="1:8" ht="15.75">
      <c r="B424" s="320" t="s">
        <v>8</v>
      </c>
      <c r="C424" s="321"/>
      <c r="D424" s="322" t="s">
        <v>9</v>
      </c>
      <c r="E424" s="322"/>
      <c r="F424" s="322"/>
      <c r="G424" s="321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19" t="str">
        <f>AÑO!A42</f>
        <v>Dinero Bloqueado</v>
      </c>
      <c r="C442" s="325"/>
      <c r="D442" s="325"/>
      <c r="E442" s="325"/>
      <c r="F442" s="325"/>
      <c r="G442" s="326"/>
      <c r="H442" s="112"/>
    </row>
    <row r="443" spans="2:8" ht="15" customHeight="1" thickBot="1">
      <c r="B443" s="327"/>
      <c r="C443" s="328"/>
      <c r="D443" s="328"/>
      <c r="E443" s="328"/>
      <c r="F443" s="328"/>
      <c r="G443" s="329"/>
      <c r="H443" s="112"/>
    </row>
    <row r="444" spans="2:8" ht="15.75">
      <c r="B444" s="320" t="s">
        <v>8</v>
      </c>
      <c r="C444" s="321"/>
      <c r="D444" s="322" t="s">
        <v>9</v>
      </c>
      <c r="E444" s="322"/>
      <c r="F444" s="322"/>
      <c r="G444" s="321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19" t="str">
        <f>AÑO!A43</f>
        <v>Cartama Finanazas</v>
      </c>
      <c r="C462" s="325"/>
      <c r="D462" s="325"/>
      <c r="E462" s="325"/>
      <c r="F462" s="325"/>
      <c r="G462" s="326"/>
      <c r="H462" s="112"/>
    </row>
    <row r="463" spans="2:8" ht="15" customHeight="1" thickBot="1">
      <c r="B463" s="327"/>
      <c r="C463" s="328"/>
      <c r="D463" s="328"/>
      <c r="E463" s="328"/>
      <c r="F463" s="328"/>
      <c r="G463" s="329"/>
      <c r="H463" s="112"/>
    </row>
    <row r="464" spans="2:8" ht="15.75">
      <c r="B464" s="320" t="s">
        <v>8</v>
      </c>
      <c r="C464" s="321"/>
      <c r="D464" s="322" t="s">
        <v>9</v>
      </c>
      <c r="E464" s="322"/>
      <c r="F464" s="322"/>
      <c r="G464" s="321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19" t="str">
        <f>AÑO!A44</f>
        <v>NULO</v>
      </c>
      <c r="C482" s="325"/>
      <c r="D482" s="325"/>
      <c r="E482" s="325"/>
      <c r="F482" s="325"/>
      <c r="G482" s="326"/>
      <c r="H482" s="112"/>
    </row>
    <row r="483" spans="2:8" ht="15" customHeight="1" thickBot="1">
      <c r="B483" s="327"/>
      <c r="C483" s="328"/>
      <c r="D483" s="328"/>
      <c r="E483" s="328"/>
      <c r="F483" s="328"/>
      <c r="G483" s="329"/>
      <c r="H483" s="112"/>
    </row>
    <row r="484" spans="2:8" ht="15.75">
      <c r="B484" s="320" t="s">
        <v>8</v>
      </c>
      <c r="C484" s="321"/>
      <c r="D484" s="322" t="s">
        <v>9</v>
      </c>
      <c r="E484" s="322"/>
      <c r="F484" s="322"/>
      <c r="G484" s="321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19" t="str">
        <f>AÑO!A45</f>
        <v>OTROS</v>
      </c>
      <c r="C502" s="325"/>
      <c r="D502" s="325"/>
      <c r="E502" s="325"/>
      <c r="F502" s="325"/>
      <c r="G502" s="326"/>
      <c r="H502" s="112"/>
    </row>
    <row r="503" spans="2:8" ht="15" customHeight="1" thickBot="1">
      <c r="B503" s="327"/>
      <c r="C503" s="328"/>
      <c r="D503" s="328"/>
      <c r="E503" s="328"/>
      <c r="F503" s="328"/>
      <c r="G503" s="329"/>
      <c r="H503" s="112"/>
    </row>
    <row r="504" spans="2:8" ht="15.75">
      <c r="B504" s="320" t="s">
        <v>8</v>
      </c>
      <c r="C504" s="321"/>
      <c r="D504" s="322" t="s">
        <v>9</v>
      </c>
      <c r="E504" s="322"/>
      <c r="F504" s="322"/>
      <c r="G504" s="321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289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B2" sqref="B2:G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>
        <f>2397.48-4.45</f>
        <v>2393.0300000000002</v>
      </c>
      <c r="L5" s="316"/>
      <c r="M5" s="1"/>
      <c r="N5" s="1"/>
      <c r="R5" s="3"/>
    </row>
    <row r="6" spans="1:22" ht="15.75">
      <c r="A6" s="112">
        <f>'01'!A6+(B6-SUM(D6:F6))</f>
        <v>268.38</v>
      </c>
      <c r="B6" s="133">
        <v>262.38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620.08000000000004</v>
      </c>
      <c r="L6" s="318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>
        <f>7340.23-4.45</f>
        <v>7335.78</v>
      </c>
      <c r="L7" s="318"/>
      <c r="M7" s="1"/>
      <c r="N7" s="1"/>
      <c r="R7" s="3"/>
    </row>
    <row r="8" spans="1:22" ht="15.75">
      <c r="A8" s="112">
        <f>'01'!A8+(B8-SUM(D8:F8))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7001.87</v>
      </c>
      <c r="L8" s="318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669.52</v>
      </c>
      <c r="L9" s="318"/>
      <c r="M9" s="1"/>
      <c r="N9" s="1"/>
      <c r="R9" s="3"/>
    </row>
    <row r="10" spans="1:22" ht="15.75">
      <c r="A10" s="112">
        <f>'01'!A10+(B10-SUM(D10:F10))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1802.02</v>
      </c>
      <c r="L10" s="318"/>
      <c r="M10" s="1" t="s">
        <v>156</v>
      </c>
      <c r="N10" s="1"/>
      <c r="R10" s="3"/>
    </row>
    <row r="11" spans="1:22" ht="15.75">
      <c r="A11" s="112">
        <f>'01'!A11+(B11-SUM(D11:F11))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>
        <f>160+155</f>
        <v>315</v>
      </c>
      <c r="L11" s="318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25229.379999999997</v>
      </c>
      <c r="L19" s="324"/>
      <c r="M19" s="1"/>
      <c r="N19" s="1"/>
      <c r="R19" s="3"/>
    </row>
    <row r="20" spans="1:18" ht="16.5" thickBot="1">
      <c r="A20" s="112">
        <f>SUM(A6:A15)</f>
        <v>1085.51</v>
      </c>
      <c r="B20" s="135">
        <f>SUM(B6:B19)</f>
        <v>406.79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'01'!A27+(B27-SUM(D27:F27))</f>
        <v>185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'01'!A29+(B29-SUM(D29:F29))</f>
        <v>19.23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1823.9099999999999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311</v>
      </c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312</v>
      </c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70.849999999999994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12">
        <f>'01'!A66+(B66-SUM(D66:F66))</f>
        <v>175.33999999999997</v>
      </c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215.33999999999997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72.480000000000018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3017.1200000000008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628.04999999999995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32.47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2.8</f>
        <v>2.8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2.8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30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30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AÑO!G17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120.22999999999996</v>
      </c>
      <c r="B467" s="134">
        <f>399.59-B6+50</f>
        <v>187.20999999999998</v>
      </c>
      <c r="C467" s="16" t="s">
        <v>188</v>
      </c>
      <c r="D467" s="137"/>
      <c r="E467" s="138">
        <v>500</v>
      </c>
      <c r="F467" s="138"/>
      <c r="G467" s="16" t="s">
        <v>313</v>
      </c>
    </row>
    <row r="468" spans="1:7" ht="15.75">
      <c r="A468" s="112">
        <f>'01'!A468+(B468-SUM(D468:F468))</f>
        <v>40</v>
      </c>
      <c r="B468" s="134">
        <v>10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710.23</v>
      </c>
      <c r="B480" s="135">
        <f>SUM(B466:B479)</f>
        <v>197.20999999999998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58" workbookViewId="0">
      <selection activeCell="C14" sqref="C14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'02'!A6+(B6-SUM(D6:F6))</f>
        <v>667.97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'02'!A7+(B7-SUM(D7:F7))</f>
        <v>649.81999999999994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'02'!A8+(B8-SUM(D8:F8))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'02'!A11+(B11-SUM(D11:F11))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'02'!A13+(B13-SUM(D13:F13))</f>
        <v>84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1629.51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'02'!A26+(B26-SUM(D26:F26))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'02'!A27+(B27-SUM(D27:F27))</f>
        <v>355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'02'!A29+(B29-SUM(D29:F29))</f>
        <v>37.230000000000004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'02'!A30+(B30-SUM(D30:F30))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2951.91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143.48000000000002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3042.650000000001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1007.52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AÑO!K17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'02'!A466+(B466-SUM(D466:F466))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'02'!A467+(B467-SUM(D467:F467))</f>
        <v>140.22999999999996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'02'!A468+(B468-SUM(D468:F468))</f>
        <v>45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760.23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A306026B-BDE6-4BD0-A6BC-B11D2FBAED61}"/>
    <hyperlink ref="B2:G3" location="AÑO!K20:N20" display="AÑO!K20:N20" xr:uid="{2191FB90-DE83-4D70-B89D-6EBBCCB11DD2}"/>
    <hyperlink ref="B22" location="Trimestre!C25:F26" display="HIPOTECA" xr:uid="{4A8F4709-924D-4A34-A141-CF73AF5D22FB}"/>
    <hyperlink ref="B22:G23" location="AÑO!K21:N21" display="AÑO!K21:N21" xr:uid="{7E154CCE-D9E5-4EEE-ACBB-B99CCACC81A6}"/>
    <hyperlink ref="B42" location="Trimestre!C25:F26" display="HIPOTECA" xr:uid="{C54C6013-7CDA-42F2-A142-A5A24FC52FCD}"/>
    <hyperlink ref="B42:G43" location="AÑO!K22:N22" display="AÑO!K22:N22" xr:uid="{8EA8E6CF-B8CC-4615-838C-D2889274B2FC}"/>
    <hyperlink ref="B62" location="Trimestre!C25:F26" display="HIPOTECA" xr:uid="{0D09E23D-2375-45A0-9A4A-89D539BE3E27}"/>
    <hyperlink ref="B62:G63" location="AÑO!K23:N23" display="AÑO!K23:N23" xr:uid="{C4157A3B-9FBB-4C8C-AF13-81FE6448E0BB}"/>
    <hyperlink ref="B82" location="Trimestre!C25:F26" display="HIPOTECA" xr:uid="{989342A1-3C77-4418-8CAA-BA752A40F32A}"/>
    <hyperlink ref="B82:G83" location="AÑO!K24:N24" display="AÑO!K24:N24" xr:uid="{20299CCB-830C-4F7C-9B00-4E2A68FCC707}"/>
    <hyperlink ref="B102" location="Trimestre!C25:F26" display="HIPOTECA" xr:uid="{178F82F4-28A5-452C-9816-A3A3E19C6F8E}"/>
    <hyperlink ref="B102:G103" location="AÑO!K25:N25" display="AÑO!K25:N25" xr:uid="{BDDCBE00-0D6E-4553-9930-A7F1E1CCF1C3}"/>
    <hyperlink ref="B122" location="Trimestre!C25:F26" display="HIPOTECA" xr:uid="{D748190A-39BA-4A3D-BBA3-880C8D94E67D}"/>
    <hyperlink ref="B122:G123" location="AÑO!K26:N26" display="AÑO!K26:N26" xr:uid="{75343A39-E7D0-4E7F-8D71-AAD9CF10693C}"/>
    <hyperlink ref="B142" location="Trimestre!C25:F26" display="HIPOTECA" xr:uid="{6A3563D4-52D5-433F-9187-7B76925D72B2}"/>
    <hyperlink ref="B142:G143" location="AÑO!K27:N27" display="AÑO!K27:N27" xr:uid="{D4B7F401-AE83-4372-8359-72A812E4621B}"/>
    <hyperlink ref="B162" location="Trimestre!C25:F26" display="HIPOTECA" xr:uid="{9DEC627E-EC5E-4FD1-86FA-53C02F9C4AF3}"/>
    <hyperlink ref="B162:G163" location="AÑO!K28:N28" display="AÑO!K28:N28" xr:uid="{60BF88E8-1BFC-411E-96AC-FFD16A3BF5F3}"/>
    <hyperlink ref="B182" location="Trimestre!C25:F26" display="HIPOTECA" xr:uid="{C4B8FC66-19B0-4B50-896B-FFCCE76CA0D5}"/>
    <hyperlink ref="B182:G183" location="AÑO!K29:N29" display="AÑO!K29:N29" xr:uid="{1CE6C77E-299D-4FD5-B614-343527B8368A}"/>
    <hyperlink ref="B202" location="Trimestre!C25:F26" display="HIPOTECA" xr:uid="{C716F81C-B064-4B12-AEE4-EC28CA72C869}"/>
    <hyperlink ref="B202:G203" location="AÑO!K30:N30" display="AÑO!K30:N30" xr:uid="{F7C08DB5-B26F-4E32-9C29-3DC8137C5AEC}"/>
    <hyperlink ref="B222" location="Trimestre!C25:F26" display="HIPOTECA" xr:uid="{AA3A8439-2424-42DA-B63D-F92AFD121183}"/>
    <hyperlink ref="B222:G223" location="AÑO!K31:N31" display="AÑO!K31:N31" xr:uid="{17B3C97F-2721-4523-8582-D29E95B0DFEC}"/>
    <hyperlink ref="B242" location="Trimestre!C25:F26" display="HIPOTECA" xr:uid="{60DC33AD-0E4D-4E86-9815-E637210C2016}"/>
    <hyperlink ref="B242:G243" location="AÑO!K32:N32" display="AÑO!K32:N32" xr:uid="{77775A36-028B-4A01-A5E0-0219916D0345}"/>
    <hyperlink ref="B262" location="Trimestre!C25:F26" display="HIPOTECA" xr:uid="{0D652822-28BA-43F5-B722-ADB72BA3245F}"/>
    <hyperlink ref="B262:G263" location="AÑO!K33:N33" display="AÑO!K33:N33" xr:uid="{4D5B8590-0965-44D8-A0BF-846F79C5BC79}"/>
    <hyperlink ref="B282" location="Trimestre!C25:F26" display="HIPOTECA" xr:uid="{F62D905F-5CBE-4549-A6C0-F828BCF682C7}"/>
    <hyperlink ref="B282:G283" location="AÑO!K34:N34" display="AÑO!K34:N34" xr:uid="{79128DC3-E62C-42F6-8A91-93EB15A67AC4}"/>
    <hyperlink ref="B302" location="Trimestre!C25:F26" display="HIPOTECA" xr:uid="{74368565-138C-48B0-8650-1D2BB1EF44DF}"/>
    <hyperlink ref="B302:G303" location="AÑO!K35:N35" display="AÑO!K35:N35" xr:uid="{AB9D3F06-5374-423A-81D1-D586C49FBB61}"/>
    <hyperlink ref="B322" location="Trimestre!C25:F26" display="HIPOTECA" xr:uid="{EBA935A6-4585-4F36-ADF0-23097ECCF777}"/>
    <hyperlink ref="B322:G323" location="AÑO!K36:N36" display="AÑO!K36:N36" xr:uid="{4B5D442C-B55A-460F-8303-52D1AF0BBE52}"/>
    <hyperlink ref="B342" location="Trimestre!C25:F26" display="HIPOTECA" xr:uid="{DE9C76C2-885C-4769-ACA0-38A97B1042D9}"/>
    <hyperlink ref="B342:G343" location="AÑO!K37:N37" display="AÑO!K37:N37" xr:uid="{8E5F8C99-F785-4524-AE63-93CC0B19CB28}"/>
    <hyperlink ref="B362" location="Trimestre!C25:F26" display="HIPOTECA" xr:uid="{9354EA19-A938-4AF9-96E3-0819D2396A4F}"/>
    <hyperlink ref="B362:G363" location="AÑO!K38:N38" display="AÑO!K38:N38" xr:uid="{35C18899-2988-47CA-AF45-63B39717847E}"/>
    <hyperlink ref="B382" location="Trimestre!C25:F26" display="HIPOTECA" xr:uid="{8FBC7CD3-8B1F-4CC4-A2E2-1F25A83A8955}"/>
    <hyperlink ref="B382:G383" location="AÑO!K39:N39" display="AÑO!K39:N39" xr:uid="{3A9F18C8-29E1-4869-B67C-ECF8CDB710E5}"/>
    <hyperlink ref="B402" location="Trimestre!C25:F26" display="HIPOTECA" xr:uid="{0454DA44-C84E-4A70-93DA-25C397FAB8BF}"/>
    <hyperlink ref="B402:G403" location="AÑO!K40:N40" display="AÑO!K40:N40" xr:uid="{2F5B7FB2-EC34-49ED-A6CF-78E8356F02C5}"/>
    <hyperlink ref="B422" location="Trimestre!C25:F26" display="HIPOTECA" xr:uid="{8AF2EC8F-46F8-4B1F-87E7-4D01265AB75A}"/>
    <hyperlink ref="B422:G423" location="AÑO!K41:N41" display="AÑO!K41:N41" xr:uid="{3C7E8D25-7994-4B1D-9EA2-6C9FDDE95FA7}"/>
    <hyperlink ref="B442" location="Trimestre!C25:F26" display="HIPOTECA" xr:uid="{C02E62F5-6190-4EFA-9095-0886C19DCAFD}"/>
    <hyperlink ref="B442:G443" location="AÑO!K42:N42" display="AÑO!K42:N42" xr:uid="{319FFFC9-5376-4C47-BAC7-650A1B417084}"/>
    <hyperlink ref="B462" location="Trimestre!C25:F26" display="HIPOTECA" xr:uid="{F1A1699B-893D-45DD-9B0E-21F32EC5FFD7}"/>
    <hyperlink ref="B462:G463" location="AÑO!K43:N43" display="AÑO!K43:N43" xr:uid="{F34195C6-3A43-46E3-BC7E-8454FDBB9BCB}"/>
    <hyperlink ref="B482" location="Trimestre!C25:F26" display="HIPOTECA" xr:uid="{C6440A07-EAD6-4EE2-A55D-002F55C6AA7E}"/>
    <hyperlink ref="B482:G483" location="AÑO!K44:N44" display="AÑO!K44:N44" xr:uid="{04B5E324-AC9E-4BA8-AF44-6F440BAB68BB}"/>
    <hyperlink ref="B502" location="Trimestre!C25:F26" display="HIPOTECA" xr:uid="{097C1FC2-7D32-4BFC-AC52-1758A33D602A}"/>
    <hyperlink ref="B502:G503" location="AÑO!K45:N45" display="AÑO!K45:N45" xr:uid="{B8FCF781-CB17-45CE-A32F-3BC879B988E6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96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'03'!A6+(B6-SUM(D6:F6))</f>
        <v>1067.56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'03'!A7+(B7-SUM(D7:F7))</f>
        <v>720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'03'!A10+(B10-SUM(D10:F10))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'03'!A11+(B11-SUM(D11:F11))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'03'!A13+(B13-SUM(D13:F13))</f>
        <v>91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2173.5100000000002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'03'!A26+(B26-SUM(D26:F26))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'03'!A27+(B27-SUM(D27:F27))</f>
        <v>525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'03'!A29+(B29-SUM(D29:F29))</f>
        <v>55.230000000000004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'03'!A30+(B30-SUM(D30:F30))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4079.91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214.48000000000002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3068.1800000000012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1386.99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'03'!A467+(B467-SUM(D467:F467))</f>
        <v>160.22999999999996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50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810.23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284C302-2F04-4EF9-A105-8793DDC0F20D}"/>
    <hyperlink ref="I22:L23" location="AÑO!G7:J17" display="INGRESOS" xr:uid="{AB72CB7A-FD44-4BBF-8805-CDF06790D90F}"/>
    <hyperlink ref="I2" location="Trimestre!C39:F40" display="TELÉFONO" xr:uid="{7E774096-7051-4973-B402-20F73DA42EB5}"/>
    <hyperlink ref="I2:L3" location="AÑO!G4:J5" display="SALDO REAL" xr:uid="{D05D382C-BDC9-40D8-BE32-55AA53A43AE1}"/>
    <hyperlink ref="B2" location="Trimestre!C25:F26" display="HIPOTECA" xr:uid="{C64B3EDE-5459-4D12-8455-CB5F4887D82C}"/>
    <hyperlink ref="B2:G3" location="AÑO!G20:J20" display="AÑO!G20:J20" xr:uid="{CDD1BEE1-EEF1-40E5-AFBB-A3552C5C257D}"/>
    <hyperlink ref="B22" location="Trimestre!C25:F26" display="HIPOTECA" xr:uid="{FC6E62D7-1E15-449E-9819-504B849CA0D9}"/>
    <hyperlink ref="B22:G23" location="AÑO!G21:J21" display="AÑO!G21:J21" xr:uid="{9AA75B68-AF65-438E-AE8C-F999FB38AD7A}"/>
    <hyperlink ref="B42" location="Trimestre!C25:F26" display="HIPOTECA" xr:uid="{B8BCF716-3B82-451A-939D-23DE6ACE46E2}"/>
    <hyperlink ref="B42:G43" location="AÑO!G22:J22" display="AÑO!G22:J22" xr:uid="{499B76DC-5DAB-4FDB-9911-55F735AF8B00}"/>
    <hyperlink ref="B62" location="Trimestre!C25:F26" display="HIPOTECA" xr:uid="{BC831A43-7766-45A5-985A-9DB27ABE42EC}"/>
    <hyperlink ref="B62:G63" location="AÑO!G23:J23" display="AÑO!G23:J23" xr:uid="{E1CC2ACD-305C-4A13-842B-C13E549ADFDE}"/>
    <hyperlink ref="B82" location="Trimestre!C25:F26" display="HIPOTECA" xr:uid="{8B2ABBC4-2C14-449A-A753-A4A3C4992B8A}"/>
    <hyperlink ref="B82:G83" location="AÑO!G24:J24" display="AÑO!G24:J24" xr:uid="{602B2251-A590-49C3-8234-E48DB9914725}"/>
    <hyperlink ref="B102" location="Trimestre!C25:F26" display="HIPOTECA" xr:uid="{1F3206CE-4AD4-4EA1-A0AD-37DC2E34AC35}"/>
    <hyperlink ref="B102:G103" location="AÑO!G25:J25" display="AÑO!G25:J25" xr:uid="{48C5FABA-AC93-4AD5-B346-705B0C1D2C8E}"/>
    <hyperlink ref="B122" location="Trimestre!C25:F26" display="HIPOTECA" xr:uid="{1BBD95D0-FE3A-423B-908A-EE269C6E2887}"/>
    <hyperlink ref="B122:G123" location="AÑO!G26:J26" display="AÑO!G26:J26" xr:uid="{07CFA47E-4921-406C-9AB5-0ADE5B8A0ACC}"/>
    <hyperlink ref="B142" location="Trimestre!C25:F26" display="HIPOTECA" xr:uid="{4A2ABFA9-576B-4297-A256-914C7A250507}"/>
    <hyperlink ref="B142:G143" location="AÑO!G27:J27" display="AÑO!G27:J27" xr:uid="{6E02405E-7039-4044-B6F3-C1C9000F2AA7}"/>
    <hyperlink ref="B162" location="Trimestre!C25:F26" display="HIPOTECA" xr:uid="{C2D7BCCD-2AAF-4C05-A624-9A23AFD1DC3F}"/>
    <hyperlink ref="B162:G163" location="AÑO!G28:J28" display="AÑO!G28:J28" xr:uid="{174AE121-46BD-4ABE-9D8A-6C52DBD3573B}"/>
    <hyperlink ref="B182" location="Trimestre!C25:F26" display="HIPOTECA" xr:uid="{15AC1390-0419-4919-8E1A-FC349F2FAFA5}"/>
    <hyperlink ref="B182:G183" location="AÑO!G29:J29" display="AÑO!G29:J29" xr:uid="{B21BA4F1-DEE2-4324-9433-A379AA75B064}"/>
    <hyperlink ref="B202" location="Trimestre!C25:F26" display="HIPOTECA" xr:uid="{A9D17CF5-7F4E-408C-BAEB-AD923A29DD51}"/>
    <hyperlink ref="B202:G203" location="AÑO!G30:J30" display="AÑO!G30:J30" xr:uid="{F39154BB-D0F9-4FE1-82EF-98D7B668564B}"/>
    <hyperlink ref="B222" location="Trimestre!C25:F26" display="HIPOTECA" xr:uid="{A9A05634-9737-45E4-A5CB-C24B9B93DF8E}"/>
    <hyperlink ref="B222:G223" location="AÑO!G31:J31" display="AÑO!G31:J31" xr:uid="{E367A397-1BC9-4A5D-9D56-671B2E909CE4}"/>
    <hyperlink ref="B242" location="Trimestre!C25:F26" display="HIPOTECA" xr:uid="{95624E7D-EFB5-45F2-8AF3-620643B9423B}"/>
    <hyperlink ref="B242:G243" location="AÑO!G32:J32" display="AÑO!G32:J32" xr:uid="{56627EF1-83C5-4AEE-A39B-8A875AE41079}"/>
    <hyperlink ref="B262" location="Trimestre!C25:F26" display="HIPOTECA" xr:uid="{E1B24F8B-36A2-4CB7-B5DF-B21BB1988398}"/>
    <hyperlink ref="B262:G263" location="AÑO!G33:J33" display="AÑO!G33:J33" xr:uid="{CD8AD7E5-8962-4209-8BD6-9A29F22236E0}"/>
    <hyperlink ref="B282" location="Trimestre!C25:F26" display="HIPOTECA" xr:uid="{5B87D9F3-64F8-47F3-8039-252958ED12F0}"/>
    <hyperlink ref="B282:G283" location="AÑO!G34:J34" display="AÑO!G34:J34" xr:uid="{CB9E540A-86FF-4C04-8424-8A3D789058E8}"/>
    <hyperlink ref="B302" location="Trimestre!C25:F26" display="HIPOTECA" xr:uid="{5D7C6137-F62F-48F1-99D1-87B62006FD25}"/>
    <hyperlink ref="B302:G303" location="AÑO!G35:J35" display="AÑO!G35:J35" xr:uid="{54F5054E-3632-4F1D-9BC0-651FDDB0745A}"/>
    <hyperlink ref="B322" location="Trimestre!C25:F26" display="HIPOTECA" xr:uid="{898B1858-E002-4FEE-BD82-D50DE09C186E}"/>
    <hyperlink ref="B322:G323" location="AÑO!G36:J36" display="AÑO!G36:J36" xr:uid="{A9A4278B-4E92-47D6-9078-7687322D545D}"/>
    <hyperlink ref="B342" location="Trimestre!C25:F26" display="HIPOTECA" xr:uid="{C4068FDB-3767-49C3-96DC-DCD2DC90876F}"/>
    <hyperlink ref="B342:G343" location="AÑO!G37:J37" display="AÑO!G37:J37" xr:uid="{EF31C1EB-1428-4A11-BCF1-AE35C32FA135}"/>
    <hyperlink ref="B362" location="Trimestre!C25:F26" display="HIPOTECA" xr:uid="{1272E538-290D-4C37-ABD9-67576951C3D5}"/>
    <hyperlink ref="B362:G363" location="AÑO!G38:J38" display="AÑO!G38:J38" xr:uid="{ADFBDEEE-A6F5-4CAF-9A45-662C5119321A}"/>
    <hyperlink ref="B382" location="Trimestre!C25:F26" display="HIPOTECA" xr:uid="{A29C803B-6273-4BEE-AA3B-8FB81A1267CD}"/>
    <hyperlink ref="B382:G383" location="AÑO!G39:J39" display="AÑO!G39:J39" xr:uid="{9B7A2DA5-921F-4047-B8E6-66224D3A326C}"/>
    <hyperlink ref="B402" location="Trimestre!C25:F26" display="HIPOTECA" xr:uid="{DFA81920-2C11-432B-BBDC-45E4C8081413}"/>
    <hyperlink ref="B402:G403" location="AÑO!G40:J40" display="AÑO!G40:J40" xr:uid="{CBBA71FB-BACD-4C9D-BB96-23889C33792A}"/>
    <hyperlink ref="B422" location="Trimestre!C25:F26" display="HIPOTECA" xr:uid="{35467531-41DF-42A1-9784-378AA4AA321B}"/>
    <hyperlink ref="B422:G423" location="AÑO!G41:J41" display="AÑO!G41:J41" xr:uid="{80CA8B61-8862-4679-82CB-35656AD913E4}"/>
    <hyperlink ref="B442" location="Trimestre!C25:F26" display="HIPOTECA" xr:uid="{C140AE08-74B6-422E-A10B-EE5C6CDA7183}"/>
    <hyperlink ref="B442:G443" location="AÑO!G42:J42" display="AÑO!G42:J42" xr:uid="{DC8D58AA-426B-46C6-B9CD-00A76744EA2D}"/>
    <hyperlink ref="B462" location="Trimestre!C25:F26" display="HIPOTECA" xr:uid="{41489A83-E67F-4EBC-B338-1984C5E55411}"/>
    <hyperlink ref="B462:G463" location="AÑO!G43:J43" display="AÑO!G43:J43" xr:uid="{34177480-3807-4B5E-B32A-28F9FE03712D}"/>
    <hyperlink ref="B482" location="Trimestre!C25:F26" display="HIPOTECA" xr:uid="{5E98C95E-D23F-4BDF-8E89-54F335B15797}"/>
    <hyperlink ref="B482:G483" location="AÑO!G44:J44" display="AÑO!G44:J44" xr:uid="{D9A143F9-1959-4E3B-8175-513BE2216B03}"/>
    <hyperlink ref="B502" location="Trimestre!C25:F26" display="HIPOTECA" xr:uid="{71B96830-7226-4B99-8CD6-590D9C67D79F}"/>
    <hyperlink ref="B502:G503" location="AÑO!G45:J45" display="AÑO!G45:J45" xr:uid="{D4D75C86-757D-4264-A1C2-A758D1A10E47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'04'!A6+(B6-SUM(D6:F6))</f>
        <v>1467.1499999999999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'04'!A7+(B7-SUM(D7:F7))</f>
        <v>790.18000000000006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'04'!A10+(B10-SUM(D10:F10))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'04'!A11+(B11-SUM(D11:F11))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'04'!A13+(B13-SUM(D13:F13))</f>
        <v>98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2717.5099999999998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'04'!A26+(B26-SUM(D26:F26))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'04'!A27+(B27-SUM(D27:F27))</f>
        <v>695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'04'!A29+(B29-SUM(D29:F29))</f>
        <v>73.23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'04'!A30+(B30-SUM(D30:F30))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5207.91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285.48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3093.7100000000014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1766.46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'04'!A467+(B467-SUM(D467:F467))</f>
        <v>180.22999999999996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55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860.23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'05'!A6+(B6-SUM(D6:F6))</f>
        <v>1866.7399999999998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'05'!A7+(B7-SUM(D7:F7))</f>
        <v>860.36000000000013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'05'!A10+(B10-SUM(D10:F10))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'05'!A11+(B11-SUM(D11:F11))</f>
        <v>181.37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'05'!A13+(B13-SUM(D13:F13))</f>
        <v>105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3261.5099999999998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'05'!A26+(B26-SUM(D26:F26))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'05'!A27+(B27-SUM(D27:F27))</f>
        <v>865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'05'!A29+(B29-SUM(D29:F29))</f>
        <v>91.23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'05'!A30+(B30-SUM(D30:F30))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6335.91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356.48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3119.2400000000016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2145.9300000000003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200.22999999999996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60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910.23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'06'!A6+(B6-SUM(D6:F6))</f>
        <v>2266.33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'06'!A7+(B7-SUM(D7:F7))</f>
        <v>930.54000000000019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'06'!A10+(B10-SUM(D10:F10))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'06'!A11+(B11-SUM(D11:F11))</f>
        <v>211.6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'06'!A13+(B13-SUM(D13:F13))</f>
        <v>112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3805.5099999999998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'06'!A26+(B26-SUM(D26:F26))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'06'!A27+(B27-SUM(D27:F27))</f>
        <v>1035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'06'!A29+(B29-SUM(D29:F29))</f>
        <v>109.23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'06'!A30+(B30-SUM(D30:F30))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7463.91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427.48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3144.7700000000018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2525.4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220.22999999999996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65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960.23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'07'!A6+(B6-SUM(D6:F6))</f>
        <v>2665.92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'07'!A7+(B7-SUM(D7:F7))</f>
        <v>1000.7200000000003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'07'!A10+(B10-SUM(D10:F10))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'07'!A11+(B11-SUM(D11:F11))</f>
        <v>241.82999999999998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'07'!A13+(B13-SUM(D13:F13))</f>
        <v>119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4349.51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'07'!A26+(B26-SUM(D26:F26))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'07'!A27+(B27-SUM(D27:F27))</f>
        <v>1205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'07'!A29+(B29-SUM(D29:F29))</f>
        <v>127.23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'07'!A30+(B30-SUM(D30:F30))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8591.91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498.48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3170.300000000002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2904.8700000000003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240.22999999999996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70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1010.23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2019-02-01T16:13:11Z</dcterms:modified>
</cp:coreProperties>
</file>