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40ACEE66-700D-4836-B63C-3B607BF50E61}" xr6:coauthVersionLast="44" xr6:coauthVersionMax="44" xr10:uidLastSave="{00000000-0000-0000-0000-000000000000}"/>
  <bookViews>
    <workbookView xWindow="-108" yWindow="12852" windowWidth="21936" windowHeight="13176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6" i="3" l="1"/>
  <c r="D187" i="3"/>
  <c r="B12" i="3"/>
  <c r="F366" i="3" l="1"/>
  <c r="C5" i="14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30" i="4"/>
  <c r="A126" i="4"/>
  <c r="A110" i="4"/>
  <c r="A116" i="4"/>
  <c r="B108" i="4"/>
  <c r="B106" i="4"/>
  <c r="A31" i="4"/>
  <c r="B14" i="4"/>
  <c r="B46" i="3"/>
  <c r="B108" i="3"/>
  <c r="A427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A140" i="4" s="1"/>
  <c r="F140" i="3"/>
  <c r="E140" i="3"/>
  <c r="D140" i="3"/>
  <c r="B140" i="3"/>
  <c r="A118" i="3"/>
  <c r="A118" i="4" s="1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 l="1"/>
  <c r="D6" i="19" s="1"/>
  <c r="C4" i="19"/>
  <c r="C7" i="19" s="1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 s="1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74" i="17" l="1"/>
  <c r="E73" i="17"/>
  <c r="G73" i="17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4" s="1"/>
  <c r="A260" i="4" s="1"/>
  <c r="I257" i="2"/>
  <c r="E74" i="17" l="1"/>
  <c r="A260" i="3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2" i="1" l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<sst xmlns="http://schemas.openxmlformats.org/spreadsheetml/2006/main" count="5780" uniqueCount="877">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</sst>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B1" activePane="topRight" state="frozen"/>
      <selection pane="topRight" activeCell="G23" sqref="G2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5" t="s">
        <v>0</v>
      </c>
      <c r="D4" s="386"/>
      <c r="E4" s="386"/>
      <c r="F4" s="387"/>
      <c r="G4" s="385" t="s">
        <v>1</v>
      </c>
      <c r="H4" s="386"/>
      <c r="I4" s="386"/>
      <c r="J4" s="387"/>
      <c r="K4" s="385" t="s">
        <v>2</v>
      </c>
      <c r="L4" s="386"/>
      <c r="M4" s="386"/>
      <c r="N4" s="387"/>
      <c r="O4" s="385" t="s">
        <v>3</v>
      </c>
      <c r="P4" s="386"/>
      <c r="Q4" s="386"/>
      <c r="R4" s="387"/>
      <c r="S4" s="385" t="s">
        <v>69</v>
      </c>
      <c r="T4" s="386"/>
      <c r="U4" s="386"/>
      <c r="V4" s="387"/>
      <c r="W4" s="385" t="s">
        <v>68</v>
      </c>
      <c r="X4" s="386"/>
      <c r="Y4" s="386"/>
      <c r="Z4" s="387"/>
      <c r="AA4" s="385" t="s">
        <v>70</v>
      </c>
      <c r="AB4" s="386"/>
      <c r="AC4" s="386"/>
      <c r="AD4" s="387"/>
      <c r="AE4" s="385" t="s">
        <v>71</v>
      </c>
      <c r="AF4" s="386"/>
      <c r="AG4" s="386"/>
      <c r="AH4" s="387"/>
      <c r="AI4" s="385" t="s">
        <v>73</v>
      </c>
      <c r="AJ4" s="386"/>
      <c r="AK4" s="386"/>
      <c r="AL4" s="387"/>
      <c r="AM4" s="385" t="s">
        <v>75</v>
      </c>
      <c r="AN4" s="386"/>
      <c r="AO4" s="386"/>
      <c r="AP4" s="387"/>
      <c r="AQ4" s="385" t="s">
        <v>77</v>
      </c>
      <c r="AR4" s="386"/>
      <c r="AS4" s="386"/>
      <c r="AT4" s="387"/>
      <c r="AU4" s="385" t="s">
        <v>82</v>
      </c>
      <c r="AV4" s="386"/>
      <c r="AW4" s="386"/>
      <c r="AX4" s="38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4">
        <f>'01'!K19</f>
        <v>34150.43</v>
      </c>
      <c r="D5" s="392"/>
      <c r="E5" s="392"/>
      <c r="F5" s="393"/>
      <c r="G5" s="394">
        <f>'02'!K19</f>
        <v>33839.089999999997</v>
      </c>
      <c r="H5" s="392"/>
      <c r="I5" s="392"/>
      <c r="J5" s="393"/>
      <c r="K5" s="391">
        <f>'03'!K19</f>
        <v>25574.760000000002</v>
      </c>
      <c r="L5" s="392"/>
      <c r="M5" s="392"/>
      <c r="N5" s="393"/>
      <c r="O5" s="391">
        <f>'04'!K19</f>
        <v>26443.759999999998</v>
      </c>
      <c r="P5" s="392"/>
      <c r="Q5" s="392"/>
      <c r="R5" s="393"/>
      <c r="S5" s="391">
        <f>'05'!K19</f>
        <v>27163.090000000004</v>
      </c>
      <c r="T5" s="392"/>
      <c r="U5" s="392"/>
      <c r="V5" s="393"/>
      <c r="W5" s="391">
        <f>'06'!K19</f>
        <v>29014.079999999998</v>
      </c>
      <c r="X5" s="392"/>
      <c r="Y5" s="392"/>
      <c r="Z5" s="393"/>
      <c r="AA5" s="391">
        <f>'07'!K19</f>
        <v>29282.959999999999</v>
      </c>
      <c r="AB5" s="392"/>
      <c r="AC5" s="392"/>
      <c r="AD5" s="393"/>
      <c r="AE5" s="391">
        <f>'08'!K19</f>
        <v>29166.850000000002</v>
      </c>
      <c r="AF5" s="392"/>
      <c r="AG5" s="392"/>
      <c r="AH5" s="393"/>
      <c r="AI5" s="391">
        <f>'09'!K19</f>
        <v>29258.260000000002</v>
      </c>
      <c r="AJ5" s="392"/>
      <c r="AK5" s="392"/>
      <c r="AL5" s="393"/>
      <c r="AM5" s="391">
        <f>'10'!K19</f>
        <v>30089.47</v>
      </c>
      <c r="AN5" s="392"/>
      <c r="AO5" s="392"/>
      <c r="AP5" s="393"/>
      <c r="AQ5" s="391">
        <f>'11'!K19</f>
        <v>30103.380000000005</v>
      </c>
      <c r="AR5" s="392"/>
      <c r="AS5" s="392"/>
      <c r="AT5" s="393"/>
      <c r="AU5" s="391">
        <f>'12'!K19</f>
        <v>30103.380000000005</v>
      </c>
      <c r="AV5" s="392"/>
      <c r="AW5" s="392"/>
      <c r="AX5" s="393"/>
      <c r="AZ5" s="6"/>
      <c r="BA5" s="7"/>
      <c r="BB5" s="1"/>
      <c r="BC5" s="1"/>
    </row>
    <row r="6" spans="1:55" ht="17.25" thickTop="1" thickBot="1">
      <c r="A6" s="205"/>
      <c r="B6" s="8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45"/>
      <c r="AD6" s="345"/>
      <c r="AE6" s="345"/>
      <c r="AF6" s="345"/>
      <c r="AG6" s="345"/>
      <c r="AH6" s="345"/>
      <c r="AI6" s="345"/>
      <c r="AJ6" s="345"/>
      <c r="AK6" s="345"/>
      <c r="AL6" s="345"/>
      <c r="AM6" s="345"/>
      <c r="AN6" s="345"/>
      <c r="AO6" s="345"/>
      <c r="AP6" s="345"/>
      <c r="AQ6" s="345"/>
      <c r="AR6" s="345"/>
      <c r="AS6" s="345"/>
      <c r="AT6" s="345"/>
      <c r="AU6" s="345"/>
      <c r="AV6" s="345"/>
      <c r="AW6" s="345"/>
      <c r="AX6" s="34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8" t="s">
        <v>215</v>
      </c>
      <c r="D7" s="389"/>
      <c r="E7" s="389"/>
      <c r="F7" s="390"/>
      <c r="G7" s="388" t="s">
        <v>215</v>
      </c>
      <c r="H7" s="389"/>
      <c r="I7" s="389"/>
      <c r="J7" s="390"/>
      <c r="K7" s="388" t="s">
        <v>215</v>
      </c>
      <c r="L7" s="389"/>
      <c r="M7" s="389"/>
      <c r="N7" s="390"/>
      <c r="O7" s="388" t="s">
        <v>215</v>
      </c>
      <c r="P7" s="389"/>
      <c r="Q7" s="389"/>
      <c r="R7" s="390"/>
      <c r="S7" s="388" t="s">
        <v>215</v>
      </c>
      <c r="T7" s="389"/>
      <c r="U7" s="389"/>
      <c r="V7" s="390"/>
      <c r="W7" s="388" t="s">
        <v>215</v>
      </c>
      <c r="X7" s="389"/>
      <c r="Y7" s="389"/>
      <c r="Z7" s="390"/>
      <c r="AA7" s="388" t="s">
        <v>215</v>
      </c>
      <c r="AB7" s="389"/>
      <c r="AC7" s="389"/>
      <c r="AD7" s="390"/>
      <c r="AE7" s="388" t="s">
        <v>215</v>
      </c>
      <c r="AF7" s="389"/>
      <c r="AG7" s="389"/>
      <c r="AH7" s="390"/>
      <c r="AI7" s="388" t="s">
        <v>215</v>
      </c>
      <c r="AJ7" s="389"/>
      <c r="AK7" s="389"/>
      <c r="AL7" s="390"/>
      <c r="AM7" s="388" t="s">
        <v>215</v>
      </c>
      <c r="AN7" s="389"/>
      <c r="AO7" s="389"/>
      <c r="AP7" s="390"/>
      <c r="AQ7" s="388" t="s">
        <v>215</v>
      </c>
      <c r="AR7" s="389"/>
      <c r="AS7" s="389"/>
      <c r="AT7" s="390"/>
      <c r="AU7" s="388" t="s">
        <v>215</v>
      </c>
      <c r="AV7" s="389"/>
      <c r="AW7" s="389"/>
      <c r="AX7" s="390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95">
        <f>SUM('01'!L25:'01'!L29)</f>
        <v>2583.61</v>
      </c>
      <c r="D8" s="396"/>
      <c r="E8" s="396"/>
      <c r="F8" s="397"/>
      <c r="G8" s="395">
        <f>SUM('02'!L25:'02'!L29)</f>
        <v>0</v>
      </c>
      <c r="H8" s="396"/>
      <c r="I8" s="396"/>
      <c r="J8" s="397"/>
      <c r="K8" s="395">
        <f>SUM('03'!L25:'03'!L29)</f>
        <v>0</v>
      </c>
      <c r="L8" s="396"/>
      <c r="M8" s="396"/>
      <c r="N8" s="397"/>
      <c r="O8" s="395">
        <f>SUM('04'!L25:'04'!L29)</f>
        <v>0</v>
      </c>
      <c r="P8" s="396"/>
      <c r="Q8" s="396"/>
      <c r="R8" s="397"/>
      <c r="S8" s="395">
        <f>SUM('05'!L25:'05'!L29)</f>
        <v>0</v>
      </c>
      <c r="T8" s="396"/>
      <c r="U8" s="396"/>
      <c r="V8" s="397"/>
      <c r="W8" s="395">
        <f>SUM('06'!L25:'06'!L29)</f>
        <v>0</v>
      </c>
      <c r="X8" s="396"/>
      <c r="Y8" s="396"/>
      <c r="Z8" s="397"/>
      <c r="AA8" s="395">
        <f>SUM('07'!L25:'07'!L29)</f>
        <v>0</v>
      </c>
      <c r="AB8" s="396"/>
      <c r="AC8" s="396"/>
      <c r="AD8" s="397"/>
      <c r="AE8" s="395">
        <f>SUM('08'!L25:'08'!L29)</f>
        <v>0</v>
      </c>
      <c r="AF8" s="396"/>
      <c r="AG8" s="396"/>
      <c r="AH8" s="397"/>
      <c r="AI8" s="395">
        <f>SUM('09'!L25:'09'!L29)</f>
        <v>0</v>
      </c>
      <c r="AJ8" s="396"/>
      <c r="AK8" s="396"/>
      <c r="AL8" s="397"/>
      <c r="AM8" s="395">
        <f>SUM('10'!L25:'10'!L29)</f>
        <v>0</v>
      </c>
      <c r="AN8" s="396"/>
      <c r="AO8" s="396"/>
      <c r="AP8" s="397"/>
      <c r="AQ8" s="395">
        <f>SUM('11'!L25:'11'!L29)</f>
        <v>0</v>
      </c>
      <c r="AR8" s="396"/>
      <c r="AS8" s="396"/>
      <c r="AT8" s="397"/>
      <c r="AU8" s="395">
        <f>SUM('12'!L25:'12'!L29)</f>
        <v>0</v>
      </c>
      <c r="AV8" s="396"/>
      <c r="AW8" s="396"/>
      <c r="AX8" s="397"/>
      <c r="AZ8" s="209">
        <f>SUM(C8:AU8)</f>
        <v>2583.61</v>
      </c>
      <c r="BA8" s="112">
        <f t="shared" ref="BA8:BA16" ca="1" si="0">AZ8/BC$17</f>
        <v>1291.8050000000001</v>
      </c>
      <c r="BB8" s="1"/>
      <c r="BC8" s="1"/>
    </row>
    <row r="9" spans="1:55" ht="15.75">
      <c r="A9" s="189" t="s">
        <v>199</v>
      </c>
      <c r="B9" s="193">
        <v>6335.2300000000014</v>
      </c>
      <c r="C9" s="382">
        <f>SUM('01'!L30:'01'!L34)</f>
        <v>133.94</v>
      </c>
      <c r="D9" s="383"/>
      <c r="E9" s="383"/>
      <c r="F9" s="384"/>
      <c r="G9" s="382">
        <f>SUM('02'!L30:'02'!L34)</f>
        <v>274.77999999999997</v>
      </c>
      <c r="H9" s="383"/>
      <c r="I9" s="383"/>
      <c r="J9" s="384"/>
      <c r="K9" s="382">
        <f>SUM('03'!L30:'03'!L34)</f>
        <v>0</v>
      </c>
      <c r="L9" s="383"/>
      <c r="M9" s="383"/>
      <c r="N9" s="384"/>
      <c r="O9" s="382">
        <f>SUM('04'!L30:'04'!L34)</f>
        <v>0</v>
      </c>
      <c r="P9" s="383"/>
      <c r="Q9" s="383"/>
      <c r="R9" s="384"/>
      <c r="S9" s="382">
        <f>SUM('05'!L30:'05'!L34)</f>
        <v>0</v>
      </c>
      <c r="T9" s="383"/>
      <c r="U9" s="383"/>
      <c r="V9" s="384"/>
      <c r="W9" s="382">
        <f>SUM('06'!L30:'06'!L34)</f>
        <v>0</v>
      </c>
      <c r="X9" s="383"/>
      <c r="Y9" s="383"/>
      <c r="Z9" s="384"/>
      <c r="AA9" s="382">
        <f>SUM('07'!L30:'07'!L34)</f>
        <v>0</v>
      </c>
      <c r="AB9" s="383"/>
      <c r="AC9" s="383"/>
      <c r="AD9" s="384"/>
      <c r="AE9" s="382">
        <f>SUM('08'!L30:'08'!L34)</f>
        <v>0</v>
      </c>
      <c r="AF9" s="383"/>
      <c r="AG9" s="383"/>
      <c r="AH9" s="384"/>
      <c r="AI9" s="382">
        <f>SUM('09'!L30:'09'!L34)</f>
        <v>0</v>
      </c>
      <c r="AJ9" s="383"/>
      <c r="AK9" s="383"/>
      <c r="AL9" s="384"/>
      <c r="AM9" s="382">
        <f>SUM('10'!L30:'10'!L34)</f>
        <v>0</v>
      </c>
      <c r="AN9" s="383"/>
      <c r="AO9" s="383"/>
      <c r="AP9" s="384"/>
      <c r="AQ9" s="382">
        <f>SUM('11'!L30:'11'!L34)</f>
        <v>0</v>
      </c>
      <c r="AR9" s="383"/>
      <c r="AS9" s="383"/>
      <c r="AT9" s="384"/>
      <c r="AU9" s="382">
        <f>SUM('12'!L30:'12'!L34)</f>
        <v>0</v>
      </c>
      <c r="AV9" s="383"/>
      <c r="AW9" s="383"/>
      <c r="AX9" s="384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82">
        <f>SUM('01'!L35:'01'!L39)</f>
        <v>133.97</v>
      </c>
      <c r="D10" s="383"/>
      <c r="E10" s="383"/>
      <c r="F10" s="384"/>
      <c r="G10" s="382">
        <f>SUM('02'!L35:'02'!L39)</f>
        <v>0</v>
      </c>
      <c r="H10" s="383"/>
      <c r="I10" s="383"/>
      <c r="J10" s="384"/>
      <c r="K10" s="382">
        <f>SUM('03'!L35:'03'!L39)</f>
        <v>0</v>
      </c>
      <c r="L10" s="383"/>
      <c r="M10" s="383"/>
      <c r="N10" s="384"/>
      <c r="O10" s="382">
        <f>SUM('04'!L35:'04'!L39)</f>
        <v>0</v>
      </c>
      <c r="P10" s="383"/>
      <c r="Q10" s="383"/>
      <c r="R10" s="384"/>
      <c r="S10" s="382">
        <f>SUM('05'!L35:'05'!L39)</f>
        <v>0</v>
      </c>
      <c r="T10" s="383"/>
      <c r="U10" s="383"/>
      <c r="V10" s="384"/>
      <c r="W10" s="398">
        <f>SUM('06'!L35:'06'!L39)</f>
        <v>0</v>
      </c>
      <c r="X10" s="399"/>
      <c r="Y10" s="399"/>
      <c r="Z10" s="400"/>
      <c r="AA10" s="398">
        <f>SUM('07'!L35:'07'!L39)</f>
        <v>0</v>
      </c>
      <c r="AB10" s="399"/>
      <c r="AC10" s="399"/>
      <c r="AD10" s="400"/>
      <c r="AE10" s="398">
        <f>SUM('08'!L35:'08'!L39)</f>
        <v>0</v>
      </c>
      <c r="AF10" s="399"/>
      <c r="AG10" s="399"/>
      <c r="AH10" s="400"/>
      <c r="AI10" s="398">
        <f>SUM('09'!L35:'09'!L39)</f>
        <v>0</v>
      </c>
      <c r="AJ10" s="399"/>
      <c r="AK10" s="399"/>
      <c r="AL10" s="400"/>
      <c r="AM10" s="398">
        <f>SUM('10'!L35:'10'!L39)</f>
        <v>0</v>
      </c>
      <c r="AN10" s="399"/>
      <c r="AO10" s="399"/>
      <c r="AP10" s="400"/>
      <c r="AQ10" s="398">
        <f>SUM('11'!L35:'11'!L39)</f>
        <v>0</v>
      </c>
      <c r="AR10" s="399"/>
      <c r="AS10" s="399"/>
      <c r="AT10" s="400"/>
      <c r="AU10" s="398">
        <f>SUM('12'!L35:'12'!L39)</f>
        <v>0</v>
      </c>
      <c r="AV10" s="399"/>
      <c r="AW10" s="399"/>
      <c r="AX10" s="400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82">
        <f>SUM('01'!L40:'01'!L44)</f>
        <v>2.63</v>
      </c>
      <c r="D11" s="383"/>
      <c r="E11" s="383"/>
      <c r="F11" s="384"/>
      <c r="G11" s="382">
        <f>SUM('02'!L40:'02'!L44)</f>
        <v>0</v>
      </c>
      <c r="H11" s="383"/>
      <c r="I11" s="383"/>
      <c r="J11" s="384"/>
      <c r="K11" s="382">
        <f>SUM('03'!L40:'03'!L44)</f>
        <v>0</v>
      </c>
      <c r="L11" s="383"/>
      <c r="M11" s="383"/>
      <c r="N11" s="384"/>
      <c r="O11" s="382">
        <f>SUM('04'!L40:'04'!L44)</f>
        <v>0</v>
      </c>
      <c r="P11" s="383"/>
      <c r="Q11" s="383"/>
      <c r="R11" s="384"/>
      <c r="S11" s="382">
        <f>SUM('05'!L40:'05'!L44)</f>
        <v>0</v>
      </c>
      <c r="T11" s="383"/>
      <c r="U11" s="383"/>
      <c r="V11" s="384"/>
      <c r="W11" s="382">
        <f>SUM('06'!L40:'06'!L44)</f>
        <v>0</v>
      </c>
      <c r="X11" s="383"/>
      <c r="Y11" s="383"/>
      <c r="Z11" s="384"/>
      <c r="AA11" s="382">
        <f>SUM('07'!L40:'07'!L44)</f>
        <v>0</v>
      </c>
      <c r="AB11" s="383"/>
      <c r="AC11" s="383"/>
      <c r="AD11" s="384"/>
      <c r="AE11" s="382">
        <f>SUM('08'!L40:'08'!L44)</f>
        <v>0</v>
      </c>
      <c r="AF11" s="383"/>
      <c r="AG11" s="383"/>
      <c r="AH11" s="384"/>
      <c r="AI11" s="382">
        <f>SUM('09'!L40:'09'!L44)</f>
        <v>0</v>
      </c>
      <c r="AJ11" s="383"/>
      <c r="AK11" s="383"/>
      <c r="AL11" s="384"/>
      <c r="AM11" s="382">
        <f>SUM('10'!L40:'10'!L44)</f>
        <v>0</v>
      </c>
      <c r="AN11" s="383"/>
      <c r="AO11" s="383"/>
      <c r="AP11" s="384"/>
      <c r="AQ11" s="382">
        <f>SUM('11'!L40:'11'!L44)</f>
        <v>0</v>
      </c>
      <c r="AR11" s="383"/>
      <c r="AS11" s="383"/>
      <c r="AT11" s="384"/>
      <c r="AU11" s="382">
        <f>SUM('12'!L40:'12'!L44)</f>
        <v>0</v>
      </c>
      <c r="AV11" s="383"/>
      <c r="AW11" s="383"/>
      <c r="AX11" s="384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82">
        <f>SUM('01'!L45:'01'!L49)</f>
        <v>1142.8599999999999</v>
      </c>
      <c r="D12" s="383"/>
      <c r="E12" s="383"/>
      <c r="F12" s="384"/>
      <c r="G12" s="382">
        <f>SUM('02'!L45:'02'!L49)</f>
        <v>0</v>
      </c>
      <c r="H12" s="383"/>
      <c r="I12" s="383"/>
      <c r="J12" s="384"/>
      <c r="K12" s="382">
        <f>SUM('03'!L45:'03'!L49)</f>
        <v>0</v>
      </c>
      <c r="L12" s="383"/>
      <c r="M12" s="383"/>
      <c r="N12" s="384"/>
      <c r="O12" s="382">
        <f>SUM('04'!L45:'04'!L49)</f>
        <v>0</v>
      </c>
      <c r="P12" s="383"/>
      <c r="Q12" s="383"/>
      <c r="R12" s="384"/>
      <c r="S12" s="382">
        <f>SUM('05'!L45:'05'!L49)</f>
        <v>0</v>
      </c>
      <c r="T12" s="383"/>
      <c r="U12" s="383"/>
      <c r="V12" s="384"/>
      <c r="W12" s="398">
        <f>SUM('06'!L45:'06'!L49)</f>
        <v>0</v>
      </c>
      <c r="X12" s="399"/>
      <c r="Y12" s="399"/>
      <c r="Z12" s="400"/>
      <c r="AA12" s="398">
        <f>SUM('07'!L45:'07'!L49)</f>
        <v>0</v>
      </c>
      <c r="AB12" s="399"/>
      <c r="AC12" s="399"/>
      <c r="AD12" s="400"/>
      <c r="AE12" s="398">
        <f>SUM('08'!L45:'08'!L49)</f>
        <v>0</v>
      </c>
      <c r="AF12" s="399"/>
      <c r="AG12" s="399"/>
      <c r="AH12" s="400"/>
      <c r="AI12" s="398">
        <f>SUM('09'!L45:'09'!L49)</f>
        <v>0</v>
      </c>
      <c r="AJ12" s="399"/>
      <c r="AK12" s="399"/>
      <c r="AL12" s="400"/>
      <c r="AM12" s="398">
        <f>SUM('10'!L45:'10'!L49)</f>
        <v>0</v>
      </c>
      <c r="AN12" s="399"/>
      <c r="AO12" s="399"/>
      <c r="AP12" s="400"/>
      <c r="AQ12" s="398">
        <f>SUM('11'!L45:'11'!L49)</f>
        <v>0</v>
      </c>
      <c r="AR12" s="399"/>
      <c r="AS12" s="399"/>
      <c r="AT12" s="400"/>
      <c r="AU12" s="398">
        <f>SUM('12'!L45:'12'!L49)</f>
        <v>0</v>
      </c>
      <c r="AV12" s="399"/>
      <c r="AW12" s="399"/>
      <c r="AX12" s="400"/>
      <c r="AZ12" s="211">
        <f t="shared" si="1"/>
        <v>1142.8599999999999</v>
      </c>
      <c r="BA12" s="112">
        <f t="shared" ca="1" si="0"/>
        <v>571.42999999999995</v>
      </c>
      <c r="BB12" s="1"/>
      <c r="BC12" s="1"/>
    </row>
    <row r="13" spans="1:55" ht="15.75">
      <c r="A13" s="189" t="s">
        <v>201</v>
      </c>
      <c r="B13" s="195">
        <v>10099.5</v>
      </c>
      <c r="C13" s="382">
        <f>SUM('01'!L50:'01'!L54)</f>
        <v>273.07</v>
      </c>
      <c r="D13" s="383"/>
      <c r="E13" s="383"/>
      <c r="F13" s="384"/>
      <c r="G13" s="382">
        <f>SUM('02'!L50:'02'!L54)</f>
        <v>273.07</v>
      </c>
      <c r="H13" s="383"/>
      <c r="I13" s="383"/>
      <c r="J13" s="384"/>
      <c r="K13" s="382">
        <f>SUM('03'!L50:'03'!L54)</f>
        <v>0</v>
      </c>
      <c r="L13" s="383"/>
      <c r="M13" s="383"/>
      <c r="N13" s="384"/>
      <c r="O13" s="382">
        <f>SUM('04'!L50:'04'!L54)</f>
        <v>0</v>
      </c>
      <c r="P13" s="383"/>
      <c r="Q13" s="383"/>
      <c r="R13" s="384"/>
      <c r="S13" s="382">
        <f>SUM('05'!L50:'05'!L54)</f>
        <v>0</v>
      </c>
      <c r="T13" s="383"/>
      <c r="U13" s="383"/>
      <c r="V13" s="384"/>
      <c r="W13" s="382">
        <f>SUM('06'!L50:'06'!L54)</f>
        <v>0</v>
      </c>
      <c r="X13" s="383"/>
      <c r="Y13" s="383"/>
      <c r="Z13" s="384"/>
      <c r="AA13" s="382">
        <f>SUM('07'!L50:'07'!L54)</f>
        <v>0</v>
      </c>
      <c r="AB13" s="383"/>
      <c r="AC13" s="383"/>
      <c r="AD13" s="384"/>
      <c r="AE13" s="382">
        <f>SUM('08'!L50:'08'!L54)</f>
        <v>0</v>
      </c>
      <c r="AF13" s="383"/>
      <c r="AG13" s="383"/>
      <c r="AH13" s="384"/>
      <c r="AI13" s="382">
        <f>SUM('09'!L50:'09'!L54)</f>
        <v>0</v>
      </c>
      <c r="AJ13" s="383"/>
      <c r="AK13" s="383"/>
      <c r="AL13" s="384"/>
      <c r="AM13" s="382">
        <f>SUM('10'!L50:'10'!L54)</f>
        <v>0</v>
      </c>
      <c r="AN13" s="383"/>
      <c r="AO13" s="383"/>
      <c r="AP13" s="384"/>
      <c r="AQ13" s="382">
        <f>SUM('11'!L50:'11'!L54)</f>
        <v>0</v>
      </c>
      <c r="AR13" s="383"/>
      <c r="AS13" s="383"/>
      <c r="AT13" s="384"/>
      <c r="AU13" s="382">
        <f>SUM('12'!L50:'12'!L54)</f>
        <v>0</v>
      </c>
      <c r="AV13" s="383"/>
      <c r="AW13" s="383"/>
      <c r="AX13" s="384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82">
        <f>SUM('01'!L55:'01'!L59)</f>
        <v>776.51</v>
      </c>
      <c r="D14" s="383"/>
      <c r="E14" s="383"/>
      <c r="F14" s="384"/>
      <c r="G14" s="382">
        <f>SUM('02'!L55:'02'!L59)</f>
        <v>0</v>
      </c>
      <c r="H14" s="383"/>
      <c r="I14" s="383"/>
      <c r="J14" s="384"/>
      <c r="K14" s="382">
        <f>SUM('03'!L55:'03'!L59)</f>
        <v>0</v>
      </c>
      <c r="L14" s="383"/>
      <c r="M14" s="383"/>
      <c r="N14" s="384"/>
      <c r="O14" s="382">
        <f>SUM('04'!L55:'04'!L59)</f>
        <v>0</v>
      </c>
      <c r="P14" s="383"/>
      <c r="Q14" s="383"/>
      <c r="R14" s="384"/>
      <c r="S14" s="382">
        <f>SUM('05'!L55:'05'!L59)</f>
        <v>0</v>
      </c>
      <c r="T14" s="383"/>
      <c r="U14" s="383"/>
      <c r="V14" s="384"/>
      <c r="W14" s="398">
        <f>SUM('06'!L55:'06'!L59)</f>
        <v>0</v>
      </c>
      <c r="X14" s="399"/>
      <c r="Y14" s="399"/>
      <c r="Z14" s="400"/>
      <c r="AA14" s="398">
        <f>SUM('07'!L55:'07'!L59)</f>
        <v>0</v>
      </c>
      <c r="AB14" s="399"/>
      <c r="AC14" s="399"/>
      <c r="AD14" s="400"/>
      <c r="AE14" s="398">
        <f>SUM('08'!L55:'08'!L59)</f>
        <v>0</v>
      </c>
      <c r="AF14" s="399"/>
      <c r="AG14" s="399"/>
      <c r="AH14" s="400"/>
      <c r="AI14" s="398">
        <f>SUM('09'!L55:'09'!L59)</f>
        <v>0</v>
      </c>
      <c r="AJ14" s="399"/>
      <c r="AK14" s="399"/>
      <c r="AL14" s="400"/>
      <c r="AM14" s="398">
        <f>SUM('10'!L55:'10'!L59)</f>
        <v>0</v>
      </c>
      <c r="AN14" s="399"/>
      <c r="AO14" s="399"/>
      <c r="AP14" s="400"/>
      <c r="AQ14" s="398">
        <f>SUM('11'!L55:'11'!L59)</f>
        <v>0</v>
      </c>
      <c r="AR14" s="399"/>
      <c r="AS14" s="399"/>
      <c r="AT14" s="400"/>
      <c r="AU14" s="398">
        <f>SUM('12'!L55:'12'!L59)</f>
        <v>0</v>
      </c>
      <c r="AV14" s="399"/>
      <c r="AW14" s="399"/>
      <c r="AX14" s="400"/>
      <c r="AZ14" s="211">
        <f t="shared" si="1"/>
        <v>776.51</v>
      </c>
      <c r="BA14" s="112">
        <f t="shared" ca="1" si="0"/>
        <v>388.255</v>
      </c>
      <c r="BB14" s="3"/>
      <c r="BC14" s="3"/>
    </row>
    <row r="15" spans="1:55" ht="15.75">
      <c r="A15" s="189" t="s">
        <v>203</v>
      </c>
      <c r="B15" s="193">
        <v>7259.8400000000011</v>
      </c>
      <c r="C15" s="382">
        <f>SUM('01'!L60:'01'!L64)</f>
        <v>0</v>
      </c>
      <c r="D15" s="383"/>
      <c r="E15" s="383"/>
      <c r="F15" s="384"/>
      <c r="G15" s="382">
        <f>SUM('02'!L60:'02'!L64)</f>
        <v>662.31</v>
      </c>
      <c r="H15" s="383"/>
      <c r="I15" s="383"/>
      <c r="J15" s="384"/>
      <c r="K15" s="382">
        <f>SUM('03'!L60:'03'!L64)</f>
        <v>0</v>
      </c>
      <c r="L15" s="383"/>
      <c r="M15" s="383"/>
      <c r="N15" s="384"/>
      <c r="O15" s="382">
        <f>SUM('04'!L60:'04'!L64)</f>
        <v>0</v>
      </c>
      <c r="P15" s="383"/>
      <c r="Q15" s="383"/>
      <c r="R15" s="384"/>
      <c r="S15" s="382">
        <f>SUM('05'!L60:'05'!L64)</f>
        <v>0</v>
      </c>
      <c r="T15" s="383"/>
      <c r="U15" s="383"/>
      <c r="V15" s="384"/>
      <c r="W15" s="382">
        <f>SUM('06'!L60:'06'!L64)</f>
        <v>0</v>
      </c>
      <c r="X15" s="383"/>
      <c r="Y15" s="383"/>
      <c r="Z15" s="384"/>
      <c r="AA15" s="382">
        <f>SUM('07'!L60:'07'!L64)</f>
        <v>0</v>
      </c>
      <c r="AB15" s="383"/>
      <c r="AC15" s="383"/>
      <c r="AD15" s="384"/>
      <c r="AE15" s="382">
        <f>SUM('08'!L60:'08'!L64)</f>
        <v>0</v>
      </c>
      <c r="AF15" s="383"/>
      <c r="AG15" s="383"/>
      <c r="AH15" s="384"/>
      <c r="AI15" s="382">
        <f>SUM('09'!L60:'09'!L64)</f>
        <v>0</v>
      </c>
      <c r="AJ15" s="383"/>
      <c r="AK15" s="383"/>
      <c r="AL15" s="384"/>
      <c r="AM15" s="382">
        <f>SUM('10'!L60:'10'!L64)</f>
        <v>0</v>
      </c>
      <c r="AN15" s="383"/>
      <c r="AO15" s="383"/>
      <c r="AP15" s="384"/>
      <c r="AQ15" s="382">
        <f>SUM('11'!L60:'11'!L64)</f>
        <v>0</v>
      </c>
      <c r="AR15" s="383"/>
      <c r="AS15" s="383"/>
      <c r="AT15" s="384"/>
      <c r="AU15" s="382">
        <f>SUM('12'!L60:'12'!L64)</f>
        <v>0</v>
      </c>
      <c r="AV15" s="383"/>
      <c r="AW15" s="383"/>
      <c r="AX15" s="384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82">
        <f>SUM('01'!L65:'01'!L69)</f>
        <v>87.95</v>
      </c>
      <c r="D16" s="383"/>
      <c r="E16" s="383"/>
      <c r="F16" s="384"/>
      <c r="G16" s="382">
        <f>SUM('02'!L65:'02'!L69)</f>
        <v>9.5</v>
      </c>
      <c r="H16" s="383"/>
      <c r="I16" s="383"/>
      <c r="J16" s="384"/>
      <c r="K16" s="382">
        <f>SUM('03'!L65:'03'!L69)</f>
        <v>0</v>
      </c>
      <c r="L16" s="383"/>
      <c r="M16" s="383"/>
      <c r="N16" s="384"/>
      <c r="O16" s="382">
        <f>SUM('04'!L65:'04'!L69)</f>
        <v>0</v>
      </c>
      <c r="P16" s="383"/>
      <c r="Q16" s="383"/>
      <c r="R16" s="384"/>
      <c r="S16" s="382">
        <f>SUM('05'!L65:'05'!L69)</f>
        <v>0</v>
      </c>
      <c r="T16" s="383"/>
      <c r="U16" s="383"/>
      <c r="V16" s="384"/>
      <c r="W16" s="401">
        <f>SUM('06'!L65:'06'!L69)</f>
        <v>0</v>
      </c>
      <c r="X16" s="402"/>
      <c r="Y16" s="402"/>
      <c r="Z16" s="403"/>
      <c r="AA16" s="401">
        <f>SUM('07'!L65:'07'!L69)</f>
        <v>0</v>
      </c>
      <c r="AB16" s="402"/>
      <c r="AC16" s="402"/>
      <c r="AD16" s="403"/>
      <c r="AE16" s="401">
        <f>SUM('08'!L65:'08'!L69)</f>
        <v>0</v>
      </c>
      <c r="AF16" s="402"/>
      <c r="AG16" s="402"/>
      <c r="AH16" s="403"/>
      <c r="AI16" s="401">
        <f>SUM('09'!L65:'09'!L69)</f>
        <v>0</v>
      </c>
      <c r="AJ16" s="402"/>
      <c r="AK16" s="402"/>
      <c r="AL16" s="403"/>
      <c r="AM16" s="401">
        <f>SUM('10'!L65:'10'!L69)</f>
        <v>0</v>
      </c>
      <c r="AN16" s="402"/>
      <c r="AO16" s="402"/>
      <c r="AP16" s="403"/>
      <c r="AQ16" s="401">
        <f>SUM('11'!L65:'11'!L69)</f>
        <v>0</v>
      </c>
      <c r="AR16" s="402"/>
      <c r="AS16" s="402"/>
      <c r="AT16" s="403"/>
      <c r="AU16" s="401">
        <f>SUM('12'!L65:'12'!L69)</f>
        <v>0</v>
      </c>
      <c r="AV16" s="402"/>
      <c r="AW16" s="402"/>
      <c r="AX16" s="403"/>
      <c r="AZ16" s="213">
        <f t="shared" si="1"/>
        <v>97.45</v>
      </c>
      <c r="BA16" s="112">
        <f t="shared" ca="1" si="0"/>
        <v>48.725000000000001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8">
        <f>SUM(C8:C16)</f>
        <v>5134.54</v>
      </c>
      <c r="D17" s="379"/>
      <c r="E17" s="379"/>
      <c r="F17" s="380"/>
      <c r="G17" s="378">
        <f>SUM(G8:G16)</f>
        <v>1219.6599999999999</v>
      </c>
      <c r="H17" s="379"/>
      <c r="I17" s="379"/>
      <c r="J17" s="380"/>
      <c r="K17" s="378">
        <f>SUM(K8:K16)</f>
        <v>0</v>
      </c>
      <c r="L17" s="379"/>
      <c r="M17" s="379"/>
      <c r="N17" s="380"/>
      <c r="O17" s="378">
        <f>SUM(O8:O16)</f>
        <v>0</v>
      </c>
      <c r="P17" s="379"/>
      <c r="Q17" s="379"/>
      <c r="R17" s="380"/>
      <c r="S17" s="378">
        <f>SUM(S8:S16)</f>
        <v>0</v>
      </c>
      <c r="T17" s="379"/>
      <c r="U17" s="379"/>
      <c r="V17" s="380"/>
      <c r="W17" s="378">
        <f>SUM(W8:W16)</f>
        <v>0</v>
      </c>
      <c r="X17" s="379"/>
      <c r="Y17" s="379"/>
      <c r="Z17" s="380"/>
      <c r="AA17" s="378">
        <f>SUM(AA8:AA16)</f>
        <v>0</v>
      </c>
      <c r="AB17" s="379"/>
      <c r="AC17" s="379"/>
      <c r="AD17" s="380"/>
      <c r="AE17" s="378">
        <f>SUM(AE8:AE16)</f>
        <v>0</v>
      </c>
      <c r="AF17" s="379"/>
      <c r="AG17" s="379"/>
      <c r="AH17" s="380"/>
      <c r="AI17" s="378">
        <f>SUM(AI8:AI16)</f>
        <v>0</v>
      </c>
      <c r="AJ17" s="379"/>
      <c r="AK17" s="379"/>
      <c r="AL17" s="380"/>
      <c r="AM17" s="378">
        <f>SUM(AM8:AM16)</f>
        <v>0</v>
      </c>
      <c r="AN17" s="379"/>
      <c r="AO17" s="379"/>
      <c r="AP17" s="380"/>
      <c r="AQ17" s="378">
        <f>SUM(AQ8:AQ16)</f>
        <v>0</v>
      </c>
      <c r="AR17" s="379"/>
      <c r="AS17" s="379"/>
      <c r="AT17" s="380"/>
      <c r="AU17" s="378">
        <f>SUM(AU8:AU16)</f>
        <v>0</v>
      </c>
      <c r="AV17" s="379"/>
      <c r="AW17" s="379"/>
      <c r="AX17" s="380"/>
      <c r="AZ17" s="227">
        <f>SUM(AZ8:AZ16)</f>
        <v>6354.2</v>
      </c>
      <c r="BA17" s="112">
        <f ca="1">AZ17/BC$17</f>
        <v>3177.1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 t="s">
        <v>170</v>
      </c>
      <c r="AV18" s="381"/>
      <c r="AW18" s="381"/>
      <c r="AX18" s="381"/>
      <c r="AZ18" s="131">
        <f>(2700*13)+(600*12)+(550*12)+(273*12)</f>
        <v>52176</v>
      </c>
      <c r="BA18" s="131">
        <f ca="1">12*BA17</f>
        <v>38125.199999999997</v>
      </c>
      <c r="BB18" s="1"/>
      <c r="BC18" s="1"/>
    </row>
    <row r="19" spans="1:62" ht="17.25" thickTop="1" thickBot="1">
      <c r="A19" s="24" t="s">
        <v>7</v>
      </c>
      <c r="B19" s="24" t="s">
        <v>754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689.09</v>
      </c>
      <c r="I20" s="144">
        <f>SUM('02'!D20:F20)</f>
        <v>1291.24</v>
      </c>
      <c r="J20" s="145">
        <f t="shared" ref="J20:J45" si="3">F20+H20-I20</f>
        <v>2014.8891905564922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2591.6691905564921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2587.9091905564919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2789.0291905564918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2788.6991905564919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2337.3891905564919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2332.309190556492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2534.6691905564917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2510.4691905564914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3071.2991905564913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3313.4391905564912</v>
      </c>
      <c r="AZ20" s="123">
        <f t="shared" ref="AZ20:AZ27" si="14">E20+I20+M20+Q20+U20+Y20+AC20+AG20+AK20+AO20+AS20+AW20</f>
        <v>5310.79</v>
      </c>
      <c r="BA20" s="21">
        <f t="shared" ref="BA20:BA45" si="15">AZ20/AZ$46</f>
        <v>0.13424181215160139</v>
      </c>
      <c r="BB20" s="22">
        <f>_xlfn.RANK.EQ(BA20,$BA$20:$BA$45,)</f>
        <v>2</v>
      </c>
      <c r="BC20" s="22">
        <f t="shared" ref="BC20:BC45" ca="1" si="16">AZ20/BC$17</f>
        <v>2655.395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1265.8700000000001</v>
      </c>
      <c r="BF20" s="21">
        <f t="shared" ref="BF20:BF45" ca="1" si="18">BE20/BE$46</f>
        <v>0.20454538109780729</v>
      </c>
      <c r="BG20" s="22">
        <f ca="1">_xlfn.RANK.EQ(BF20,$BF$20:$BF$45,)</f>
        <v>3</v>
      </c>
      <c r="BH20" s="22">
        <f t="shared" ref="BH20:BH45" ca="1" si="19">BE20/BC$17</f>
        <v>632.93500000000006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-456.86999999999966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918.62</v>
      </c>
      <c r="J21" s="151">
        <f t="shared" si="3"/>
        <v>501.30999999999938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1665.3099999999995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1709.3699999999994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1585.6099999999994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1629.6699999999996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1673.7299999999996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1613.5999999999995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1657.6599999999994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1597.5299999999993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1640.9199999999994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2793.9199999999992</v>
      </c>
      <c r="AZ21" s="152">
        <f t="shared" si="14"/>
        <v>11335.810000000001</v>
      </c>
      <c r="BA21" s="21">
        <f t="shared" si="15"/>
        <v>0.28653734691189914</v>
      </c>
      <c r="BB21" s="22">
        <f t="shared" ref="BB21:BB45" si="20">_xlfn.RANK.EQ(BA21,$BA$20:$BA$45,)</f>
        <v>1</v>
      </c>
      <c r="BC21" s="22">
        <f t="shared" ca="1" si="16"/>
        <v>5667.9050000000007</v>
      </c>
      <c r="BE21" s="224">
        <f t="shared" ca="1" si="17"/>
        <v>2328</v>
      </c>
      <c r="BF21" s="21">
        <f t="shared" ca="1" si="18"/>
        <v>0.37616947016336222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200.58000000000004</v>
      </c>
    </row>
    <row r="22" spans="1:62" ht="15.75">
      <c r="A22" s="153" t="s">
        <v>740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227.2</v>
      </c>
      <c r="J22" s="156">
        <f t="shared" si="3"/>
        <v>212.83999999999997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679.58999999999992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838.18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806.91999999999985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813.69999999999982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813.69999999999982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813.69999999999959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828.99999999999955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801.78999999999951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705.58999999999946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1020.5899999999995</v>
      </c>
      <c r="AZ22" s="157">
        <f t="shared" si="14"/>
        <v>2772.52</v>
      </c>
      <c r="BA22" s="21">
        <f t="shared" si="15"/>
        <v>7.008149616658875E-2</v>
      </c>
      <c r="BB22" s="22">
        <f t="shared" si="20"/>
        <v>4</v>
      </c>
      <c r="BC22" s="22">
        <f t="shared" ca="1" si="16"/>
        <v>1386.26</v>
      </c>
      <c r="BE22" s="225">
        <f t="shared" ca="1" si="17"/>
        <v>821.75</v>
      </c>
      <c r="BF22" s="21">
        <f t="shared" ca="1" si="18"/>
        <v>0.13278232908365245</v>
      </c>
      <c r="BG22" s="22">
        <f t="shared" ca="1" si="21"/>
        <v>5</v>
      </c>
      <c r="BH22" s="22">
        <f t="shared" ca="1" si="19"/>
        <v>410.875</v>
      </c>
      <c r="BJ22" s="225">
        <f t="shared" ca="1" si="22"/>
        <v>149.45999999999998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117.36</v>
      </c>
      <c r="J23" s="151">
        <f t="shared" si="3"/>
        <v>252.54000000000008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432.54000000000008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501.54000000000008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458.69000000000005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461.04000000000008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488.84000000000009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482.19000000000017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489.29000000000013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505.9100000000002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537.71000000000026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722.71000000000026</v>
      </c>
      <c r="AZ23" s="152">
        <f t="shared" si="14"/>
        <v>1648.24</v>
      </c>
      <c r="BA23" s="21">
        <f t="shared" si="15"/>
        <v>4.1662864557016087E-2</v>
      </c>
      <c r="BB23" s="22">
        <f t="shared" si="20"/>
        <v>8</v>
      </c>
      <c r="BC23" s="22">
        <f t="shared" ca="1" si="16"/>
        <v>824.12</v>
      </c>
      <c r="BE23" s="224">
        <f t="shared" ca="1" si="17"/>
        <v>360</v>
      </c>
      <c r="BF23" s="21">
        <f t="shared" ca="1" si="18"/>
        <v>5.817053662320034E-2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71.589999999999975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53.55</v>
      </c>
      <c r="J24" s="156">
        <f t="shared" si="3"/>
        <v>357.67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537.67000000000007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584.28000000000009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568.80000000000007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535.94000000000005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640.84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657.02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652.36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592.18000000000006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698.90000000000009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848.90000000000009</v>
      </c>
      <c r="AZ24" s="157">
        <f t="shared" si="14"/>
        <v>1367.72</v>
      </c>
      <c r="BA24" s="21">
        <f t="shared" si="15"/>
        <v>3.4572109105422785E-2</v>
      </c>
      <c r="BB24" s="22">
        <f t="shared" si="20"/>
        <v>9</v>
      </c>
      <c r="BC24" s="22">
        <f t="shared" ca="1" si="16"/>
        <v>683.86</v>
      </c>
      <c r="BE24" s="225">
        <f t="shared" ca="1" si="17"/>
        <v>380</v>
      </c>
      <c r="BF24" s="21">
        <f t="shared" ca="1" si="18"/>
        <v>6.1402233102267029E-2</v>
      </c>
      <c r="BG24" s="22">
        <f t="shared" ca="1" si="21"/>
        <v>7</v>
      </c>
      <c r="BH24" s="22">
        <f t="shared" ca="1" si="19"/>
        <v>190</v>
      </c>
      <c r="BJ24" s="225">
        <f t="shared" ca="1" si="22"/>
        <v>121.04999999999998</v>
      </c>
    </row>
    <row r="25" spans="1:62" ht="15.75">
      <c r="A25" s="146" t="s">
        <v>755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658.47</v>
      </c>
      <c r="J25" s="151">
        <f t="shared" si="3"/>
        <v>5750.4915974244968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6428.9615974244971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7970.9315974244973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7158.5515974244972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7276.1715974244971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7593.791597424497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8261.4115974244978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8379.0315974244986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8812.9831948489973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8943.0731948489974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9400.5431948489968</v>
      </c>
      <c r="AZ25" s="152">
        <f t="shared" si="14"/>
        <v>4227.920000000001</v>
      </c>
      <c r="BA25" s="21">
        <f t="shared" si="15"/>
        <v>0.10686990870134173</v>
      </c>
      <c r="BB25" s="22">
        <f t="shared" si="20"/>
        <v>3</v>
      </c>
      <c r="BC25" s="22">
        <f t="shared" ca="1" si="16"/>
        <v>2113.9600000000005</v>
      </c>
      <c r="BE25" s="224">
        <f t="shared" ca="1" si="17"/>
        <v>2343.85</v>
      </c>
      <c r="BF25" s="21">
        <f t="shared" ca="1" si="18"/>
        <v>0.37873058962302253</v>
      </c>
      <c r="BG25" s="22">
        <f t="shared" ca="1" si="21"/>
        <v>1</v>
      </c>
      <c r="BH25" s="22">
        <f t="shared" ca="1" si="19"/>
        <v>1171.925</v>
      </c>
      <c r="BJ25" s="224">
        <f t="shared" ca="1" si="22"/>
        <v>798.97000000000025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88.09999999999998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141.09999999999997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138.60999999999996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156.11999999999995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153.62999999999994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161.13999999999993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158.64999999999992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166.15999999999991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108.66999999999992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116.17999999999989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184.17999999999989</v>
      </c>
      <c r="AZ26" s="157">
        <f t="shared" si="14"/>
        <v>512.4</v>
      </c>
      <c r="BA26" s="21">
        <f t="shared" si="15"/>
        <v>1.295202870881367E-2</v>
      </c>
      <c r="BB26" s="22">
        <f t="shared" si="20"/>
        <v>13</v>
      </c>
      <c r="BC26" s="22">
        <f t="shared" ca="1" si="16"/>
        <v>256.2</v>
      </c>
      <c r="BE26" s="225">
        <f t="shared" ca="1" si="17"/>
        <v>106</v>
      </c>
      <c r="BF26" s="21">
        <f t="shared" ca="1" si="18"/>
        <v>1.7127991339053433E-2</v>
      </c>
      <c r="BG26" s="22">
        <f t="shared" ca="1" si="21"/>
        <v>14</v>
      </c>
      <c r="BH26" s="22">
        <f t="shared" ca="1" si="19"/>
        <v>53</v>
      </c>
      <c r="BJ26" s="225">
        <f t="shared" ca="1" si="22"/>
        <v>42.519999999999996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15</v>
      </c>
      <c r="J27" s="187">
        <f t="shared" si="3"/>
        <v>449.54000000000008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499.54000000000008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532.96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499.09000000000003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455.93000000000006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505.93000000000006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518.6400000000001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568.6400000000001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571.88000000000011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605.30000000000007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630.43000000000006</v>
      </c>
      <c r="AZ27" s="188">
        <f t="shared" si="14"/>
        <v>298.97999999999996</v>
      </c>
      <c r="BA27" s="21">
        <f t="shared" si="15"/>
        <v>7.5573722548031045E-3</v>
      </c>
      <c r="BB27" s="22">
        <f t="shared" si="20"/>
        <v>17</v>
      </c>
      <c r="BC27" s="22">
        <f t="shared" ca="1" si="16"/>
        <v>149.48999999999998</v>
      </c>
      <c r="BE27" s="224">
        <f t="shared" ca="1" si="17"/>
        <v>90</v>
      </c>
      <c r="BF27" s="21">
        <f t="shared" ca="1" si="18"/>
        <v>1.4542634155800085E-2</v>
      </c>
      <c r="BG27" s="22">
        <f t="shared" ca="1" si="21"/>
        <v>15</v>
      </c>
      <c r="BH27" s="22">
        <f t="shared" ca="1" si="19"/>
        <v>45</v>
      </c>
      <c r="BJ27" s="224">
        <f t="shared" ca="1" si="22"/>
        <v>50.129999999999995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1514.0600000000002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823.20000000000016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1873.2000000000003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2073.2000000000003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909.9200000000003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1109.9200000000003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1265.9200000000003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1465.9200000000003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1665.9200000000003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1865.9200000000003</v>
      </c>
      <c r="AZ28" s="182">
        <f t="shared" ref="AZ28:AZ45" si="23">E28+I28+M28+Q28+U28+Y28+AC28+AG28+AK28+AO28+AS28+AW28</f>
        <v>2713.08</v>
      </c>
      <c r="BA28" s="21">
        <f t="shared" si="15"/>
        <v>6.8579020392873127E-2</v>
      </c>
      <c r="BB28" s="22">
        <f t="shared" si="20"/>
        <v>5</v>
      </c>
      <c r="BC28" s="22">
        <f t="shared" ca="1" si="16"/>
        <v>1356.54</v>
      </c>
      <c r="BE28" s="223">
        <f t="shared" ca="1" si="17"/>
        <v>400</v>
      </c>
      <c r="BF28" s="21">
        <f t="shared" ca="1" si="18"/>
        <v>6.463392958133371E-2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25.059999999999945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208.86999999999998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235.24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177.46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146.42000000000002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166.22000000000003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132.44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68.649999999999977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74.489999999999981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179.48999999999998</v>
      </c>
      <c r="AZ29" s="152">
        <f t="shared" si="23"/>
        <v>1146.7000000000003</v>
      </c>
      <c r="BA29" s="21">
        <f t="shared" si="15"/>
        <v>2.8985346058541452E-2</v>
      </c>
      <c r="BB29" s="22">
        <f t="shared" si="20"/>
        <v>11</v>
      </c>
      <c r="BC29" s="22">
        <f t="shared" ca="1" si="16"/>
        <v>573.35000000000014</v>
      </c>
      <c r="BE29" s="224">
        <f t="shared" ca="1" si="17"/>
        <v>224.95</v>
      </c>
      <c r="BF29" s="21">
        <f t="shared" ca="1" si="18"/>
        <v>3.6348506148302547E-2</v>
      </c>
      <c r="BG29" s="22">
        <f t="shared" ca="1" si="21"/>
        <v>10</v>
      </c>
      <c r="BH29" s="22">
        <f t="shared" ca="1" si="19"/>
        <v>112.47499999999999</v>
      </c>
      <c r="BJ29" s="224">
        <f t="shared" ca="1" si="22"/>
        <v>-0.71999999999999886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7.8612039977381965E-3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1.13109376767334E-2</v>
      </c>
      <c r="BG30" s="22">
        <f t="shared" ca="1" si="21"/>
        <v>17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4.2597109250766584E-3</v>
      </c>
      <c r="BB31" s="22">
        <f t="shared" si="20"/>
        <v>18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6.7865626060400397E-3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59.5</v>
      </c>
      <c r="I32" s="155">
        <f>SUM('02'!D260:F260)</f>
        <v>67.23</v>
      </c>
      <c r="J32" s="161">
        <f t="shared" si="3"/>
        <v>384.03999999999974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434.03999999999974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703.16999999999973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1207.9299999999996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1102.6099999999997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878.20999999999958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920.4399999999996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764.09999999999945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686.89999999999941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781.89999999999941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1031.8999999999994</v>
      </c>
      <c r="AZ32" s="157">
        <f t="shared" si="23"/>
        <v>1886.8300000000004</v>
      </c>
      <c r="BA32" s="21">
        <f t="shared" si="15"/>
        <v>4.7693747713994733E-2</v>
      </c>
      <c r="BB32" s="22">
        <f t="shared" si="20"/>
        <v>7</v>
      </c>
      <c r="BC32" s="22">
        <f t="shared" ca="1" si="16"/>
        <v>943.41500000000019</v>
      </c>
      <c r="BE32" s="225">
        <f t="shared" ca="1" si="17"/>
        <v>109.5</v>
      </c>
      <c r="BF32" s="21">
        <f t="shared" ca="1" si="18"/>
        <v>1.7693538222890104E-2</v>
      </c>
      <c r="BG32" s="22">
        <f t="shared" ca="1" si="21"/>
        <v>13</v>
      </c>
      <c r="BH32" s="22">
        <f t="shared" ca="1" si="19"/>
        <v>54.75</v>
      </c>
      <c r="BJ32" s="225">
        <f t="shared" ca="1" si="22"/>
        <v>-82.860000000000014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9.6771168440324476E-3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1.6158482395333428E-3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17.07</v>
      </c>
      <c r="J34" s="161">
        <f t="shared" si="3"/>
        <v>130.23999999999981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240.23999999999981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286.23999999999978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50.599999999999739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150.59999999999968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57.339999999999691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133.0499999999997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152.0499999999997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196.14999999999969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286.14999999999969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381.14999999999969</v>
      </c>
      <c r="AZ34" s="152">
        <f t="shared" si="23"/>
        <v>1171.1100000000001</v>
      </c>
      <c r="BA34" s="21">
        <f t="shared" si="15"/>
        <v>2.9602362102222442E-2</v>
      </c>
      <c r="BB34" s="22">
        <f t="shared" si="20"/>
        <v>10</v>
      </c>
      <c r="BC34" s="22">
        <f t="shared" ca="1" si="16"/>
        <v>585.55500000000006</v>
      </c>
      <c r="BE34" s="225">
        <f t="shared" ca="1" si="17"/>
        <v>325.02</v>
      </c>
      <c r="BF34" s="21">
        <f t="shared" ca="1" si="18"/>
        <v>5.2518299481312709E-2</v>
      </c>
      <c r="BG34" s="22">
        <f t="shared" ca="1" si="21"/>
        <v>9</v>
      </c>
      <c r="BH34" s="22">
        <f t="shared" ca="1" si="19"/>
        <v>162.51</v>
      </c>
      <c r="BJ34" s="225">
        <f t="shared" ca="1" si="22"/>
        <v>115.41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100</v>
      </c>
      <c r="I35" s="186">
        <f>SUM('02'!D320:F320)</f>
        <v>98.62</v>
      </c>
      <c r="J35" s="187">
        <f t="shared" si="3"/>
        <v>2050.4100000000008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2150.4100000000008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2085.0100000000007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2211.5000000000005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2188.9000000000005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2232.4300000000007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2275.2100000000009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2208.7000000000007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1891.0100000000007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1851.9600000000007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1981.9600000000007</v>
      </c>
      <c r="AZ35" s="188">
        <f t="shared" si="23"/>
        <v>2496.8200000000002</v>
      </c>
      <c r="BA35" s="21">
        <f t="shared" si="15"/>
        <v>6.3112576738368759E-2</v>
      </c>
      <c r="BB35" s="22">
        <f t="shared" si="20"/>
        <v>6</v>
      </c>
      <c r="BC35" s="22">
        <f t="shared" ca="1" si="16"/>
        <v>1248.4100000000001</v>
      </c>
      <c r="BE35" s="224">
        <f t="shared" ca="1" si="17"/>
        <v>989.43999999999994</v>
      </c>
      <c r="BF35" s="21">
        <f t="shared" ca="1" si="18"/>
        <v>0.15987848821238707</v>
      </c>
      <c r="BG35" s="22">
        <f t="shared" ca="1" si="21"/>
        <v>4</v>
      </c>
      <c r="BH35" s="22">
        <f t="shared" ca="1" si="19"/>
        <v>494.71999999999997</v>
      </c>
      <c r="BJ35" s="224">
        <f t="shared" ca="1" si="22"/>
        <v>469.05000000000018</v>
      </c>
    </row>
    <row r="36" spans="1:62" ht="15.75">
      <c r="A36" s="163" t="s">
        <v>372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1302.5100000000002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1392.5300000000002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1308.5300000000002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1316.5300000000002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1491.5300000000002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1153.9800000000002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1412.1000000000004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1497.1000000000004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2002.1000000000004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2092.1000000000004</v>
      </c>
      <c r="AZ36" s="182">
        <f t="shared" si="23"/>
        <v>1014.38</v>
      </c>
      <c r="BA36" s="21">
        <f t="shared" si="15"/>
        <v>2.5640669167928204E-2</v>
      </c>
      <c r="BB36" s="22">
        <f t="shared" si="20"/>
        <v>12</v>
      </c>
      <c r="BC36" s="22">
        <f t="shared" ca="1" si="16"/>
        <v>507.19</v>
      </c>
      <c r="BE36" s="223">
        <f t="shared" ca="1" si="17"/>
        <v>180.01999999999998</v>
      </c>
      <c r="BF36" s="21">
        <f t="shared" ca="1" si="18"/>
        <v>2.9088500008079235E-2</v>
      </c>
      <c r="BG36" s="22">
        <f t="shared" ca="1" si="21"/>
        <v>11</v>
      </c>
      <c r="BH36" s="22">
        <f t="shared" ca="1" si="19"/>
        <v>90.009999999999991</v>
      </c>
      <c r="BJ36" s="223">
        <f t="shared" ca="1" si="22"/>
        <v>165.01999999999998</v>
      </c>
    </row>
    <row r="37" spans="1:62" ht="15.75">
      <c r="A37" s="146" t="s">
        <v>741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</v>
      </c>
      <c r="I37" s="165">
        <f>SUM('02'!D360:F360)</f>
        <v>0</v>
      </c>
      <c r="J37" s="151">
        <f t="shared" si="3"/>
        <v>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595.73</v>
      </c>
      <c r="AZ37" s="152">
        <f t="shared" si="23"/>
        <v>129.30000000000001</v>
      </c>
      <c r="BA37" s="21">
        <f t="shared" si="15"/>
        <v>3.268339797130382E-3</v>
      </c>
      <c r="BB37" s="22">
        <f t="shared" si="20"/>
        <v>19</v>
      </c>
      <c r="BC37" s="22">
        <f t="shared" ca="1" si="16"/>
        <v>64.650000000000006</v>
      </c>
      <c r="BE37" s="224">
        <f t="shared" ca="1" si="17"/>
        <v>15</v>
      </c>
      <c r="BF37" s="21">
        <f t="shared" ca="1" si="18"/>
        <v>2.4237723593000145E-3</v>
      </c>
      <c r="BG37" s="22">
        <f t="shared" ca="1" si="21"/>
        <v>20</v>
      </c>
      <c r="BH37" s="22">
        <f t="shared" ca="1" si="19"/>
        <v>7.5</v>
      </c>
      <c r="BJ37" s="224">
        <f t="shared" ca="1" si="22"/>
        <v>15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9</v>
      </c>
      <c r="J38" s="156">
        <f t="shared" si="3"/>
        <v>246.59000000000009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296.59000000000009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342.29000000000008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330.00000000000011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330.90000000000009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357.30000000000007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386.00000000000006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408.00000000000006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455.50000000000006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437.47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497.47</v>
      </c>
      <c r="AZ38" s="157">
        <f t="shared" si="23"/>
        <v>442.03</v>
      </c>
      <c r="BA38" s="21">
        <f t="shared" si="15"/>
        <v>1.1173273321929951E-2</v>
      </c>
      <c r="BB38" s="22">
        <f t="shared" si="20"/>
        <v>14</v>
      </c>
      <c r="BC38" s="22">
        <f t="shared" ca="1" si="16"/>
        <v>221.01499999999999</v>
      </c>
      <c r="BE38" s="225">
        <f t="shared" ca="1" si="17"/>
        <v>110</v>
      </c>
      <c r="BF38" s="21">
        <f t="shared" ca="1" si="18"/>
        <v>1.7774330634866772E-2</v>
      </c>
      <c r="BG38" s="22">
        <f t="shared" ca="1" si="21"/>
        <v>12</v>
      </c>
      <c r="BH38" s="22">
        <f t="shared" ca="1" si="19"/>
        <v>55</v>
      </c>
      <c r="BJ38" s="225">
        <f t="shared" ca="1" si="22"/>
        <v>72.09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1549.2807879809902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2900.54078798099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1565.54078798099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1585.54078798099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1545.54078798099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1560.54078798099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1575.54078798099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3008.5615759619805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3023.5615759619805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3033.5615759619805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</v>
      </c>
      <c r="BF39" s="21">
        <f t="shared" ca="1" si="18"/>
        <v>4.8475447186000289E-3</v>
      </c>
      <c r="BG39" s="22">
        <f t="shared" ca="1" si="21"/>
        <v>19</v>
      </c>
      <c r="BH39" s="22">
        <f t="shared" ca="1" si="19"/>
        <v>15</v>
      </c>
      <c r="BJ39" s="224">
        <f t="shared" ca="1" si="22"/>
        <v>30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50</v>
      </c>
      <c r="I40" s="166">
        <f>SUM('02'!D420:F420)</f>
        <v>0</v>
      </c>
      <c r="J40" s="156">
        <f t="shared" si="3"/>
        <v>7401.6661040380204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7451.6661040380204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8551.5461040380196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7555.6861040380199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7602.7061040380204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7500.6661040380204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7547.5561040380207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7594.4661040380206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8902.5022080760409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8993.0322080760416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9043.0322080760416</v>
      </c>
      <c r="AZ40" s="157">
        <f t="shared" si="23"/>
        <v>101.99000000000001</v>
      </c>
      <c r="BA40" s="21">
        <f t="shared" si="15"/>
        <v>2.5780199219592238E-3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81.75</v>
      </c>
      <c r="BF40" s="21">
        <f t="shared" ca="1" si="18"/>
        <v>1.3209559358185078E-2</v>
      </c>
      <c r="BG40" s="22">
        <f t="shared" ca="1" si="21"/>
        <v>16</v>
      </c>
      <c r="BH40" s="22">
        <f t="shared" ca="1" si="19"/>
        <v>40.875</v>
      </c>
      <c r="BJ40" s="225">
        <f t="shared" ca="1" si="22"/>
        <v>67.300000000000182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-3202.1500000000005</v>
      </c>
      <c r="I41" s="165">
        <f>SUM('02'!D440:F440)</f>
        <v>0</v>
      </c>
      <c r="J41" s="151">
        <f t="shared" si="3"/>
        <v>4470.6700000000019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170.67000000000189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-4114.0499999999975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-10072.089999999997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-14166.239999999996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-18339.049999999996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-22585.439999999995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-27567.409999999996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-31577.459999999995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-36348.179999999993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-40248.179999999993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-4104.4500000000007</v>
      </c>
      <c r="BF41" s="21">
        <f t="shared" ca="1" si="18"/>
        <v>-0.66321683067526305</v>
      </c>
      <c r="BG41" s="22">
        <f t="shared" ca="1" si="21"/>
        <v>26</v>
      </c>
      <c r="BH41" s="22">
        <f t="shared" ca="1" si="19"/>
        <v>-2052.2250000000004</v>
      </c>
      <c r="BJ41" s="224">
        <f t="shared" ca="1" si="22"/>
        <v>-4104.4500000000007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1800.0400000000004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-2284.1599999999994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1760.1000000000008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1760.1000000000008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1760.1000000000008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1760.1000000000008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1760.1000000000008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-2284.1599999999994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-2284.1599999999994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-2284.1599999999994</v>
      </c>
      <c r="AZ42" s="157">
        <f t="shared" si="23"/>
        <v>1.98</v>
      </c>
      <c r="BA42" s="21">
        <f t="shared" si="15"/>
        <v>5.0048822879490763E-5</v>
      </c>
      <c r="BB42" s="22">
        <f t="shared" si="20"/>
        <v>22</v>
      </c>
      <c r="BC42" s="22">
        <f t="shared" ca="1" si="16"/>
        <v>0.99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3.0436256378381225E-3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1.6158482395333428E-3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1049.6599999999999</v>
      </c>
      <c r="I46" s="219">
        <f>SUM(I20:I45)</f>
        <v>3567.0000000000005</v>
      </c>
      <c r="J46" s="220">
        <f>SUM(J20:J45)</f>
        <v>31321.747680000004</v>
      </c>
      <c r="K46" s="218"/>
      <c r="L46" s="219">
        <f>SUM(L20:L45)</f>
        <v>-170</v>
      </c>
      <c r="M46" s="219">
        <f>SUM(M20:M45)</f>
        <v>0</v>
      </c>
      <c r="N46" s="220">
        <f>SUM(N20:N45)</f>
        <v>31151.747680000004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27548.377679999998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23441.04768</v>
      </c>
      <c r="W46" s="218"/>
      <c r="X46" s="219">
        <f>SUM(X20:X45)</f>
        <v>0</v>
      </c>
      <c r="Y46" s="219">
        <f>SUM(Y20:Y45)</f>
        <v>3824.44</v>
      </c>
      <c r="Z46" s="220">
        <f>SUM(Z20:Z45)</f>
        <v>19616.607680000008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14213.137680000003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10359.057680000002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6208.2976799999997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2249.615360000013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-587.9046399999861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-612.77463999998099</v>
      </c>
      <c r="AZ46" s="227">
        <f>SUM(AZ20:AZ45)</f>
        <v>39561.37000000001</v>
      </c>
      <c r="BA46" s="1"/>
      <c r="BB46" s="1"/>
      <c r="BC46" s="124">
        <f ca="1">SUM(BC20:BC45)</f>
        <v>19780.685000000005</v>
      </c>
      <c r="BE46" s="227">
        <f ca="1">SUM(BE20:BE45)</f>
        <v>6188.7000000000007</v>
      </c>
      <c r="BF46" s="1"/>
      <c r="BG46" s="1"/>
      <c r="BH46" s="124">
        <f ca="1">SUM(BH20:BH45)</f>
        <v>3094.3500000000004</v>
      </c>
      <c r="BJ46" s="227">
        <f ca="1">SUM(BJ20:BJ45)</f>
        <v>-2257.25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-2347.3400000000006</v>
      </c>
      <c r="J47" s="125"/>
      <c r="K47" s="125">
        <f>K5-J46</f>
        <v>-5746.987680000002</v>
      </c>
      <c r="L47" s="125">
        <f>K17-L46</f>
        <v>170</v>
      </c>
      <c r="M47" s="125">
        <f>K17-M46</f>
        <v>0</v>
      </c>
      <c r="N47" s="125"/>
      <c r="O47" s="125">
        <f>O5-N46</f>
        <v>-4707.9876800000056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-385.287679999994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5573.0323199999984</v>
      </c>
      <c r="X47" s="125">
        <f>W17-X46</f>
        <v>0</v>
      </c>
      <c r="Y47" s="125">
        <f>W17-Y46</f>
        <v>-3824.44</v>
      </c>
      <c r="Z47" s="125"/>
      <c r="AA47" s="125">
        <f>AA5-Z46</f>
        <v>9666.3523199999909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14953.712319999999</v>
      </c>
      <c r="AF47" s="125">
        <f>AE17-AF46</f>
        <v>0</v>
      </c>
      <c r="AG47" s="125">
        <f>AE17-AG46</f>
        <v>-3854.08</v>
      </c>
      <c r="AH47" s="125"/>
      <c r="AI47" s="125">
        <f>AI5-AH46</f>
        <v>18899.20232</v>
      </c>
      <c r="AJ47" s="125">
        <f>AI17-AJ46</f>
        <v>0</v>
      </c>
      <c r="AK47" s="125">
        <f>AI17-AK46</f>
        <v>-4150.76</v>
      </c>
      <c r="AL47" s="125"/>
      <c r="AM47" s="125">
        <f>AM5-AL46</f>
        <v>23881.172320000001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27853.76463999999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30691.284639999991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237368.22000000006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50" t="s">
        <v>147</v>
      </c>
      <c r="D52" s="351"/>
      <c r="E52" s="351"/>
      <c r="F52" s="352"/>
      <c r="G52" s="350" t="s">
        <v>147</v>
      </c>
      <c r="H52" s="351"/>
      <c r="I52" s="351"/>
      <c r="J52" s="352"/>
      <c r="K52" s="350" t="s">
        <v>147</v>
      </c>
      <c r="L52" s="351"/>
      <c r="M52" s="351"/>
      <c r="N52" s="352"/>
      <c r="O52" s="350" t="s">
        <v>147</v>
      </c>
      <c r="P52" s="351"/>
      <c r="Q52" s="351"/>
      <c r="R52" s="352"/>
      <c r="S52" s="350" t="s">
        <v>147</v>
      </c>
      <c r="T52" s="351"/>
      <c r="U52" s="351"/>
      <c r="V52" s="352"/>
      <c r="W52" s="350" t="s">
        <v>147</v>
      </c>
      <c r="X52" s="351"/>
      <c r="Y52" s="351"/>
      <c r="Z52" s="352"/>
      <c r="AA52" s="350" t="s">
        <v>147</v>
      </c>
      <c r="AB52" s="351"/>
      <c r="AC52" s="351"/>
      <c r="AD52" s="352"/>
      <c r="AE52" s="350" t="s">
        <v>147</v>
      </c>
      <c r="AF52" s="351"/>
      <c r="AG52" s="351"/>
      <c r="AH52" s="352"/>
      <c r="AI52" s="350" t="s">
        <v>147</v>
      </c>
      <c r="AJ52" s="351"/>
      <c r="AK52" s="351"/>
      <c r="AL52" s="352"/>
      <c r="AM52" s="350" t="s">
        <v>147</v>
      </c>
      <c r="AN52" s="351"/>
      <c r="AO52" s="351"/>
      <c r="AP52" s="352"/>
      <c r="AQ52" s="350" t="s">
        <v>147</v>
      </c>
      <c r="AR52" s="351"/>
      <c r="AS52" s="351"/>
      <c r="AT52" s="352"/>
      <c r="AU52" s="350" t="s">
        <v>147</v>
      </c>
      <c r="AV52" s="351"/>
      <c r="AW52" s="351"/>
      <c r="AX52" s="352"/>
    </row>
    <row r="53" spans="2:62" ht="15.75" thickBot="1">
      <c r="C53" s="93" t="s">
        <v>148</v>
      </c>
      <c r="D53" s="353" t="s">
        <v>29</v>
      </c>
      <c r="E53" s="354"/>
      <c r="F53" s="94" t="s">
        <v>86</v>
      </c>
      <c r="G53" s="93" t="s">
        <v>148</v>
      </c>
      <c r="H53" s="353" t="s">
        <v>29</v>
      </c>
      <c r="I53" s="354"/>
      <c r="J53" s="94" t="s">
        <v>86</v>
      </c>
      <c r="K53" s="93" t="s">
        <v>148</v>
      </c>
      <c r="L53" s="353" t="s">
        <v>29</v>
      </c>
      <c r="M53" s="354"/>
      <c r="N53" s="94" t="s">
        <v>86</v>
      </c>
      <c r="O53" s="93" t="s">
        <v>148</v>
      </c>
      <c r="P53" s="353" t="s">
        <v>29</v>
      </c>
      <c r="Q53" s="354"/>
      <c r="R53" s="94" t="s">
        <v>86</v>
      </c>
      <c r="S53" s="93" t="s">
        <v>148</v>
      </c>
      <c r="T53" s="353" t="s">
        <v>29</v>
      </c>
      <c r="U53" s="354"/>
      <c r="V53" s="94" t="s">
        <v>86</v>
      </c>
      <c r="W53" s="93" t="s">
        <v>148</v>
      </c>
      <c r="X53" s="353" t="s">
        <v>29</v>
      </c>
      <c r="Y53" s="354"/>
      <c r="Z53" s="94" t="s">
        <v>86</v>
      </c>
      <c r="AA53" s="93" t="s">
        <v>148</v>
      </c>
      <c r="AB53" s="353" t="s">
        <v>29</v>
      </c>
      <c r="AC53" s="354"/>
      <c r="AD53" s="94" t="s">
        <v>86</v>
      </c>
      <c r="AE53" s="93" t="s">
        <v>148</v>
      </c>
      <c r="AF53" s="353" t="s">
        <v>29</v>
      </c>
      <c r="AG53" s="354"/>
      <c r="AH53" s="94" t="s">
        <v>86</v>
      </c>
      <c r="AI53" s="93" t="s">
        <v>148</v>
      </c>
      <c r="AJ53" s="353" t="s">
        <v>29</v>
      </c>
      <c r="AK53" s="354"/>
      <c r="AL53" s="94" t="s">
        <v>86</v>
      </c>
      <c r="AM53" s="93" t="s">
        <v>148</v>
      </c>
      <c r="AN53" s="353" t="s">
        <v>29</v>
      </c>
      <c r="AO53" s="354"/>
      <c r="AP53" s="94" t="s">
        <v>86</v>
      </c>
      <c r="AQ53" s="93" t="s">
        <v>148</v>
      </c>
      <c r="AR53" s="353" t="s">
        <v>29</v>
      </c>
      <c r="AS53" s="354"/>
      <c r="AT53" s="94" t="s">
        <v>86</v>
      </c>
      <c r="AU53" s="93" t="s">
        <v>148</v>
      </c>
      <c r="AV53" s="353" t="s">
        <v>29</v>
      </c>
      <c r="AW53" s="354"/>
      <c r="AX53" s="94" t="s">
        <v>86</v>
      </c>
    </row>
    <row r="54" spans="2:62">
      <c r="C54" s="95">
        <v>43832</v>
      </c>
      <c r="D54" s="355" t="s">
        <v>784</v>
      </c>
      <c r="E54" s="356"/>
      <c r="F54" s="98"/>
      <c r="G54" s="95">
        <v>43862</v>
      </c>
      <c r="H54" s="355" t="s">
        <v>814</v>
      </c>
      <c r="I54" s="356"/>
      <c r="J54" s="343">
        <v>1200</v>
      </c>
      <c r="K54" s="95"/>
      <c r="L54" s="371" t="s">
        <v>874</v>
      </c>
      <c r="M54" s="372"/>
      <c r="N54" s="100"/>
      <c r="O54" s="95"/>
      <c r="P54" s="373"/>
      <c r="Q54" s="374"/>
      <c r="R54" s="102"/>
      <c r="S54" s="95"/>
      <c r="T54" s="371"/>
      <c r="U54" s="372"/>
      <c r="V54" s="103"/>
      <c r="W54" s="95"/>
      <c r="X54" s="371"/>
      <c r="Y54" s="372"/>
      <c r="Z54" s="104"/>
      <c r="AA54" s="95"/>
      <c r="AB54" s="361"/>
      <c r="AC54" s="362"/>
      <c r="AD54" s="239"/>
      <c r="AE54" s="95"/>
      <c r="AF54" s="361"/>
      <c r="AG54" s="362"/>
      <c r="AH54" s="239"/>
      <c r="AI54" s="95"/>
      <c r="AJ54" s="361"/>
      <c r="AK54" s="362"/>
      <c r="AL54" s="239"/>
      <c r="AM54" s="95"/>
      <c r="AN54" s="361"/>
      <c r="AO54" s="362"/>
      <c r="AP54" s="239"/>
      <c r="AQ54" s="95"/>
      <c r="AR54" s="361"/>
      <c r="AS54" s="362"/>
      <c r="AT54" s="239"/>
      <c r="AU54" s="95"/>
      <c r="AV54" s="355"/>
      <c r="AW54" s="356"/>
      <c r="AX54" s="100"/>
    </row>
    <row r="55" spans="2:62">
      <c r="C55" s="96"/>
      <c r="D55" s="346"/>
      <c r="E55" s="347"/>
      <c r="F55" s="98"/>
      <c r="G55" s="96">
        <v>43862</v>
      </c>
      <c r="H55" s="346" t="s">
        <v>815</v>
      </c>
      <c r="I55" s="347"/>
      <c r="J55" s="100"/>
      <c r="K55" s="96"/>
      <c r="L55" s="346"/>
      <c r="M55" s="347"/>
      <c r="N55" s="100"/>
      <c r="O55" s="96"/>
      <c r="P55" s="346"/>
      <c r="Q55" s="347"/>
      <c r="R55" s="100"/>
      <c r="S55" s="96"/>
      <c r="T55" s="346"/>
      <c r="U55" s="347"/>
      <c r="V55" s="100"/>
      <c r="W55" s="96"/>
      <c r="X55" s="346"/>
      <c r="Y55" s="347"/>
      <c r="Z55" s="100"/>
      <c r="AA55" s="96"/>
      <c r="AB55" s="346"/>
      <c r="AC55" s="347"/>
      <c r="AD55" s="100"/>
      <c r="AE55" s="96"/>
      <c r="AF55" s="346"/>
      <c r="AG55" s="347"/>
      <c r="AH55" s="100"/>
      <c r="AI55" s="96"/>
      <c r="AJ55" s="346"/>
      <c r="AK55" s="347"/>
      <c r="AL55" s="100"/>
      <c r="AM55" s="96"/>
      <c r="AN55" s="363"/>
      <c r="AO55" s="364"/>
      <c r="AP55" s="100"/>
      <c r="AQ55" s="96"/>
      <c r="AR55" s="346"/>
      <c r="AS55" s="347"/>
      <c r="AT55" s="100"/>
      <c r="AU55" s="96"/>
      <c r="AV55" s="346"/>
      <c r="AW55" s="347"/>
      <c r="AX55" s="100"/>
    </row>
    <row r="56" spans="2:62">
      <c r="B56" s="119"/>
      <c r="C56" s="96">
        <v>43860</v>
      </c>
      <c r="D56" s="346" t="s">
        <v>151</v>
      </c>
      <c r="E56" s="347"/>
      <c r="F56" s="98"/>
      <c r="G56" s="96">
        <v>43876</v>
      </c>
      <c r="H56" s="346" t="s">
        <v>784</v>
      </c>
      <c r="I56" s="347"/>
      <c r="J56" s="100"/>
      <c r="K56" s="96"/>
      <c r="L56" s="346"/>
      <c r="M56" s="347"/>
      <c r="N56" s="100"/>
      <c r="O56" s="96"/>
      <c r="P56" s="361"/>
      <c r="Q56" s="362"/>
      <c r="R56" s="102"/>
      <c r="S56" s="96"/>
      <c r="T56" s="346"/>
      <c r="U56" s="347"/>
      <c r="V56" s="100"/>
      <c r="W56" s="96"/>
      <c r="X56" s="346"/>
      <c r="Y56" s="347"/>
      <c r="Z56" s="100"/>
      <c r="AA56" s="96"/>
      <c r="AB56" s="346"/>
      <c r="AC56" s="347"/>
      <c r="AD56" s="100"/>
      <c r="AE56" s="96"/>
      <c r="AF56" s="346"/>
      <c r="AG56" s="347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46"/>
      <c r="AS56" s="347"/>
      <c r="AT56" s="100"/>
      <c r="AU56" s="96"/>
      <c r="AV56" s="346"/>
      <c r="AW56" s="347"/>
      <c r="AX56" s="100"/>
    </row>
    <row r="57" spans="2:62">
      <c r="C57" s="96"/>
      <c r="D57" s="346"/>
      <c r="E57" s="347"/>
      <c r="F57" s="98"/>
      <c r="G57" s="96"/>
      <c r="H57" s="346" t="s">
        <v>146</v>
      </c>
      <c r="I57" s="347"/>
      <c r="J57" s="100"/>
      <c r="K57" s="96"/>
      <c r="L57" s="346"/>
      <c r="M57" s="347"/>
      <c r="N57" s="100"/>
      <c r="O57" s="96"/>
      <c r="P57" s="375"/>
      <c r="Q57" s="376"/>
      <c r="R57" s="100"/>
      <c r="S57" s="96"/>
      <c r="T57" s="346"/>
      <c r="U57" s="347"/>
      <c r="V57" s="100"/>
      <c r="W57" s="96"/>
      <c r="X57" s="346"/>
      <c r="Y57" s="347"/>
      <c r="Z57" s="100"/>
      <c r="AA57" s="96"/>
      <c r="AB57" s="369"/>
      <c r="AC57" s="370"/>
      <c r="AD57" s="100"/>
      <c r="AE57" s="96"/>
      <c r="AF57" s="346"/>
      <c r="AG57" s="347"/>
      <c r="AH57" s="100"/>
      <c r="AI57" s="96"/>
      <c r="AJ57" s="363"/>
      <c r="AK57" s="364"/>
      <c r="AL57" s="100"/>
      <c r="AM57" s="96"/>
      <c r="AN57" s="363"/>
      <c r="AO57" s="364"/>
      <c r="AP57" s="100"/>
      <c r="AQ57" s="96"/>
      <c r="AR57" s="346"/>
      <c r="AS57" s="347"/>
      <c r="AT57" s="100"/>
      <c r="AU57" s="96"/>
      <c r="AV57" s="346"/>
      <c r="AW57" s="347"/>
      <c r="AX57" s="100"/>
    </row>
    <row r="58" spans="2:62">
      <c r="C58" s="96"/>
      <c r="D58" s="346"/>
      <c r="E58" s="347"/>
      <c r="F58" s="98"/>
      <c r="G58" s="96">
        <v>43881</v>
      </c>
      <c r="H58" s="346" t="s">
        <v>149</v>
      </c>
      <c r="I58" s="347"/>
      <c r="J58" s="100" t="s">
        <v>855</v>
      </c>
      <c r="K58" s="96"/>
      <c r="L58" s="346"/>
      <c r="M58" s="347"/>
      <c r="N58" s="100"/>
      <c r="O58" s="96"/>
      <c r="P58" s="346"/>
      <c r="Q58" s="347"/>
      <c r="R58" s="100"/>
      <c r="S58" s="96"/>
      <c r="T58" s="346"/>
      <c r="U58" s="347"/>
      <c r="V58" s="100"/>
      <c r="W58" s="96"/>
      <c r="X58" s="346"/>
      <c r="Y58" s="347"/>
      <c r="Z58" s="100"/>
      <c r="AA58" s="96"/>
      <c r="AB58" s="369"/>
      <c r="AC58" s="370"/>
      <c r="AD58" s="100"/>
      <c r="AE58" s="96"/>
      <c r="AF58" s="346"/>
      <c r="AG58" s="347"/>
      <c r="AH58" s="100"/>
      <c r="AI58" s="96"/>
      <c r="AJ58" s="357"/>
      <c r="AK58" s="358"/>
      <c r="AL58" s="100"/>
      <c r="AM58" s="96"/>
      <c r="AN58" s="363"/>
      <c r="AO58" s="364"/>
      <c r="AP58" s="100"/>
      <c r="AQ58" s="96"/>
      <c r="AR58" s="346"/>
      <c r="AS58" s="347"/>
      <c r="AT58" s="100"/>
      <c r="AU58" s="96"/>
      <c r="AV58" s="346"/>
      <c r="AW58" s="347"/>
      <c r="AX58" s="100"/>
    </row>
    <row r="59" spans="2:62">
      <c r="C59" s="96"/>
      <c r="D59" s="346"/>
      <c r="E59" s="347"/>
      <c r="F59" s="98"/>
      <c r="G59" s="96">
        <v>44193</v>
      </c>
      <c r="H59" s="346" t="s">
        <v>854</v>
      </c>
      <c r="I59" s="347"/>
      <c r="J59" s="100" t="s">
        <v>855</v>
      </c>
      <c r="K59" s="96"/>
      <c r="L59" s="346"/>
      <c r="M59" s="347"/>
      <c r="N59" s="100"/>
      <c r="O59" s="96"/>
      <c r="P59" s="346"/>
      <c r="Q59" s="347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6"/>
      <c r="AG59" s="347"/>
      <c r="AH59" s="100"/>
      <c r="AI59" s="96"/>
      <c r="AJ59" s="357"/>
      <c r="AK59" s="358"/>
      <c r="AL59" s="100"/>
      <c r="AM59" s="96"/>
      <c r="AN59" s="365"/>
      <c r="AO59" s="366"/>
      <c r="AP59" s="100"/>
      <c r="AQ59" s="96"/>
      <c r="AR59" s="346"/>
      <c r="AS59" s="347"/>
      <c r="AT59" s="100"/>
      <c r="AU59" s="96"/>
      <c r="AV59" s="346"/>
      <c r="AW59" s="347"/>
      <c r="AX59" s="100"/>
    </row>
    <row r="60" spans="2:62">
      <c r="C60" s="96"/>
      <c r="D60" s="346"/>
      <c r="E60" s="347"/>
      <c r="F60" s="98"/>
      <c r="G60" s="96"/>
      <c r="H60" s="346"/>
      <c r="I60" s="347"/>
      <c r="J60" s="100"/>
      <c r="K60" s="235"/>
      <c r="L60" s="375"/>
      <c r="M60" s="376"/>
      <c r="N60" s="236"/>
      <c r="O60" s="96"/>
      <c r="P60" s="346"/>
      <c r="Q60" s="347"/>
      <c r="R60" s="100"/>
      <c r="S60" s="96"/>
      <c r="T60" s="363"/>
      <c r="U60" s="364"/>
      <c r="V60" s="100"/>
      <c r="W60" s="96"/>
      <c r="X60" s="357"/>
      <c r="Y60" s="358"/>
      <c r="Z60" s="100"/>
      <c r="AA60" s="96"/>
      <c r="AB60" s="357"/>
      <c r="AC60" s="358"/>
      <c r="AD60" s="100"/>
      <c r="AE60" s="96"/>
      <c r="AF60" s="363"/>
      <c r="AG60" s="364"/>
      <c r="AH60" s="100"/>
      <c r="AI60" s="96"/>
      <c r="AJ60" s="357"/>
      <c r="AK60" s="358"/>
      <c r="AL60" s="100"/>
      <c r="AM60" s="96"/>
      <c r="AN60" s="357"/>
      <c r="AO60" s="358"/>
      <c r="AP60" s="100"/>
      <c r="AQ60" s="96"/>
      <c r="AR60" s="346"/>
      <c r="AS60" s="347"/>
      <c r="AT60" s="100"/>
      <c r="AU60" s="96"/>
      <c r="AV60" s="346"/>
      <c r="AW60" s="347"/>
      <c r="AX60" s="100"/>
    </row>
    <row r="61" spans="2:62">
      <c r="C61" s="96"/>
      <c r="D61" s="346"/>
      <c r="E61" s="347"/>
      <c r="F61" s="98"/>
      <c r="G61" s="96"/>
      <c r="H61" s="346"/>
      <c r="I61" s="347"/>
      <c r="J61" s="100"/>
      <c r="K61" s="96"/>
      <c r="L61" s="377"/>
      <c r="M61" s="347"/>
      <c r="N61" s="100"/>
      <c r="O61" s="96"/>
      <c r="P61" s="346"/>
      <c r="Q61" s="347"/>
      <c r="R61" s="100"/>
      <c r="S61" s="96"/>
      <c r="T61" s="363"/>
      <c r="U61" s="364"/>
      <c r="V61" s="100"/>
      <c r="W61" s="96"/>
      <c r="X61" s="357"/>
      <c r="Y61" s="358"/>
      <c r="Z61" s="100"/>
      <c r="AA61" s="96"/>
      <c r="AB61" s="357"/>
      <c r="AC61" s="358"/>
      <c r="AD61" s="100"/>
      <c r="AE61" s="96"/>
      <c r="AF61" s="357"/>
      <c r="AG61" s="358"/>
      <c r="AH61" s="100"/>
      <c r="AI61" s="96"/>
      <c r="AJ61" s="357"/>
      <c r="AK61" s="358"/>
      <c r="AL61" s="100"/>
      <c r="AM61" s="96"/>
      <c r="AN61" s="357"/>
      <c r="AO61" s="358"/>
      <c r="AP61" s="100"/>
      <c r="AQ61" s="96"/>
      <c r="AR61" s="346"/>
      <c r="AS61" s="347"/>
      <c r="AT61" s="100"/>
      <c r="AU61" s="96"/>
      <c r="AV61" s="346"/>
      <c r="AW61" s="347"/>
      <c r="AX61" s="100"/>
    </row>
    <row r="62" spans="2:62">
      <c r="C62" s="96"/>
      <c r="D62" s="346"/>
      <c r="E62" s="347"/>
      <c r="F62" s="98"/>
      <c r="G62" s="96"/>
      <c r="H62" s="346"/>
      <c r="I62" s="347"/>
      <c r="J62" s="100"/>
      <c r="K62" s="96"/>
      <c r="L62" s="346"/>
      <c r="M62" s="347"/>
      <c r="N62" s="100"/>
      <c r="O62" s="96"/>
      <c r="P62" s="346"/>
      <c r="Q62" s="347"/>
      <c r="R62" s="100"/>
      <c r="S62" s="96"/>
      <c r="T62" s="363"/>
      <c r="U62" s="364"/>
      <c r="V62" s="100"/>
      <c r="W62" s="96"/>
      <c r="X62" s="357"/>
      <c r="Y62" s="358"/>
      <c r="Z62" s="100"/>
      <c r="AA62" s="96"/>
      <c r="AB62" s="357"/>
      <c r="AC62" s="358"/>
      <c r="AD62" s="100"/>
      <c r="AE62" s="96"/>
      <c r="AF62" s="357"/>
      <c r="AG62" s="358"/>
      <c r="AH62" s="100"/>
      <c r="AI62" s="96"/>
      <c r="AJ62" s="357"/>
      <c r="AK62" s="358"/>
      <c r="AL62" s="100"/>
      <c r="AM62" s="96"/>
      <c r="AN62" s="357"/>
      <c r="AO62" s="358"/>
      <c r="AP62" s="100"/>
      <c r="AQ62" s="96"/>
      <c r="AR62" s="346"/>
      <c r="AS62" s="347"/>
      <c r="AT62" s="100"/>
      <c r="AU62" s="96"/>
      <c r="AV62" s="346"/>
      <c r="AW62" s="347"/>
      <c r="AX62" s="100"/>
    </row>
    <row r="63" spans="2:62">
      <c r="C63" s="96"/>
      <c r="D63" s="346"/>
      <c r="E63" s="347"/>
      <c r="F63" s="98"/>
      <c r="G63" s="96"/>
      <c r="H63" s="346"/>
      <c r="I63" s="347"/>
      <c r="J63" s="100"/>
      <c r="K63" s="96"/>
      <c r="L63" s="346"/>
      <c r="M63" s="347"/>
      <c r="N63" s="100"/>
      <c r="O63" s="96"/>
      <c r="P63" s="346"/>
      <c r="Q63" s="347"/>
      <c r="R63" s="100"/>
      <c r="S63" s="96"/>
      <c r="T63" s="363"/>
      <c r="U63" s="364"/>
      <c r="V63" s="100"/>
      <c r="W63" s="96"/>
      <c r="X63" s="357"/>
      <c r="Y63" s="358"/>
      <c r="Z63" s="100"/>
      <c r="AA63" s="96"/>
      <c r="AB63" s="357"/>
      <c r="AC63" s="358"/>
      <c r="AD63" s="100"/>
      <c r="AE63" s="96"/>
      <c r="AF63" s="357"/>
      <c r="AG63" s="358"/>
      <c r="AH63" s="100"/>
      <c r="AI63" s="96"/>
      <c r="AJ63" s="357"/>
      <c r="AK63" s="358"/>
      <c r="AL63" s="100"/>
      <c r="AM63" s="96"/>
      <c r="AN63" s="357"/>
      <c r="AO63" s="358"/>
      <c r="AP63" s="100"/>
      <c r="AQ63" s="96"/>
      <c r="AR63" s="346"/>
      <c r="AS63" s="347"/>
      <c r="AT63" s="100"/>
      <c r="AU63" s="96"/>
      <c r="AV63" s="346"/>
      <c r="AW63" s="347"/>
      <c r="AX63" s="100"/>
    </row>
    <row r="64" spans="2:62">
      <c r="C64" s="96"/>
      <c r="D64" s="346"/>
      <c r="E64" s="347"/>
      <c r="F64" s="98"/>
      <c r="G64" s="96"/>
      <c r="H64" s="346"/>
      <c r="I64" s="347"/>
      <c r="J64" s="100"/>
      <c r="K64" s="96"/>
      <c r="L64" s="346"/>
      <c r="M64" s="347"/>
      <c r="N64" s="100"/>
      <c r="O64" s="96"/>
      <c r="P64" s="346"/>
      <c r="Q64" s="347"/>
      <c r="R64" s="100"/>
      <c r="S64" s="96"/>
      <c r="T64" s="363"/>
      <c r="U64" s="364"/>
      <c r="V64" s="100"/>
      <c r="W64" s="96"/>
      <c r="X64" s="357"/>
      <c r="Y64" s="358"/>
      <c r="Z64" s="100"/>
      <c r="AA64" s="96"/>
      <c r="AB64" s="357"/>
      <c r="AC64" s="358"/>
      <c r="AD64" s="100"/>
      <c r="AE64" s="96"/>
      <c r="AF64" s="357"/>
      <c r="AG64" s="358"/>
      <c r="AH64" s="100"/>
      <c r="AI64" s="96"/>
      <c r="AJ64" s="357"/>
      <c r="AK64" s="358"/>
      <c r="AL64" s="100"/>
      <c r="AM64" s="96"/>
      <c r="AN64" s="357"/>
      <c r="AO64" s="358"/>
      <c r="AP64" s="100"/>
      <c r="AQ64" s="96"/>
      <c r="AR64" s="346"/>
      <c r="AS64" s="347"/>
      <c r="AT64" s="100"/>
      <c r="AU64" s="96"/>
      <c r="AV64" s="346"/>
      <c r="AW64" s="347"/>
      <c r="AX64" s="100"/>
    </row>
    <row r="65" spans="1:50">
      <c r="C65" s="96"/>
      <c r="D65" s="346"/>
      <c r="E65" s="347"/>
      <c r="F65" s="98"/>
      <c r="G65" s="96"/>
      <c r="H65" s="346"/>
      <c r="I65" s="347"/>
      <c r="J65" s="100"/>
      <c r="K65" s="96"/>
      <c r="L65" s="346"/>
      <c r="M65" s="347"/>
      <c r="N65" s="100"/>
      <c r="O65" s="96"/>
      <c r="P65" s="346"/>
      <c r="Q65" s="347"/>
      <c r="R65" s="100"/>
      <c r="S65" s="96"/>
      <c r="T65" s="363"/>
      <c r="U65" s="364"/>
      <c r="V65" s="100"/>
      <c r="W65" s="96"/>
      <c r="X65" s="357"/>
      <c r="Y65" s="358"/>
      <c r="Z65" s="100"/>
      <c r="AA65" s="96"/>
      <c r="AB65" s="357"/>
      <c r="AC65" s="358"/>
      <c r="AD65" s="100"/>
      <c r="AE65" s="96"/>
      <c r="AF65" s="357"/>
      <c r="AG65" s="358"/>
      <c r="AH65" s="100"/>
      <c r="AI65" s="96"/>
      <c r="AJ65" s="357"/>
      <c r="AK65" s="358"/>
      <c r="AL65" s="100"/>
      <c r="AM65" s="96"/>
      <c r="AN65" s="357"/>
      <c r="AO65" s="358"/>
      <c r="AP65" s="100"/>
      <c r="AQ65" s="96"/>
      <c r="AR65" s="346"/>
      <c r="AS65" s="347"/>
      <c r="AT65" s="100"/>
      <c r="AU65" s="96"/>
      <c r="AV65" s="346"/>
      <c r="AW65" s="347"/>
      <c r="AX65" s="100"/>
    </row>
    <row r="66" spans="1:50">
      <c r="C66" s="96"/>
      <c r="D66" s="346"/>
      <c r="E66" s="347"/>
      <c r="F66" s="98"/>
      <c r="G66" s="96"/>
      <c r="H66" s="346"/>
      <c r="I66" s="347"/>
      <c r="J66" s="100"/>
      <c r="K66" s="96"/>
      <c r="L66" s="346"/>
      <c r="M66" s="347"/>
      <c r="N66" s="100"/>
      <c r="O66" s="96"/>
      <c r="P66" s="346"/>
      <c r="Q66" s="347"/>
      <c r="R66" s="100"/>
      <c r="S66" s="96"/>
      <c r="T66" s="357"/>
      <c r="U66" s="358"/>
      <c r="V66" s="100"/>
      <c r="W66" s="96"/>
      <c r="X66" s="357"/>
      <c r="Y66" s="358"/>
      <c r="Z66" s="100"/>
      <c r="AA66" s="96"/>
      <c r="AB66" s="357"/>
      <c r="AC66" s="358"/>
      <c r="AD66" s="100"/>
      <c r="AE66" s="96"/>
      <c r="AF66" s="357"/>
      <c r="AG66" s="358"/>
      <c r="AH66" s="100"/>
      <c r="AI66" s="96"/>
      <c r="AJ66" s="357"/>
      <c r="AK66" s="358"/>
      <c r="AL66" s="100"/>
      <c r="AM66" s="96"/>
      <c r="AN66" s="357"/>
      <c r="AO66" s="358"/>
      <c r="AP66" s="100"/>
      <c r="AQ66" s="96"/>
      <c r="AR66" s="346"/>
      <c r="AS66" s="347"/>
      <c r="AT66" s="100"/>
      <c r="AU66" s="96"/>
      <c r="AV66" s="346"/>
      <c r="AW66" s="347"/>
      <c r="AX66" s="100"/>
    </row>
    <row r="67" spans="1:50">
      <c r="C67" s="96"/>
      <c r="D67" s="346"/>
      <c r="E67" s="347"/>
      <c r="F67" s="98"/>
      <c r="G67" s="96"/>
      <c r="H67" s="346"/>
      <c r="I67" s="347"/>
      <c r="J67" s="100"/>
      <c r="K67" s="96"/>
      <c r="L67" s="346"/>
      <c r="M67" s="347"/>
      <c r="N67" s="100"/>
      <c r="O67" s="96"/>
      <c r="P67" s="346"/>
      <c r="Q67" s="347"/>
      <c r="R67" s="100"/>
      <c r="S67" s="96"/>
      <c r="T67" s="357"/>
      <c r="U67" s="358"/>
      <c r="V67" s="100"/>
      <c r="W67" s="96"/>
      <c r="X67" s="357"/>
      <c r="Y67" s="358"/>
      <c r="Z67" s="100"/>
      <c r="AA67" s="96"/>
      <c r="AB67" s="357"/>
      <c r="AC67" s="358"/>
      <c r="AD67" s="100"/>
      <c r="AE67" s="96"/>
      <c r="AF67" s="357"/>
      <c r="AG67" s="358"/>
      <c r="AH67" s="100"/>
      <c r="AI67" s="96"/>
      <c r="AJ67" s="357"/>
      <c r="AK67" s="358"/>
      <c r="AL67" s="100"/>
      <c r="AM67" s="96"/>
      <c r="AN67" s="357"/>
      <c r="AO67" s="358"/>
      <c r="AP67" s="100"/>
      <c r="AQ67" s="96"/>
      <c r="AR67" s="346"/>
      <c r="AS67" s="347"/>
      <c r="AT67" s="100"/>
      <c r="AU67" s="96"/>
      <c r="AV67" s="346"/>
      <c r="AW67" s="347"/>
      <c r="AX67" s="100"/>
    </row>
    <row r="68" spans="1:50">
      <c r="C68" s="96"/>
      <c r="D68" s="346"/>
      <c r="E68" s="347"/>
      <c r="F68" s="98"/>
      <c r="G68" s="96"/>
      <c r="H68" s="346"/>
      <c r="I68" s="347"/>
      <c r="J68" s="100"/>
      <c r="K68" s="96"/>
      <c r="L68" s="346"/>
      <c r="M68" s="347"/>
      <c r="N68" s="100"/>
      <c r="O68" s="96"/>
      <c r="P68" s="346"/>
      <c r="Q68" s="347"/>
      <c r="R68" s="100"/>
      <c r="S68" s="96"/>
      <c r="T68" s="357"/>
      <c r="U68" s="358"/>
      <c r="V68" s="100"/>
      <c r="W68" s="96"/>
      <c r="X68" s="357"/>
      <c r="Y68" s="358"/>
      <c r="Z68" s="100"/>
      <c r="AA68" s="96"/>
      <c r="AB68" s="357"/>
      <c r="AC68" s="358"/>
      <c r="AD68" s="100"/>
      <c r="AE68" s="96"/>
      <c r="AF68" s="357"/>
      <c r="AG68" s="358"/>
      <c r="AH68" s="100"/>
      <c r="AI68" s="96"/>
      <c r="AJ68" s="357"/>
      <c r="AK68" s="358"/>
      <c r="AL68" s="100"/>
      <c r="AM68" s="96"/>
      <c r="AN68" s="357"/>
      <c r="AO68" s="358"/>
      <c r="AP68" s="100"/>
      <c r="AQ68" s="96"/>
      <c r="AR68" s="346"/>
      <c r="AS68" s="347"/>
      <c r="AT68" s="100"/>
      <c r="AU68" s="96"/>
      <c r="AV68" s="346"/>
      <c r="AW68" s="347"/>
      <c r="AX68" s="100"/>
    </row>
    <row r="69" spans="1:50">
      <c r="C69" s="96"/>
      <c r="D69" s="346"/>
      <c r="E69" s="347"/>
      <c r="F69" s="98"/>
      <c r="G69" s="96"/>
      <c r="H69" s="346"/>
      <c r="I69" s="347"/>
      <c r="J69" s="100"/>
      <c r="K69" s="96"/>
      <c r="L69" s="346"/>
      <c r="M69" s="347"/>
      <c r="N69" s="100"/>
      <c r="O69" s="96"/>
      <c r="P69" s="346"/>
      <c r="Q69" s="347"/>
      <c r="R69" s="100"/>
      <c r="S69" s="96"/>
      <c r="T69" s="357"/>
      <c r="U69" s="358"/>
      <c r="V69" s="100"/>
      <c r="W69" s="96"/>
      <c r="X69" s="357"/>
      <c r="Y69" s="358"/>
      <c r="Z69" s="100"/>
      <c r="AA69" s="96"/>
      <c r="AB69" s="357"/>
      <c r="AC69" s="358"/>
      <c r="AD69" s="100"/>
      <c r="AE69" s="96"/>
      <c r="AF69" s="357"/>
      <c r="AG69" s="358"/>
      <c r="AH69" s="100"/>
      <c r="AI69" s="96"/>
      <c r="AJ69" s="357"/>
      <c r="AK69" s="358"/>
      <c r="AL69" s="100"/>
      <c r="AM69" s="96"/>
      <c r="AN69" s="357"/>
      <c r="AO69" s="358"/>
      <c r="AP69" s="100"/>
      <c r="AQ69" s="96"/>
      <c r="AR69" s="346"/>
      <c r="AS69" s="347"/>
      <c r="AT69" s="100"/>
      <c r="AU69" s="96"/>
      <c r="AV69" s="346"/>
      <c r="AW69" s="347"/>
      <c r="AX69" s="100"/>
    </row>
    <row r="70" spans="1:50">
      <c r="C70" s="96"/>
      <c r="D70" s="346"/>
      <c r="E70" s="347"/>
      <c r="F70" s="98"/>
      <c r="G70" s="96"/>
      <c r="H70" s="346"/>
      <c r="I70" s="347"/>
      <c r="J70" s="100"/>
      <c r="K70" s="96"/>
      <c r="L70" s="346"/>
      <c r="M70" s="347"/>
      <c r="N70" s="100"/>
      <c r="O70" s="96"/>
      <c r="P70" s="346"/>
      <c r="Q70" s="347"/>
      <c r="R70" s="100"/>
      <c r="S70" s="96"/>
      <c r="T70" s="346"/>
      <c r="U70" s="347"/>
      <c r="V70" s="100"/>
      <c r="W70" s="96"/>
      <c r="X70" s="346"/>
      <c r="Y70" s="347"/>
      <c r="Z70" s="100"/>
      <c r="AA70" s="96"/>
      <c r="AB70" s="357"/>
      <c r="AC70" s="358"/>
      <c r="AD70" s="100"/>
      <c r="AE70" s="96"/>
      <c r="AF70" s="357"/>
      <c r="AG70" s="358"/>
      <c r="AH70" s="100"/>
      <c r="AI70" s="96"/>
      <c r="AJ70" s="357"/>
      <c r="AK70" s="358"/>
      <c r="AL70" s="100"/>
      <c r="AM70" s="96"/>
      <c r="AN70" s="357"/>
      <c r="AO70" s="358"/>
      <c r="AP70" s="100"/>
      <c r="AQ70" s="96"/>
      <c r="AR70" s="346"/>
      <c r="AS70" s="347"/>
      <c r="AT70" s="100"/>
      <c r="AU70" s="96"/>
      <c r="AV70" s="346"/>
      <c r="AW70" s="347"/>
      <c r="AX70" s="100"/>
    </row>
    <row r="71" spans="1:50" ht="15.75" thickBot="1">
      <c r="C71" s="97"/>
      <c r="D71" s="348"/>
      <c r="E71" s="349"/>
      <c r="F71" s="99"/>
      <c r="G71" s="97"/>
      <c r="H71" s="348"/>
      <c r="I71" s="349"/>
      <c r="J71" s="101"/>
      <c r="K71" s="97"/>
      <c r="L71" s="348"/>
      <c r="M71" s="349"/>
      <c r="N71" s="101"/>
      <c r="O71" s="97"/>
      <c r="P71" s="348"/>
      <c r="Q71" s="349"/>
      <c r="R71" s="101"/>
      <c r="S71" s="97"/>
      <c r="T71" s="367"/>
      <c r="U71" s="368"/>
      <c r="V71" s="101"/>
      <c r="W71" s="97"/>
      <c r="X71" s="367"/>
      <c r="Y71" s="368"/>
      <c r="Z71" s="101"/>
      <c r="AA71" s="97"/>
      <c r="AB71" s="359"/>
      <c r="AC71" s="360"/>
      <c r="AD71" s="101"/>
      <c r="AE71" s="97"/>
      <c r="AF71" s="359"/>
      <c r="AG71" s="360"/>
      <c r="AH71" s="101"/>
      <c r="AI71" s="97"/>
      <c r="AJ71" s="359"/>
      <c r="AK71" s="360"/>
      <c r="AL71" s="101"/>
      <c r="AM71" s="97"/>
      <c r="AN71" s="359"/>
      <c r="AO71" s="360"/>
      <c r="AP71" s="101"/>
      <c r="AQ71" s="97"/>
      <c r="AR71" s="348"/>
      <c r="AS71" s="349"/>
      <c r="AT71" s="101"/>
      <c r="AU71" s="97"/>
      <c r="AV71" s="348"/>
      <c r="AW71" s="349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3839.35</v>
      </c>
      <c r="L5" s="427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620.12</v>
      </c>
      <c r="L6" s="429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7236.18</v>
      </c>
      <c r="L7" s="429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6305.62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8">
        <v>163.63</v>
      </c>
      <c r="L9" s="429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105+50</f>
        <v>155</v>
      </c>
      <c r="L11" s="429"/>
      <c r="M11" s="1"/>
      <c r="N11" s="1"/>
      <c r="R11" s="3"/>
    </row>
    <row r="12" spans="1:22" ht="15.75">
      <c r="A12" s="112">
        <f>'08'!A12+(B12-SUM(D12:F12))</f>
        <v>155.6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'08'!A13+(B13-SUM(D13:F13))</f>
        <v>589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29258.260000000002</v>
      </c>
      <c r="L19" s="444"/>
      <c r="M19" s="1"/>
      <c r="N19" s="1"/>
      <c r="R19" s="3"/>
    </row>
    <row r="20" spans="1:18" ht="16.5" thickBot="1">
      <c r="A20" s="112">
        <f>SUM(A6:A15)</f>
        <v>2075.0700000000002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'08'!A29+(B29-SUM(D29:F29))</f>
        <v>20.500000000000007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226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/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 t="s">
        <v>599</v>
      </c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1592.6599999999999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589</v>
      </c>
      <c r="K45" s="410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595</v>
      </c>
      <c r="H46" s="1"/>
      <c r="I46" s="407"/>
      <c r="J46" s="411" t="s">
        <v>631</v>
      </c>
      <c r="K46" s="412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600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 t="s">
        <v>586</v>
      </c>
      <c r="D48" s="137">
        <v>67.47</v>
      </c>
      <c r="E48" s="138"/>
      <c r="F48" s="138"/>
      <c r="G48" s="16" t="s">
        <v>604</v>
      </c>
      <c r="H48" s="1">
        <f>21*8</f>
        <v>168</v>
      </c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605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606</v>
      </c>
      <c r="H50" s="1"/>
      <c r="I50" s="406" t="str">
        <f>AÑO!A13</f>
        <v>Gubernamental</v>
      </c>
      <c r="J50" s="409" t="s">
        <v>597</v>
      </c>
      <c r="K50" s="410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614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615</v>
      </c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623</v>
      </c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/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598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583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584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593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607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630</v>
      </c>
      <c r="D79" s="135">
        <v>122.95</v>
      </c>
      <c r="E79" s="139"/>
      <c r="F79" s="139"/>
      <c r="G79" s="17" t="s">
        <v>624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1553.1099999999997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621</v>
      </c>
      <c r="H189" s="89">
        <f>9.99+8.99+6.99+3.99+7.99</f>
        <v>37.950000000000003</v>
      </c>
      <c r="I189" s="1" t="s">
        <v>619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9" ht="15" customHeight="1" thickBot="1">
      <c r="B243" s="421"/>
      <c r="C243" s="422"/>
      <c r="D243" s="422"/>
      <c r="E243" s="422"/>
      <c r="F243" s="422"/>
      <c r="G243" s="423"/>
    </row>
    <row r="244" spans="1:9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27.21999999999997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627</v>
      </c>
      <c r="H248" s="89">
        <f>33.98+1.99</f>
        <v>35.97</v>
      </c>
      <c r="I248" s="89" t="s">
        <v>619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536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814.09999999999991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1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92.049999999999699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152.0499999999997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>
        <v>60</v>
      </c>
      <c r="G306" s="16" t="s">
        <v>602</v>
      </c>
    </row>
    <row r="307" spans="2:7">
      <c r="B307" s="134"/>
      <c r="C307" s="27"/>
      <c r="D307" s="137">
        <v>35.96</v>
      </c>
      <c r="E307" s="138"/>
      <c r="F307" s="138"/>
      <c r="G307" s="16" t="s">
        <v>603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608</v>
      </c>
    </row>
    <row r="309" spans="2:7">
      <c r="B309" s="134"/>
      <c r="C309" s="16"/>
      <c r="D309" s="137"/>
      <c r="E309" s="138"/>
      <c r="F309" s="138">
        <v>60</v>
      </c>
      <c r="G309" s="16" t="s">
        <v>632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9" ht="15" customHeight="1" thickBot="1">
      <c r="B323" s="438"/>
      <c r="C323" s="439"/>
      <c r="D323" s="439"/>
      <c r="E323" s="439"/>
      <c r="F323" s="439"/>
      <c r="G323" s="440"/>
    </row>
    <row r="324" spans="2:9">
      <c r="B324" s="431" t="s">
        <v>8</v>
      </c>
      <c r="C324" s="432"/>
      <c r="D324" s="431" t="s">
        <v>9</v>
      </c>
      <c r="E324" s="433"/>
      <c r="F324" s="433"/>
      <c r="G324" s="432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588</v>
      </c>
    </row>
    <row r="327" spans="2:9">
      <c r="B327" s="134">
        <v>100</v>
      </c>
      <c r="C327" s="16" t="s">
        <v>589</v>
      </c>
      <c r="D327" s="137">
        <v>15</v>
      </c>
      <c r="E327" s="138"/>
      <c r="F327" s="138"/>
      <c r="G327" s="16" t="s">
        <v>616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629</v>
      </c>
      <c r="H328" s="89">
        <f>9.99+34.99+2</f>
        <v>46.980000000000004</v>
      </c>
      <c r="I328" s="89" t="s">
        <v>619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8">
        <v>3984.38</v>
      </c>
      <c r="L5" s="429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620.12</v>
      </c>
      <c r="L6" s="429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8003.5599999999995</v>
      </c>
      <c r="L7" s="429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8">
        <v>6305.62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v>157.43</v>
      </c>
      <c r="L9" s="429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60+20</f>
        <v>80</v>
      </c>
      <c r="L11" s="429"/>
      <c r="M11" s="1"/>
      <c r="N11" s="1"/>
      <c r="R11" s="3"/>
    </row>
    <row r="12" spans="1:22" ht="15.75">
      <c r="A12" s="112">
        <f>'09'!A12+(B12-SUM(D12:F12))</f>
        <v>155.6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'09'!A13+(B13-SUM(D13:F13))</f>
        <v>595.5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30089.47</v>
      </c>
      <c r="L19" s="444"/>
      <c r="M19" s="1"/>
      <c r="N19" s="1"/>
      <c r="R19" s="3"/>
    </row>
    <row r="20" spans="1:18" ht="16.5" thickBot="1">
      <c r="A20" s="112">
        <f>SUM(A6:A15)</f>
        <v>2050.8700000000003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/>
      <c r="K25" s="410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'09'!A29+(B29-SUM(D29:F29))</f>
        <v>20.550000000000008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252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428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 t="s">
        <v>659</v>
      </c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 t="s">
        <v>226</v>
      </c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1532.5299999999997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 t="s">
        <v>246</v>
      </c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 t="s">
        <v>58</v>
      </c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 t="s">
        <v>662</v>
      </c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/>
      <c r="K45" s="410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637</v>
      </c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640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641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648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655</v>
      </c>
      <c r="H50" s="1"/>
      <c r="I50" s="406" t="str">
        <f>AÑO!A13</f>
        <v>Gubernamental</v>
      </c>
      <c r="J50" s="409" t="s">
        <v>597</v>
      </c>
      <c r="K50" s="410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656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657</v>
      </c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658</v>
      </c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660</v>
      </c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668</v>
      </c>
      <c r="H55" s="1"/>
      <c r="I55" s="406" t="str">
        <f>AÑO!A14</f>
        <v>Mutualite/DKV</v>
      </c>
      <c r="J55" s="409" t="s">
        <v>288</v>
      </c>
      <c r="K55" s="410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669</v>
      </c>
      <c r="H56" s="1"/>
      <c r="I56" s="407"/>
      <c r="J56" s="411"/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37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639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649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654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686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681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1936.9715974244975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684</v>
      </c>
      <c r="D130" s="137">
        <v>65</v>
      </c>
      <c r="E130" s="138"/>
      <c r="F130" s="138"/>
      <c r="G130" s="16" t="s">
        <v>685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5.6899999999999693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596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736.9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9" ht="15" customHeight="1" thickBot="1">
      <c r="B263" s="421"/>
      <c r="C263" s="422"/>
      <c r="D263" s="422"/>
      <c r="E263" s="422"/>
      <c r="F263" s="422"/>
      <c r="G263" s="423"/>
    </row>
    <row r="264" spans="1:9">
      <c r="B264" s="431" t="s">
        <v>8</v>
      </c>
      <c r="C264" s="432"/>
      <c r="D264" s="431" t="s">
        <v>9</v>
      </c>
      <c r="E264" s="433"/>
      <c r="F264" s="433"/>
      <c r="G264" s="432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1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96.149999999999693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196.14999999999969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f>37.5+37.5</f>
        <v>75</v>
      </c>
      <c r="E306" s="138"/>
      <c r="F306" s="138"/>
      <c r="G306" s="16" t="s">
        <v>646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651</v>
      </c>
    </row>
    <row r="308" spans="2:7">
      <c r="B308" s="134"/>
      <c r="C308" s="27"/>
      <c r="D308" s="137">
        <v>35.96</v>
      </c>
      <c r="E308" s="138"/>
      <c r="F308" s="138"/>
      <c r="G308" s="16" t="s">
        <v>652</v>
      </c>
    </row>
    <row r="309" spans="2:7">
      <c r="B309" s="134"/>
      <c r="C309" s="16"/>
      <c r="D309" s="137">
        <v>16.21</v>
      </c>
      <c r="E309" s="138"/>
      <c r="F309" s="138"/>
      <c r="G309" s="16" t="s">
        <v>672</v>
      </c>
    </row>
    <row r="310" spans="2:7">
      <c r="B310" s="134"/>
      <c r="C310" s="16"/>
      <c r="D310" s="137"/>
      <c r="E310" s="138"/>
      <c r="F310" s="138">
        <v>50</v>
      </c>
      <c r="G310" s="16" t="s">
        <v>671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673</v>
      </c>
    </row>
    <row r="312" spans="2:7">
      <c r="B312" s="134"/>
      <c r="C312" s="16"/>
      <c r="D312" s="137"/>
      <c r="E312" s="138"/>
      <c r="F312" s="138">
        <v>60</v>
      </c>
      <c r="G312" s="16" t="s">
        <v>674</v>
      </c>
    </row>
    <row r="313" spans="2:7">
      <c r="B313" s="134"/>
      <c r="C313" s="16"/>
      <c r="D313" s="137">
        <v>5.3</v>
      </c>
      <c r="E313" s="138"/>
      <c r="F313" s="138"/>
      <c r="G313" s="16" t="s">
        <v>676</v>
      </c>
    </row>
    <row r="314" spans="2:7">
      <c r="B314" s="134"/>
      <c r="C314" s="16"/>
      <c r="D314" s="137">
        <v>12.95</v>
      </c>
      <c r="E314" s="138"/>
      <c r="F314" s="138"/>
      <c r="G314" s="16" t="s">
        <v>689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688</v>
      </c>
    </row>
    <row r="317" spans="2:7">
      <c r="B317" s="134"/>
      <c r="C317" s="16"/>
      <c r="D317" s="137"/>
      <c r="E317" s="138"/>
      <c r="F317" s="138">
        <v>4.5</v>
      </c>
      <c r="G317" s="16" t="s">
        <v>693</v>
      </c>
    </row>
    <row r="318" spans="2:7">
      <c r="B318" s="134"/>
      <c r="C318" s="16"/>
      <c r="D318" s="137"/>
      <c r="E318" s="138"/>
      <c r="F318" s="138">
        <v>84.93</v>
      </c>
      <c r="G318" s="16" t="s">
        <v>694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634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4501.8900000000003</v>
      </c>
      <c r="L5" s="427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8">
        <v>620.14</v>
      </c>
      <c r="L6" s="429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f>7374.65</f>
        <v>7374.65</v>
      </c>
      <c r="L7" s="429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6307.51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f>4292.78+2.31</f>
        <v>4295.09</v>
      </c>
      <c r="L9" s="429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40+70</f>
        <v>110</v>
      </c>
      <c r="L11" s="429"/>
      <c r="M11" s="1"/>
      <c r="N11" s="1"/>
      <c r="R11" s="3"/>
    </row>
    <row r="12" spans="1:22" ht="15.75">
      <c r="A12" s="112">
        <f>'10'!A12+(B12-SUM(D12:F12))</f>
        <v>155.6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</f>
        <v>5092.08</v>
      </c>
      <c r="L12" s="429"/>
      <c r="M12" s="92"/>
      <c r="N12" s="1"/>
      <c r="R12" s="3"/>
    </row>
    <row r="13" spans="1:22" ht="15.75">
      <c r="A13" s="112">
        <f>'10'!A13+(B13-SUM(D13:F13))</f>
        <v>602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30103.380000000005</v>
      </c>
      <c r="L19" s="444"/>
      <c r="M19" s="1"/>
      <c r="N19" s="1"/>
      <c r="R19" s="3"/>
    </row>
    <row r="20" spans="1:18" ht="16.5" thickBot="1">
      <c r="A20" s="112">
        <f>SUM(A6:A15)</f>
        <v>2611.7000000000007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'10'!A29+(B29-SUM(D29:F29))</f>
        <v>19.930000000000007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252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489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1575.9199999999998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 t="s">
        <v>697</v>
      </c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703</v>
      </c>
      <c r="K45" s="410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702</v>
      </c>
      <c r="H46" s="1"/>
      <c r="I46" s="407"/>
      <c r="J46" s="411" t="s">
        <v>717</v>
      </c>
      <c r="K46" s="412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713</v>
      </c>
      <c r="H47" s="1"/>
      <c r="I47" s="407"/>
      <c r="J47" s="411" t="s">
        <v>718</v>
      </c>
      <c r="K47" s="412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715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721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726</v>
      </c>
      <c r="H50" s="1"/>
      <c r="I50" s="406" t="str">
        <f>AÑO!A13</f>
        <v>Gubernamental</v>
      </c>
      <c r="J50" s="409" t="s">
        <v>708</v>
      </c>
      <c r="K50" s="410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730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732</v>
      </c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734</v>
      </c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 t="s">
        <v>707</v>
      </c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 t="s">
        <v>490</v>
      </c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700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701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716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720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728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2016.9715974244975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55.689999999999969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664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831.9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9" ht="15" customHeight="1" thickBot="1">
      <c r="B263" s="421"/>
      <c r="C263" s="422"/>
      <c r="D263" s="422"/>
      <c r="E263" s="422"/>
      <c r="F263" s="422"/>
      <c r="G263" s="423"/>
    </row>
    <row r="264" spans="1:9">
      <c r="B264" s="431" t="s">
        <v>8</v>
      </c>
      <c r="C264" s="432"/>
      <c r="D264" s="431" t="s">
        <v>9</v>
      </c>
      <c r="E264" s="433"/>
      <c r="F264" s="433"/>
      <c r="G264" s="432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1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146.14999999999969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286.14999999999969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1" t="s">
        <v>9</v>
      </c>
      <c r="E304" s="433"/>
      <c r="F304" s="433"/>
      <c r="G304" s="432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523</v>
      </c>
      <c r="D306" s="137"/>
      <c r="E306" s="138"/>
      <c r="F306" s="138">
        <v>80</v>
      </c>
      <c r="G306" s="16" t="s">
        <v>706</v>
      </c>
    </row>
    <row r="307" spans="2:8">
      <c r="B307" s="134">
        <v>300</v>
      </c>
      <c r="C307" s="27" t="s">
        <v>710</v>
      </c>
      <c r="D307" s="137">
        <v>82.87</v>
      </c>
      <c r="E307" s="138"/>
      <c r="F307" s="138"/>
      <c r="G307" s="16" t="s">
        <v>709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712</v>
      </c>
    </row>
    <row r="309" spans="2:8">
      <c r="B309" s="134"/>
      <c r="C309" s="16"/>
      <c r="D309" s="137">
        <v>40.18</v>
      </c>
      <c r="E309" s="138"/>
      <c r="F309" s="138"/>
      <c r="G309" s="16" t="s">
        <v>714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722</v>
      </c>
    </row>
    <row r="312" spans="2:8">
      <c r="B312" s="134"/>
      <c r="C312" s="16"/>
      <c r="D312" s="137">
        <v>50</v>
      </c>
      <c r="E312" s="138"/>
      <c r="F312" s="138"/>
      <c r="G312" s="16" t="s">
        <v>725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705</v>
      </c>
    </row>
    <row r="327" spans="2:7">
      <c r="B327" s="134">
        <v>30</v>
      </c>
      <c r="C327" s="16" t="s">
        <v>704</v>
      </c>
      <c r="D327" s="137"/>
      <c r="E327" s="138"/>
      <c r="F327" s="138"/>
      <c r="G327" s="16"/>
    </row>
    <row r="328" spans="2:7">
      <c r="B328" s="134">
        <v>250</v>
      </c>
      <c r="C328" s="16" t="s">
        <v>717</v>
      </c>
      <c r="D328" s="137"/>
      <c r="E328" s="138"/>
      <c r="F328" s="138"/>
      <c r="G328" s="16"/>
    </row>
    <row r="329" spans="2:7">
      <c r="B329" s="134">
        <v>150</v>
      </c>
      <c r="C329" s="16" t="s">
        <v>718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663</v>
      </c>
      <c r="D359" s="135">
        <v>65</v>
      </c>
      <c r="E359" s="139"/>
      <c r="F359" s="139"/>
      <c r="G359" s="17" t="s">
        <v>696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724</v>
      </c>
    </row>
    <row r="368" spans="1:7">
      <c r="B368" s="134"/>
      <c r="C368" s="16"/>
      <c r="D368" s="137">
        <v>34</v>
      </c>
      <c r="E368" s="138"/>
      <c r="F368" s="138"/>
      <c r="G368" s="16" t="s">
        <v>731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695</v>
      </c>
    </row>
    <row r="407" spans="2:7">
      <c r="B407" s="134">
        <v>42.84</v>
      </c>
      <c r="C407" s="16" t="s">
        <v>697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4501.8900000000003</v>
      </c>
      <c r="L5" s="427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8">
        <v>620.14</v>
      </c>
      <c r="L6" s="429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f>7374.65</f>
        <v>7374.65</v>
      </c>
      <c r="L7" s="429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6307.51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f>4292.78+2.31</f>
        <v>4295.09</v>
      </c>
      <c r="L9" s="429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8">
        <f>40+70</f>
        <v>110</v>
      </c>
      <c r="L11" s="429"/>
      <c r="M11" s="1"/>
      <c r="N11" s="1"/>
      <c r="R11" s="3"/>
    </row>
    <row r="12" spans="1:22" ht="15.75">
      <c r="A12" s="112">
        <f>'11'!A12+(B12-SUM(D12:F12))</f>
        <v>-107.44000000000003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</f>
        <v>5092.08</v>
      </c>
      <c r="L12" s="429"/>
      <c r="M12" s="92"/>
      <c r="N12" s="1"/>
      <c r="R12" s="3"/>
    </row>
    <row r="13" spans="1:22" ht="15.75">
      <c r="A13" s="112">
        <f>'11'!A13+(B13-SUM(D13:F13))</f>
        <v>608.5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30103.380000000005</v>
      </c>
      <c r="L19" s="444"/>
      <c r="M19" s="1"/>
      <c r="N19" s="1"/>
      <c r="R19" s="3"/>
    </row>
    <row r="20" spans="1:18" ht="16.5" thickBot="1">
      <c r="A20" s="112">
        <f>SUM(A6:A15)</f>
        <v>2853.8400000000006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'11'!A29+(B29-SUM(D29:F29))</f>
        <v>37.930000000000007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252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/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2728.92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/>
      <c r="K45" s="410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6" t="str">
        <f>AÑO!A13</f>
        <v>Gubernamental</v>
      </c>
      <c r="J50" s="409" t="s">
        <v>708</v>
      </c>
      <c r="K50" s="41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/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37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2096.9715974244973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105.68999999999997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711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1081.9000000000001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1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196.14999999999969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381.14999999999969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49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778</v>
      </c>
    </row>
    <row r="66" spans="1:7">
      <c r="C66" t="s">
        <v>757</v>
      </c>
      <c r="D66">
        <v>16420</v>
      </c>
    </row>
    <row r="67" spans="1:7">
      <c r="C67" t="s">
        <v>756</v>
      </c>
      <c r="D67">
        <f>D66*0.2</f>
        <v>3284</v>
      </c>
    </row>
    <row r="68" spans="1:7">
      <c r="B68" t="s">
        <v>748</v>
      </c>
      <c r="C68" t="s">
        <v>749</v>
      </c>
      <c r="D68" t="s">
        <v>751</v>
      </c>
      <c r="E68" t="s">
        <v>750</v>
      </c>
      <c r="F68" t="s">
        <v>93</v>
      </c>
      <c r="G68" t="s">
        <v>753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10" workbookViewId="0">
      <selection activeCell="G33" sqref="G3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564</v>
      </c>
    </row>
    <row r="6" spans="1:14" ht="12.75" customHeight="1">
      <c r="A6" t="s">
        <v>92</v>
      </c>
      <c r="B6" s="48">
        <f>E19</f>
        <v>-0.28283333333333333</v>
      </c>
      <c r="C6" s="44" t="s">
        <v>93</v>
      </c>
      <c r="D6" s="43" t="s">
        <v>94</v>
      </c>
      <c r="E6" s="42"/>
      <c r="J6" t="s">
        <v>95</v>
      </c>
      <c r="K6" s="49">
        <f>B4-B15</f>
        <v>126266.14503287477</v>
      </c>
      <c r="L6" s="39">
        <f>B4*(E8/100)</f>
        <v>22.917647195833336</v>
      </c>
      <c r="M6" s="49">
        <f>B13-L6</f>
        <v>370.12496712522983</v>
      </c>
      <c r="N6" s="59">
        <f>L6/SUM(L6:M6)</f>
        <v>5.8308301341372333E-2</v>
      </c>
    </row>
    <row r="7" spans="1:14" ht="12.75" customHeight="1">
      <c r="E7" s="42"/>
      <c r="J7" t="s">
        <v>96</v>
      </c>
      <c r="K7" s="49">
        <f>K6-(B13-L7)</f>
        <v>125895.95308341175</v>
      </c>
      <c r="L7" s="39">
        <f>(K6*(E8/100))</f>
        <v>22.850664858032754</v>
      </c>
      <c r="M7" s="49">
        <f>B13-L7</f>
        <v>370.19194946303043</v>
      </c>
      <c r="N7" s="59">
        <f t="shared" ref="N7:N13" si="0">L7/SUM(L7:M7)</f>
        <v>5.8137881302017858E-2</v>
      </c>
    </row>
    <row r="8" spans="1:14" ht="12.75" customHeight="1">
      <c r="B8" s="42"/>
      <c r="D8" t="s">
        <v>177</v>
      </c>
      <c r="E8" s="50">
        <f>(B6+0.5)/12</f>
        <v>1.8097222222222223E-2</v>
      </c>
      <c r="J8" t="s">
        <v>97</v>
      </c>
      <c r="K8" s="49">
        <f>K7-(B13-L8)</f>
        <v>125525.69413948897</v>
      </c>
      <c r="L8" s="39">
        <f>(K7*(E8/100))</f>
        <v>22.783670398289654</v>
      </c>
      <c r="M8" s="49">
        <f>B13-L8</f>
        <v>370.25894392277354</v>
      </c>
      <c r="N8" s="59">
        <f t="shared" si="0"/>
        <v>5.7967430421370154E-2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1.0001809722222221</v>
      </c>
      <c r="J9" t="s">
        <v>99</v>
      </c>
      <c r="K9" s="49">
        <f>K8-(B13-L9)</f>
        <v>125155.36818898232</v>
      </c>
      <c r="L9" s="39">
        <f>(K8*(E8/100))</f>
        <v>22.716663814410296</v>
      </c>
      <c r="M9" s="49">
        <f>B13-L9</f>
        <v>370.32595050665287</v>
      </c>
      <c r="N9" s="59">
        <f t="shared" si="0"/>
        <v>5.7796948693847799E-2</v>
      </c>
    </row>
    <row r="10" spans="1:14" ht="12.75" customHeight="1">
      <c r="B10" s="42"/>
      <c r="D10" t="s">
        <v>100</v>
      </c>
      <c r="E10" s="50">
        <f>E9^-B5</f>
        <v>0.94169169865862767</v>
      </c>
      <c r="J10" t="s">
        <v>101</v>
      </c>
      <c r="K10" s="49">
        <f>K9-(B13-L10)</f>
        <v>124784.97521976546</v>
      </c>
      <c r="L10" s="39">
        <f>(K9*(E8/100))</f>
        <v>22.649645104200552</v>
      </c>
      <c r="M10" s="49">
        <f>B13-L10</f>
        <v>370.39296921686264</v>
      </c>
      <c r="N10" s="59">
        <f t="shared" si="0"/>
        <v>5.7626436113868369E-2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5.8308301341372326</v>
      </c>
      <c r="J11" t="s">
        <v>104</v>
      </c>
      <c r="K11" s="51">
        <f>K10-(B13-L11)</f>
        <v>124414.51521970987</v>
      </c>
      <c r="L11" s="39">
        <f>(K10*(E8/100))</f>
        <v>22.582614265465889</v>
      </c>
      <c r="M11" s="49">
        <f>B13-L11</f>
        <v>370.46000005559728</v>
      </c>
      <c r="N11" s="59">
        <f t="shared" si="0"/>
        <v>5.745589267584842E-2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393.04261432106318</v>
      </c>
      <c r="E13" s="42"/>
      <c r="F13" s="44"/>
      <c r="G13" s="53"/>
      <c r="L13" s="54">
        <f>SUM(L6:L11)</f>
        <v>136.50090563623246</v>
      </c>
      <c r="M13" s="54">
        <f>SUM(M6:M11)</f>
        <v>2221.7547802901468</v>
      </c>
      <c r="N13" s="59">
        <f t="shared" si="0"/>
        <v>5.7882148424720808E-2</v>
      </c>
    </row>
    <row r="14" spans="1:14" ht="12.75" customHeight="1">
      <c r="A14" t="s">
        <v>106</v>
      </c>
      <c r="B14" s="55">
        <f>B4*(E8/100)</f>
        <v>22.917647195833336</v>
      </c>
      <c r="E14" s="42"/>
    </row>
    <row r="15" spans="1:14" ht="12.75" customHeight="1">
      <c r="A15" t="s">
        <v>107</v>
      </c>
      <c r="B15" s="55">
        <f>B13-B14</f>
        <v>370.12496712522983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393.04417432106317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-0.28283333333333333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-3.3940000000000001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2221.7547802901468</v>
      </c>
      <c r="C22" s="58">
        <f>B22/170000</f>
        <v>1.3069145766412629E-2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124414.51521970987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12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J27" sqref="J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-2.8283333333333333E-3</v>
      </c>
      <c r="D26" s="73">
        <f>Hipoteca!B$13</f>
        <v>393.04261432106318</v>
      </c>
      <c r="E26" s="72">
        <f t="shared" ref="E26" si="12">D26-D25</f>
        <v>3.7826143210631926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7.8954270382395365E-3</v>
      </c>
      <c r="D83" s="85">
        <f>AVERAGE(D2:D82)</f>
        <v>488.27233827676736</v>
      </c>
      <c r="E83" s="86">
        <f>AVERAGE(E3:E82)</f>
        <v>-18.9586410699557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19" workbookViewId="0">
      <selection activeCell="I60" sqref="I60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368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661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857</v>
      </c>
      <c r="C3" s="263">
        <v>4200</v>
      </c>
      <c r="D3" s="321">
        <f ca="1">_xlfn.DAYS(K3,F3)</f>
        <v>5</v>
      </c>
      <c r="E3" s="264">
        <f>I3-J3</f>
        <v>4223.7342420000004</v>
      </c>
      <c r="F3" s="265">
        <v>43874</v>
      </c>
      <c r="G3" s="263">
        <v>23.03</v>
      </c>
      <c r="H3" s="266">
        <f>TRUNC(C3/G3)</f>
        <v>182</v>
      </c>
      <c r="I3" s="264">
        <f>(G3*H3)</f>
        <v>4191.46</v>
      </c>
      <c r="J3" s="264">
        <f>-(IF((I3*0.005)&lt;20,20,(I3*0.005))+(I3*0.0027))</f>
        <v>-32.274242000000001</v>
      </c>
      <c r="K3" s="265">
        <f ca="1">TODAY()</f>
        <v>43879</v>
      </c>
      <c r="L3" s="301">
        <v>27.97</v>
      </c>
      <c r="M3" s="264">
        <f>(H3*L3)</f>
        <v>5090.54</v>
      </c>
      <c r="N3" s="264">
        <f>-(IF((M3*0.005)&lt;20,20,(M3*0.005)) + (M3*0.0027))</f>
        <v>-39.197158000000002</v>
      </c>
      <c r="O3" s="267">
        <f>J3+N3</f>
        <v>-71.471400000000003</v>
      </c>
      <c r="P3" s="268">
        <f>M3-I3+N3</f>
        <v>859.88284199999998</v>
      </c>
      <c r="Q3" s="268">
        <f>M3+N3</f>
        <v>5051.342842</v>
      </c>
      <c r="R3" s="269">
        <f>P3/E3</f>
        <v>0.20358355728196403</v>
      </c>
      <c r="S3" s="270" t="s">
        <v>355</v>
      </c>
    </row>
    <row r="4" spans="1:27">
      <c r="A4" s="262" t="s">
        <v>336</v>
      </c>
      <c r="B4" s="262" t="s">
        <v>244</v>
      </c>
      <c r="C4" s="263">
        <v>4090</v>
      </c>
      <c r="D4" s="321">
        <f ca="1">_xlfn.DAYS(K4,F4)</f>
        <v>274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43879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355</v>
      </c>
      <c r="T4" s="339"/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725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43879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7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</row>
    <row r="11" spans="1:27">
      <c r="A11" s="449" t="s">
        <v>338</v>
      </c>
      <c r="B11" s="450"/>
      <c r="C11" s="450"/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50"/>
      <c r="P11" s="450"/>
      <c r="Q11" s="450"/>
      <c r="R11" s="450"/>
      <c r="S11" s="450"/>
    </row>
    <row r="12" spans="1:27">
      <c r="A12" s="290" t="s">
        <v>325</v>
      </c>
      <c r="B12" s="290" t="s">
        <v>326</v>
      </c>
      <c r="C12" s="290" t="s">
        <v>327</v>
      </c>
      <c r="D12" s="323" t="s">
        <v>368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661</v>
      </c>
      <c r="R12" s="297" t="s">
        <v>93</v>
      </c>
      <c r="S12" s="298" t="s">
        <v>334</v>
      </c>
      <c r="T12" s="338" t="s">
        <v>407</v>
      </c>
      <c r="U12" s="338" t="s">
        <v>580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1" ca="1" si="1">D13/D$43</f>
        <v>3.434903047091413E-2</v>
      </c>
      <c r="Y13" s="119">
        <f ca="1">X13*E13</f>
        <v>138.05799163434904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3.0470914127423823E-2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7.7562326869806096E-3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0.48144044321329638</v>
      </c>
      <c r="Y19" s="119">
        <f t="shared" ca="1" si="3"/>
        <v>2129.6036179944599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369</v>
      </c>
      <c r="X20" s="39">
        <f t="shared" ca="1" si="1"/>
        <v>0.35013850415512465</v>
      </c>
      <c r="Y20" s="119">
        <f t="shared" ca="1" si="3"/>
        <v>210.29318559556788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0.1595567867036011</v>
      </c>
      <c r="Y25" s="119">
        <f t="shared" ca="1" si="3"/>
        <v>97.004658774515221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0.36343490304709142</v>
      </c>
      <c r="Y28" s="119">
        <f t="shared" ca="1" si="3"/>
        <v>1870.9966367202217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1.218836565096953E-2</v>
      </c>
      <c r="Y33" s="119">
        <f t="shared" ca="1" si="3"/>
        <v>50.327299944598337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8.2548476454293626E-2</v>
      </c>
      <c r="Y35" s="119">
        <f t="shared" ca="1" si="3"/>
        <v>337.519823900277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776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1.5218836565096954</v>
      </c>
      <c r="Y42" s="327">
        <f ca="1">SUM(Y13:Y41)</f>
        <v>4833.8032145639881</v>
      </c>
      <c r="Z42" s="328">
        <f ca="1">P42/Y42</f>
        <v>0.91002568531263273</v>
      </c>
      <c r="AA42" s="328">
        <f ca="1">Z42/(D$43/365)</f>
        <v>0.18402181448150193</v>
      </c>
    </row>
    <row r="43" spans="1:27">
      <c r="C43" s="119" t="s">
        <v>371</v>
      </c>
      <c r="D43" s="46">
        <f ca="1">_xlfn.DAYS(TODAY(),F13)</f>
        <v>1805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360</v>
      </c>
      <c r="U62" s="41" t="s">
        <v>361</v>
      </c>
      <c r="V62" s="38"/>
    </row>
    <row r="63" spans="3:29" ht="15.75">
      <c r="G63" s="38"/>
      <c r="S63" t="s">
        <v>362</v>
      </c>
      <c r="T63" s="308" t="s">
        <v>363</v>
      </c>
      <c r="U63" s="309"/>
      <c r="V63" s="38"/>
    </row>
    <row r="64" spans="3:29">
      <c r="F64" s="38"/>
      <c r="G64" s="38"/>
      <c r="S64" t="s">
        <v>364</v>
      </c>
      <c r="T64" s="308" t="s">
        <v>365</v>
      </c>
      <c r="U64" t="s">
        <v>366</v>
      </c>
    </row>
    <row r="65" spans="6:22">
      <c r="F65" s="38"/>
      <c r="G65" s="38"/>
      <c r="H65" s="38"/>
      <c r="T65" s="38"/>
      <c r="U65" t="s">
        <v>367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22" sqref="G2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51" t="s">
        <v>377</v>
      </c>
      <c r="B1" s="451"/>
      <c r="C1" s="451"/>
      <c r="D1" s="451"/>
      <c r="E1" s="451"/>
    </row>
    <row r="2" spans="1:5">
      <c r="A2" s="331" t="s">
        <v>373</v>
      </c>
      <c r="B2" s="332" t="s">
        <v>86</v>
      </c>
      <c r="C2" s="332" t="s">
        <v>374</v>
      </c>
      <c r="D2" s="332" t="s">
        <v>375</v>
      </c>
      <c r="E2" s="270"/>
    </row>
    <row r="3" spans="1:5">
      <c r="A3" s="333" t="s">
        <v>50</v>
      </c>
      <c r="B3" s="334">
        <v>7400</v>
      </c>
      <c r="C3" s="304">
        <f>B3/B$7</f>
        <v>0.78306878306878303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0.15873015873015872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5.8201058201058198E-2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9450</v>
      </c>
      <c r="C7" s="304">
        <f>SUM(C3:C6)</f>
        <v>1</v>
      </c>
      <c r="D7" s="276">
        <f>0</f>
        <v>0</v>
      </c>
      <c r="E7" s="275" t="s">
        <v>376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9" t="s">
        <v>406</v>
      </c>
      <c r="B15" s="449"/>
      <c r="C15" s="449"/>
      <c r="D15" s="449"/>
      <c r="E15" s="449"/>
    </row>
    <row r="17" spans="1:4">
      <c r="A17" s="330" t="s">
        <v>378</v>
      </c>
    </row>
    <row r="19" spans="1:4">
      <c r="A19" t="s">
        <v>379</v>
      </c>
    </row>
    <row r="20" spans="1:4">
      <c r="A20" t="s">
        <v>380</v>
      </c>
    </row>
    <row r="21" spans="1:4">
      <c r="A21" t="s">
        <v>381</v>
      </c>
    </row>
    <row r="22" spans="1:4">
      <c r="A22" t="s">
        <v>382</v>
      </c>
    </row>
    <row r="23" spans="1:4">
      <c r="A23" t="s">
        <v>383</v>
      </c>
    </row>
    <row r="24" spans="1:4">
      <c r="A24" t="s">
        <v>384</v>
      </c>
    </row>
    <row r="25" spans="1:4">
      <c r="A25" t="s">
        <v>385</v>
      </c>
    </row>
    <row r="26" spans="1:4">
      <c r="A26" t="s">
        <v>746</v>
      </c>
    </row>
    <row r="27" spans="1:4">
      <c r="A27" t="s">
        <v>747</v>
      </c>
    </row>
    <row r="30" spans="1:4">
      <c r="A30" s="330" t="s">
        <v>386</v>
      </c>
      <c r="B30" s="330" t="s">
        <v>387</v>
      </c>
      <c r="C30" s="330" t="s">
        <v>388</v>
      </c>
      <c r="D30" s="330" t="s">
        <v>389</v>
      </c>
    </row>
    <row r="32" spans="1:4">
      <c r="A32" t="s">
        <v>390</v>
      </c>
      <c r="B32" t="s">
        <v>391</v>
      </c>
      <c r="C32" t="s">
        <v>392</v>
      </c>
      <c r="D32" t="s">
        <v>393</v>
      </c>
    </row>
    <row r="33" spans="1:4">
      <c r="A33" t="s">
        <v>394</v>
      </c>
      <c r="B33" t="s">
        <v>395</v>
      </c>
      <c r="C33" t="s">
        <v>396</v>
      </c>
      <c r="D33" t="s">
        <v>391</v>
      </c>
    </row>
    <row r="34" spans="1:4">
      <c r="A34" t="s">
        <v>397</v>
      </c>
      <c r="B34" t="s">
        <v>398</v>
      </c>
      <c r="C34" t="s">
        <v>399</v>
      </c>
      <c r="D34" t="s">
        <v>393</v>
      </c>
    </row>
    <row r="35" spans="1:4">
      <c r="A35" t="s">
        <v>400</v>
      </c>
      <c r="B35" t="s">
        <v>391</v>
      </c>
      <c r="C35" t="s">
        <v>396</v>
      </c>
      <c r="D35" t="s">
        <v>401</v>
      </c>
    </row>
    <row r="36" spans="1:4">
      <c r="A36" t="s">
        <v>246</v>
      </c>
      <c r="B36" t="s">
        <v>391</v>
      </c>
      <c r="C36" t="s">
        <v>392</v>
      </c>
      <c r="D36" t="s">
        <v>401</v>
      </c>
    </row>
    <row r="37" spans="1:4">
      <c r="A37" t="s">
        <v>402</v>
      </c>
      <c r="B37" t="s">
        <v>393</v>
      </c>
      <c r="C37" t="s">
        <v>399</v>
      </c>
      <c r="D37" t="s">
        <v>398</v>
      </c>
    </row>
    <row r="38" spans="1:4">
      <c r="A38" t="s">
        <v>403</v>
      </c>
      <c r="B38" t="s">
        <v>391</v>
      </c>
      <c r="C38" t="s">
        <v>399</v>
      </c>
      <c r="D38" t="s">
        <v>391</v>
      </c>
    </row>
    <row r="39" spans="1:4">
      <c r="A39" t="s">
        <v>404</v>
      </c>
      <c r="B39" t="s">
        <v>393</v>
      </c>
      <c r="C39" t="s">
        <v>392</v>
      </c>
      <c r="D39" t="s">
        <v>391</v>
      </c>
    </row>
    <row r="40" spans="1:4">
      <c r="A40" t="s">
        <v>405</v>
      </c>
      <c r="B40" t="s">
        <v>393</v>
      </c>
      <c r="C40" t="s">
        <v>392</v>
      </c>
      <c r="D40" t="s">
        <v>398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617</v>
      </c>
      <c r="B55" t="s">
        <v>618</v>
      </c>
    </row>
    <row r="56" spans="1:3">
      <c r="A56" t="s">
        <v>745</v>
      </c>
      <c r="B56" t="s">
        <v>166</v>
      </c>
    </row>
    <row r="58" spans="1:3">
      <c r="A58" t="s">
        <v>698</v>
      </c>
      <c r="B58" t="s">
        <v>699</v>
      </c>
    </row>
    <row r="59" spans="1:3">
      <c r="A59" t="s">
        <v>780</v>
      </c>
      <c r="B59" t="s">
        <v>782</v>
      </c>
      <c r="C59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2019</v>
      </c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26">
        <f>6296.48-M5</f>
        <v>5725.0499999999993</v>
      </c>
      <c r="L5" s="427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8">
        <v>620.14</v>
      </c>
      <c r="L6" s="429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8">
        <v>9189.0300000000007</v>
      </c>
      <c r="L7" s="429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8">
        <f>6954.14-0.63</f>
        <v>6953.51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8">
        <f>9496.23+4.45</f>
        <v>9500.68</v>
      </c>
      <c r="L9" s="429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8">
        <f>1804-1.98</f>
        <v>1802.02</v>
      </c>
      <c r="L10" s="429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8">
        <v>360</v>
      </c>
      <c r="L11" s="429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8">
        <v>0</v>
      </c>
      <c r="L12" s="429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28"/>
      <c r="L13" s="429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28"/>
      <c r="L14" s="429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4">
        <f>SUM(K5:K18)</f>
        <v>34150.43</v>
      </c>
      <c r="L19" s="435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06" t="str">
        <f>AÑO!A8</f>
        <v>Manolo Salario</v>
      </c>
      <c r="J25" s="409" t="s">
        <v>238</v>
      </c>
      <c r="K25" s="410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7"/>
      <c r="J26" s="411"/>
      <c r="K26" s="412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7"/>
      <c r="J27" s="411"/>
      <c r="K27" s="412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07"/>
      <c r="J28" s="411"/>
      <c r="K28" s="412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5"/>
      <c r="J29" s="416"/>
      <c r="K29" s="417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6" t="str">
        <f>AÑO!A9</f>
        <v>Rocío Salario</v>
      </c>
      <c r="J30" s="409" t="s">
        <v>252</v>
      </c>
      <c r="K30" s="410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663</v>
      </c>
      <c r="D31" s="137"/>
      <c r="E31" s="138"/>
      <c r="F31" s="138"/>
      <c r="G31" s="16"/>
      <c r="H31" s="112">
        <v>35</v>
      </c>
      <c r="I31" s="407"/>
      <c r="J31" s="411"/>
      <c r="K31" s="412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7"/>
      <c r="J32" s="411"/>
      <c r="K32" s="412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6" t="s">
        <v>204</v>
      </c>
      <c r="J35" s="409" t="s">
        <v>233</v>
      </c>
      <c r="K35" s="410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6" t="str">
        <f>AÑO!A11</f>
        <v>Finanazas</v>
      </c>
      <c r="J40" s="409" t="s">
        <v>246</v>
      </c>
      <c r="K40" s="410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7"/>
      <c r="J41" s="411" t="s">
        <v>760</v>
      </c>
      <c r="K41" s="412"/>
      <c r="L41" s="229">
        <v>1.98</v>
      </c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12"/>
      <c r="I42" s="407"/>
      <c r="J42" s="411" t="s">
        <v>811</v>
      </c>
      <c r="K42" s="412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6" t="str">
        <f>AÑO!A12</f>
        <v>Regalos</v>
      </c>
      <c r="J45" s="409" t="s">
        <v>779</v>
      </c>
      <c r="K45" s="410"/>
      <c r="L45" s="231">
        <v>1142.8599999999999</v>
      </c>
      <c r="M45" s="112" t="s">
        <v>790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788</v>
      </c>
      <c r="H46" s="112"/>
      <c r="I46" s="407"/>
      <c r="J46" s="411"/>
      <c r="K46" s="412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799</v>
      </c>
      <c r="H47" s="112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802</v>
      </c>
      <c r="H48" s="112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803</v>
      </c>
      <c r="H49" s="112"/>
      <c r="I49" s="415"/>
      <c r="J49" s="416"/>
      <c r="K49" s="417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804</v>
      </c>
      <c r="H50" s="112"/>
      <c r="I50" s="406" t="str">
        <f>AÑO!A13</f>
        <v>Gubernamental</v>
      </c>
      <c r="J50" s="409" t="s">
        <v>708</v>
      </c>
      <c r="K50" s="410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818</v>
      </c>
      <c r="H51" s="112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819</v>
      </c>
      <c r="H52" s="112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824</v>
      </c>
      <c r="H53" s="112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5"/>
      <c r="J54" s="416"/>
      <c r="K54" s="417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836</v>
      </c>
      <c r="H55" s="112"/>
      <c r="I55" s="406" t="str">
        <f>AÑO!A14</f>
        <v>Mutualite/DKV</v>
      </c>
      <c r="J55" s="409" t="s">
        <v>800</v>
      </c>
      <c r="K55" s="410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842</v>
      </c>
      <c r="H56" s="112"/>
      <c r="I56" s="407"/>
      <c r="J56" s="411" t="s">
        <v>288</v>
      </c>
      <c r="K56" s="412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844</v>
      </c>
      <c r="H57" s="112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5"/>
      <c r="J59" s="416"/>
      <c r="K59" s="417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6" t="str">
        <f>AÑO!A15</f>
        <v>Alquiler Cartama</v>
      </c>
      <c r="J60" s="409" t="s">
        <v>37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5"/>
      <c r="J64" s="416"/>
      <c r="K64" s="417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6" t="str">
        <f>AÑO!A16</f>
        <v>Otros</v>
      </c>
      <c r="J65" s="409" t="s">
        <v>796</v>
      </c>
      <c r="K65" s="410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785</v>
      </c>
      <c r="H66" s="112"/>
      <c r="I66" s="407"/>
      <c r="J66" s="411"/>
      <c r="K66" s="412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787</v>
      </c>
      <c r="H67" s="112"/>
      <c r="I67" s="407"/>
      <c r="J67" s="411"/>
      <c r="K67" s="412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822</v>
      </c>
      <c r="H68" s="112"/>
      <c r="I68" s="407"/>
      <c r="J68" s="411"/>
      <c r="K68" s="412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821</v>
      </c>
      <c r="H69" s="112"/>
      <c r="I69" s="408"/>
      <c r="J69" s="413"/>
      <c r="K69" s="414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847</v>
      </c>
      <c r="H72" s="112"/>
      <c r="I72" s="208"/>
      <c r="J72"/>
      <c r="K72"/>
      <c r="L72">
        <v>83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774</v>
      </c>
      <c r="K74">
        <f ca="1">DAY(TODAY())</f>
        <v>18</v>
      </c>
      <c r="L74">
        <f ca="1">K74*L73</f>
        <v>58.064516129032256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-24.935483870967744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763</v>
      </c>
      <c r="D86" s="137"/>
      <c r="E86" s="138">
        <v>4.9000000000000004</v>
      </c>
      <c r="F86" s="138"/>
      <c r="G86" s="16" t="s">
        <v>794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765</v>
      </c>
      <c r="D107" s="137">
        <v>70.36</v>
      </c>
      <c r="E107" s="138"/>
      <c r="F107" s="138"/>
      <c r="G107" s="31" t="s">
        <v>765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831</v>
      </c>
      <c r="D116" s="137"/>
      <c r="E116" s="138">
        <v>469</v>
      </c>
      <c r="F116" s="138"/>
      <c r="G116" s="16" t="s">
        <v>837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771</v>
      </c>
      <c r="D146" s="137">
        <v>24.87</v>
      </c>
      <c r="E146" s="138"/>
      <c r="F146" s="138"/>
      <c r="G146" s="16" t="s">
        <v>810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64.95</v>
      </c>
      <c r="E186" s="138"/>
      <c r="F186" s="138"/>
      <c r="G186" s="16" t="s">
        <v>786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789</v>
      </c>
      <c r="D187" s="137">
        <v>25.99</v>
      </c>
      <c r="E187" s="138"/>
      <c r="F187" s="138"/>
      <c r="G187" s="16" t="s">
        <v>792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1:8" ht="15" customHeight="1" thickBot="1">
      <c r="B243" s="421"/>
      <c r="C243" s="422"/>
      <c r="D243" s="422"/>
      <c r="E243" s="422"/>
      <c r="F243" s="422"/>
      <c r="G243" s="423"/>
      <c r="H243" s="112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743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1:9" ht="15" customHeight="1" thickBot="1">
      <c r="B263" s="421"/>
      <c r="C263" s="422"/>
      <c r="D263" s="422"/>
      <c r="E263" s="422"/>
      <c r="F263" s="422"/>
      <c r="G263" s="423"/>
      <c r="H263" s="112"/>
    </row>
    <row r="264" spans="1:9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1:8" ht="15" customHeight="1" thickBot="1">
      <c r="B283" s="421"/>
      <c r="C283" s="422"/>
      <c r="D283" s="422"/>
      <c r="E283" s="422"/>
      <c r="F283" s="422"/>
      <c r="G283" s="423"/>
      <c r="H283" s="112"/>
    </row>
    <row r="284" spans="1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796</v>
      </c>
      <c r="D287" s="137"/>
      <c r="E287" s="138">
        <v>34.369999999999997</v>
      </c>
      <c r="F287" s="138"/>
      <c r="G287" s="16" t="s">
        <v>817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835</v>
      </c>
      <c r="H289" s="112"/>
    </row>
    <row r="290" spans="1:8" ht="15.75">
      <c r="A290" s="112"/>
      <c r="B290" s="134">
        <v>17.07</v>
      </c>
      <c r="C290" s="16" t="s">
        <v>839</v>
      </c>
      <c r="D290" s="137">
        <v>17.07</v>
      </c>
      <c r="E290" s="138"/>
      <c r="F290" s="138"/>
      <c r="G290" s="16" t="s">
        <v>840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1:8" ht="15" customHeight="1" thickBot="1">
      <c r="B303" s="421"/>
      <c r="C303" s="422"/>
      <c r="D303" s="422"/>
      <c r="E303" s="422"/>
      <c r="F303" s="422"/>
      <c r="G303" s="423"/>
      <c r="H303" s="112"/>
    </row>
    <row r="304" spans="1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783</v>
      </c>
      <c r="H306" s="112"/>
    </row>
    <row r="307" spans="2:8" ht="15.75">
      <c r="B307" s="134">
        <f>L55-B290</f>
        <v>719.68999999999994</v>
      </c>
      <c r="C307" s="27" t="s">
        <v>800</v>
      </c>
      <c r="D307" s="137">
        <v>32.369999999999997</v>
      </c>
      <c r="E307" s="138"/>
      <c r="F307" s="138"/>
      <c r="G307" s="16" t="s">
        <v>791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825</v>
      </c>
      <c r="H326" s="112"/>
    </row>
    <row r="327" spans="2:8" ht="15.75">
      <c r="B327" s="134">
        <v>0.02</v>
      </c>
      <c r="C327" s="16" t="s">
        <v>812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Imprevistos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758</v>
      </c>
      <c r="H406" s="112"/>
    </row>
    <row r="407" spans="2:8" ht="15.75">
      <c r="B407" s="134">
        <v>0.63</v>
      </c>
      <c r="C407" s="16" t="s">
        <v>761</v>
      </c>
      <c r="D407" s="137">
        <v>4.45</v>
      </c>
      <c r="E407" s="138"/>
      <c r="F407" s="138"/>
      <c r="G407" s="16" t="s">
        <v>762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NULO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59" zoomScaleNormal="100" workbookViewId="0">
      <selection activeCell="L73" sqref="L7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6035.06</v>
      </c>
      <c r="L5" s="427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8">
        <v>620.16</v>
      </c>
      <c r="L6" s="429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8">
        <v>8564.5</v>
      </c>
      <c r="L7" s="429"/>
      <c r="M7" s="1"/>
      <c r="N7" s="112"/>
      <c r="R7" s="3"/>
    </row>
    <row r="8" spans="1:22" ht="15.75">
      <c r="A8" s="112">
        <f>'01'!A8+(B8-SUM(D8:F8))</f>
        <v>0</v>
      </c>
      <c r="B8" s="134">
        <v>112.31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6954.14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8">
        <v>9496.23</v>
      </c>
      <c r="L9" s="429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1804</v>
      </c>
      <c r="L10" s="429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315+50</f>
        <v>365</v>
      </c>
      <c r="L11" s="429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871</v>
      </c>
      <c r="H12" s="1"/>
      <c r="I12" s="108" t="s">
        <v>155</v>
      </c>
      <c r="J12" s="107" t="s">
        <v>156</v>
      </c>
      <c r="K12" s="428">
        <v>0</v>
      </c>
      <c r="L12" s="429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856</v>
      </c>
      <c r="D14" s="137"/>
      <c r="E14" s="138">
        <v>1170</v>
      </c>
      <c r="F14" s="138"/>
      <c r="G14" s="16" t="s">
        <v>853</v>
      </c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4">
        <f>SUM(K5:K18)</f>
        <v>33839.089999999997</v>
      </c>
      <c r="L19" s="435"/>
      <c r="M19" s="1"/>
      <c r="N19" s="1"/>
      <c r="R19" s="3"/>
    </row>
    <row r="20" spans="1:18" ht="16.5" thickBot="1">
      <c r="A20" s="112">
        <f>SUM(A6:A15)</f>
        <v>2026.8891905564922</v>
      </c>
      <c r="B20" s="135">
        <f>SUM(B6:B19)</f>
        <v>689.09</v>
      </c>
      <c r="C20" s="17" t="s">
        <v>51</v>
      </c>
      <c r="D20" s="135">
        <f>SUM(D6:D19)</f>
        <v>0</v>
      </c>
      <c r="E20" s="135">
        <f>SUM(E6:E19)</f>
        <v>1291.24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198"/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7"/>
      <c r="J27" s="411"/>
      <c r="K27" s="412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5"/>
      <c r="J29" s="416"/>
      <c r="K29" s="417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226</v>
      </c>
      <c r="K30" s="410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7"/>
      <c r="J31" s="411" t="s">
        <v>224</v>
      </c>
      <c r="K31" s="412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 t="s">
        <v>233</v>
      </c>
      <c r="K35" s="4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01"/>
      <c r="M39" s="1"/>
      <c r="R39" s="3"/>
    </row>
    <row r="40" spans="1:18" ht="16.5" thickBot="1">
      <c r="A40" s="112">
        <f>SUM(A26:A35)</f>
        <v>501.30999999999989</v>
      </c>
      <c r="B40" s="135">
        <f>SUM(B26:B39)</f>
        <v>1164</v>
      </c>
      <c r="C40" s="17" t="s">
        <v>51</v>
      </c>
      <c r="D40" s="135">
        <f>SUM(D26:D39)</f>
        <v>918.62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19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5"/>
      <c r="J44" s="416"/>
      <c r="K44" s="41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848</v>
      </c>
      <c r="K45" s="410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858</v>
      </c>
      <c r="H46" s="1"/>
      <c r="I46" s="407"/>
      <c r="J46" s="411"/>
      <c r="K46" s="412"/>
      <c r="L46" s="199"/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862</v>
      </c>
      <c r="H47" s="1"/>
      <c r="I47" s="407"/>
      <c r="J47" s="411"/>
      <c r="K47" s="412"/>
      <c r="L47" s="199"/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863</v>
      </c>
      <c r="H48" s="1"/>
      <c r="I48" s="407"/>
      <c r="J48" s="411"/>
      <c r="K48" s="412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866</v>
      </c>
      <c r="H49" s="1"/>
      <c r="I49" s="415"/>
      <c r="J49" s="416"/>
      <c r="K49" s="417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868</v>
      </c>
      <c r="H50" s="1"/>
      <c r="I50" s="406" t="str">
        <f>AÑO!A13</f>
        <v>Gubernamental</v>
      </c>
      <c r="J50" s="409" t="s">
        <v>708</v>
      </c>
      <c r="K50" s="410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869</v>
      </c>
      <c r="H51" s="1"/>
      <c r="I51" s="407"/>
      <c r="J51" s="411"/>
      <c r="K51" s="412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875</v>
      </c>
      <c r="H52" s="1"/>
      <c r="I52" s="407"/>
      <c r="J52" s="411"/>
      <c r="K52" s="4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/>
      <c r="K55" s="4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227.2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223</v>
      </c>
      <c r="K60" s="410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5"/>
      <c r="J64" s="416"/>
      <c r="K64" s="417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 t="s">
        <v>872</v>
      </c>
      <c r="K65" s="410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851</v>
      </c>
      <c r="H66" s="1"/>
      <c r="I66" s="407"/>
      <c r="J66" s="411"/>
      <c r="K66" s="412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860</v>
      </c>
      <c r="H67" s="1"/>
      <c r="I67" s="407"/>
      <c r="J67" s="411"/>
      <c r="K67" s="412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861</v>
      </c>
      <c r="H68" s="1"/>
      <c r="I68" s="407"/>
      <c r="J68" s="411"/>
      <c r="K68" s="412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876</v>
      </c>
      <c r="H69" s="1"/>
      <c r="I69" s="408"/>
      <c r="J69" s="413"/>
      <c r="K69" s="414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50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774</v>
      </c>
      <c r="K74">
        <f ca="1">DAY(TODAY())</f>
        <v>18</v>
      </c>
      <c r="L74">
        <f ca="1">K74*L73</f>
        <v>62.068965517241374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12.068965517241374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46.36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763</v>
      </c>
      <c r="D86" s="137">
        <v>43.75</v>
      </c>
      <c r="E86" s="138"/>
      <c r="F86" s="138"/>
      <c r="G86" s="16" t="s">
        <v>864</v>
      </c>
      <c r="H86" s="1"/>
      <c r="M86" s="1"/>
      <c r="R86" s="3"/>
    </row>
    <row r="87" spans="1:18" ht="15.75">
      <c r="A87" s="1"/>
      <c r="B87" s="134"/>
      <c r="C87" s="16"/>
      <c r="D87" s="137">
        <v>9.8000000000000007</v>
      </c>
      <c r="E87" s="138"/>
      <c r="F87" s="138"/>
      <c r="G87" s="16" t="s">
        <v>867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53.55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765</v>
      </c>
      <c r="D107" s="137">
        <v>70.36</v>
      </c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768</v>
      </c>
      <c r="D109" s="137">
        <v>38.71</v>
      </c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5550.4915974244996</v>
      </c>
      <c r="B120" s="135">
        <f>SUM(B106:B119)</f>
        <v>678.47</v>
      </c>
      <c r="C120" s="17" t="s">
        <v>51</v>
      </c>
      <c r="D120" s="135">
        <f>SUM(D106:D119)</f>
        <v>658.47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83.1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868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5</v>
      </c>
      <c r="E186" s="138"/>
      <c r="F186" s="138"/>
      <c r="G186" s="16" t="s">
        <v>852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870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21.939999999999991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865</v>
      </c>
    </row>
    <row r="247" spans="1:7" ht="15" customHeight="1">
      <c r="A247" s="112"/>
      <c r="B247" s="134">
        <v>9.5</v>
      </c>
      <c r="C247" s="16" t="s">
        <v>872</v>
      </c>
      <c r="D247" s="137">
        <v>31.67</v>
      </c>
      <c r="E247" s="138"/>
      <c r="F247" s="344"/>
      <c r="G247" s="16" t="s">
        <v>873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805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394.04</v>
      </c>
      <c r="B260" s="135">
        <f>SUM(B246:B259)</f>
        <v>59.5</v>
      </c>
      <c r="C260" s="17" t="s">
        <v>51</v>
      </c>
      <c r="D260" s="135">
        <f>SUM(D246:D259)</f>
        <v>67.23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9" ht="15" customHeight="1" thickBot="1">
      <c r="B263" s="421"/>
      <c r="C263" s="422"/>
      <c r="D263" s="422"/>
      <c r="E263" s="422"/>
      <c r="F263" s="422"/>
      <c r="G263" s="423"/>
    </row>
    <row r="264" spans="1:9">
      <c r="B264" s="431" t="s">
        <v>8</v>
      </c>
      <c r="C264" s="432"/>
      <c r="D264" s="433" t="s">
        <v>9</v>
      </c>
      <c r="E264" s="433"/>
      <c r="F264" s="433"/>
      <c r="G264" s="432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3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60.239999999999775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852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130.23999999999978</v>
      </c>
      <c r="B300" s="135">
        <f>SUM(B286:B299)</f>
        <v>110</v>
      </c>
      <c r="C300" s="17" t="s">
        <v>51</v>
      </c>
      <c r="D300" s="135">
        <f>SUM(D286:D299)</f>
        <v>17.07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806</v>
      </c>
      <c r="D306" s="137">
        <v>98.62</v>
      </c>
      <c r="E306" s="138"/>
      <c r="F306" s="138"/>
      <c r="G306" s="16" t="s">
        <v>859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</f>
        <v>9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9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1219.6599999999999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-3202.1500000000005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-3202.1500000000005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1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8">
        <v>620.08000000000004</v>
      </c>
      <c r="L6" s="429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5.5999999999999943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>
        <f>'02'!A15+(B15-SUM(D15:F15))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2603.6691905564917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7"/>
      <c r="J26" s="411"/>
      <c r="K26" s="412"/>
      <c r="L26" s="199"/>
      <c r="M26" s="1"/>
      <c r="R26" s="3"/>
    </row>
    <row r="27" spans="1:18" ht="15.75">
      <c r="A27" s="112">
        <f>'02'!A27+(B27-SUM(D27:F27))</f>
        <v>438.09999999999991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7"/>
      <c r="J27" s="411"/>
      <c r="K27" s="412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5"/>
      <c r="J29" s="416"/>
      <c r="K29" s="417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226</v>
      </c>
      <c r="K30" s="410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7"/>
      <c r="J31" s="411" t="s">
        <v>224</v>
      </c>
      <c r="K31" s="4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 t="s">
        <v>233</v>
      </c>
      <c r="K35" s="4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01"/>
      <c r="M39" s="1"/>
      <c r="R39" s="3"/>
    </row>
    <row r="40" spans="1:18" ht="16.5" thickBot="1">
      <c r="A40" s="112">
        <f>SUM(A26:A35)</f>
        <v>1665.31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19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5"/>
      <c r="J44" s="416"/>
      <c r="K44" s="41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848</v>
      </c>
      <c r="K45" s="410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07"/>
      <c r="J46" s="411"/>
      <c r="K46" s="412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7"/>
      <c r="J47" s="411"/>
      <c r="K47" s="4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7"/>
      <c r="J48" s="411"/>
      <c r="K48" s="4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5"/>
      <c r="J49" s="416"/>
      <c r="K49" s="4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6" t="str">
        <f>AÑO!A13</f>
        <v>Gubernamental</v>
      </c>
      <c r="J50" s="409" t="s">
        <v>708</v>
      </c>
      <c r="K50" s="4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7"/>
      <c r="J51" s="411"/>
      <c r="K51" s="4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7"/>
      <c r="J52" s="411"/>
      <c r="K52" s="4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/>
      <c r="K55" s="4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849</v>
      </c>
      <c r="K60" s="4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5"/>
      <c r="J64" s="416"/>
      <c r="K64" s="417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07"/>
      <c r="J66" s="411"/>
      <c r="K66" s="4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7"/>
      <c r="J67" s="411"/>
      <c r="K67" s="4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7"/>
      <c r="J68" s="411"/>
      <c r="K68" s="4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8"/>
      <c r="J69" s="413"/>
      <c r="K69" s="4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766</v>
      </c>
      <c r="D106" s="137"/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6228.9615974244989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136.1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71.94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850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444.04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9" ht="15" customHeight="1" thickBot="1">
      <c r="B263" s="421"/>
      <c r="C263" s="422"/>
      <c r="D263" s="422"/>
      <c r="E263" s="422"/>
      <c r="F263" s="422"/>
      <c r="G263" s="423"/>
    </row>
    <row r="264" spans="1:9">
      <c r="B264" s="431" t="s">
        <v>8</v>
      </c>
      <c r="C264" s="432"/>
      <c r="D264" s="433" t="s">
        <v>9</v>
      </c>
      <c r="E264" s="433"/>
      <c r="F264" s="433"/>
      <c r="G264" s="432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3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120.23999999999978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240.23999999999978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620.08000000000004</v>
      </c>
      <c r="L6" s="429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30.599999999999994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556.5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2128.31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'03'!A29+(B29-SUM(D29:F29))</f>
        <v>20.250000000000004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234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252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 t="s">
        <v>226</v>
      </c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1644.37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 t="s">
        <v>246</v>
      </c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 t="s">
        <v>266</v>
      </c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 t="s">
        <v>58</v>
      </c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/>
      <c r="K45" s="410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06" t="str">
        <f>AÑO!A13</f>
        <v>Gubernamental</v>
      </c>
      <c r="J50" s="409" t="s">
        <v>255</v>
      </c>
      <c r="K50" s="41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41">
        <f>'03'!G307</f>
        <v>0</v>
      </c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42">
        <f>'03'!G309</f>
        <v>0</v>
      </c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 t="s">
        <v>270</v>
      </c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/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1595.4599999999998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116.94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713.17000000000007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</v>
      </c>
      <c r="L6" s="429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55.599999999999994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563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2329.4300000000003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'04'!A29+(B29-SUM(D29:F29))</f>
        <v>20.300000000000004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252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234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 t="s">
        <v>226</v>
      </c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1520.61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 t="s">
        <v>294</v>
      </c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/>
      <c r="K45" s="410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06" t="str">
        <f>AÑO!A13</f>
        <v>Gubernamental</v>
      </c>
      <c r="J50" s="409" t="s">
        <v>304</v>
      </c>
      <c r="K50" s="410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409</v>
      </c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410</v>
      </c>
      <c r="H55" s="1"/>
      <c r="I55" s="406" t="str">
        <f>AÑO!A14</f>
        <v>Mutualite/DKV</v>
      </c>
      <c r="J55" s="409" t="s">
        <v>298</v>
      </c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/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732.98999999999978</v>
      </c>
      <c r="B109" s="134">
        <f>67.53+120</f>
        <v>187.53</v>
      </c>
      <c r="C109" s="18" t="s">
        <v>416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103.37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414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1217.9299999999998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415</v>
      </c>
      <c r="D287" s="137">
        <v>54.8</v>
      </c>
      <c r="E287" s="138"/>
      <c r="F287" s="138"/>
      <c r="G287" s="16" t="s">
        <v>417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408</v>
      </c>
    </row>
    <row r="309" spans="2:7">
      <c r="B309" s="134">
        <v>170</v>
      </c>
      <c r="C309" s="16" t="s">
        <v>370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f>M5+2156.93</f>
        <v>1614.1099999999997</v>
      </c>
      <c r="L5" s="427"/>
      <c r="M5" s="1">
        <f>-542.82</f>
        <v>-542.82000000000005</v>
      </c>
      <c r="N5" s="1" t="s">
        <v>413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</v>
      </c>
      <c r="L6" s="429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80.599999999999994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569.5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2329.1000000000004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'05'!A29+(B29-SUM(D29:F29))</f>
        <v>20.350000000000005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428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252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 t="s">
        <v>226</v>
      </c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 t="s">
        <v>233</v>
      </c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1564.6699999999998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157</v>
      </c>
      <c r="K45" s="410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420</v>
      </c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432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27.2</v>
      </c>
      <c r="E48" s="138"/>
      <c r="F48" s="138"/>
      <c r="G48" s="16" t="s">
        <v>445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446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450</v>
      </c>
      <c r="H50" s="1"/>
      <c r="I50" s="406" t="str">
        <f>AÑO!A13</f>
        <v>Gubernamental</v>
      </c>
      <c r="J50" s="409" t="s">
        <v>441</v>
      </c>
      <c r="K50" s="410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457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459</v>
      </c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465</v>
      </c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470</v>
      </c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474</v>
      </c>
      <c r="H55" s="1"/>
      <c r="I55" s="406" t="str">
        <f>AÑO!A14</f>
        <v>Mutualite/DKV</v>
      </c>
      <c r="J55" s="409"/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/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429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442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>
        <v>-35</v>
      </c>
      <c r="C67" s="16" t="s">
        <v>430</v>
      </c>
      <c r="D67" s="137">
        <v>36.049999999999997</v>
      </c>
      <c r="E67" s="138"/>
      <c r="F67" s="138"/>
      <c r="G67" s="31" t="s">
        <v>453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454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456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800.51999999999975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>
        <v>-60</v>
      </c>
      <c r="C147" s="16" t="s">
        <v>422</v>
      </c>
      <c r="D147" s="137"/>
      <c r="E147" s="138"/>
      <c r="F147" s="138"/>
      <c r="G147" s="16" t="s">
        <v>423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53.72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449</v>
      </c>
    </row>
    <row r="247" spans="1:7" ht="15" customHeight="1">
      <c r="A247" s="112"/>
      <c r="B247" s="134">
        <f>-10</f>
        <v>-10</v>
      </c>
      <c r="C247" s="16" t="s">
        <v>477</v>
      </c>
      <c r="D247" s="137">
        <v>12.99</v>
      </c>
      <c r="E247" s="138"/>
      <c r="F247" s="138"/>
      <c r="G247" s="16" t="s">
        <v>457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1122.6100000000001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463</v>
      </c>
      <c r="H267" s="89" t="s">
        <v>462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439</v>
      </c>
    </row>
    <row r="308" spans="2:7">
      <c r="B308" s="134"/>
      <c r="C308" s="27"/>
      <c r="D308" s="137"/>
      <c r="E308" s="138"/>
      <c r="F308" s="138">
        <v>50</v>
      </c>
      <c r="G308" s="16" t="s">
        <v>440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470</v>
      </c>
    </row>
    <row r="369" spans="2:7">
      <c r="B369" s="134"/>
      <c r="C369" s="16"/>
      <c r="D369" s="137">
        <v>11</v>
      </c>
      <c r="E369" s="138"/>
      <c r="F369" s="138"/>
      <c r="G369" s="16" t="s">
        <v>471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</v>
      </c>
      <c r="L6" s="429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105.6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576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1877.7900000000002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'06'!A29+(B29-SUM(D29:F29))</f>
        <v>20.400000000000006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252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 t="s">
        <v>428</v>
      </c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 t="s">
        <v>489</v>
      </c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/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1608.73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 t="s">
        <v>476</v>
      </c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 t="s">
        <v>58</v>
      </c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/>
      <c r="K45" s="410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481</v>
      </c>
      <c r="H46" s="1"/>
      <c r="I46" s="407"/>
      <c r="J46" s="411"/>
      <c r="K46" s="412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487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8.1</v>
      </c>
      <c r="E48" s="138"/>
      <c r="F48" s="138"/>
      <c r="G48" s="16" t="s">
        <v>506</v>
      </c>
      <c r="H48" s="1"/>
      <c r="I48" s="407"/>
      <c r="J48" s="411"/>
      <c r="K48" s="412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484</v>
      </c>
      <c r="D49" s="137">
        <v>2.5499999999999998</v>
      </c>
      <c r="E49" s="138"/>
      <c r="F49" s="138"/>
      <c r="G49" s="16" t="s">
        <v>515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>
        <v>5</v>
      </c>
      <c r="C50" s="16" t="s">
        <v>511</v>
      </c>
      <c r="D50" s="137">
        <v>69.97</v>
      </c>
      <c r="E50" s="138"/>
      <c r="F50" s="138"/>
      <c r="G50" s="16" t="s">
        <v>526</v>
      </c>
      <c r="H50" s="1"/>
      <c r="I50" s="406" t="str">
        <f>AÑO!A13</f>
        <v>Gubernamental</v>
      </c>
      <c r="J50" s="409" t="s">
        <v>441</v>
      </c>
      <c r="K50" s="410"/>
      <c r="L50" s="231"/>
      <c r="M50" s="1"/>
      <c r="R50" s="3"/>
    </row>
    <row r="51" spans="1:18" ht="15.75">
      <c r="A51" s="112"/>
      <c r="B51" s="134">
        <v>-133.91</v>
      </c>
      <c r="C51" s="16" t="s">
        <v>529</v>
      </c>
      <c r="D51" s="137">
        <v>5.29</v>
      </c>
      <c r="E51" s="138"/>
      <c r="F51" s="138"/>
      <c r="G51" s="16" t="s">
        <v>528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09" t="s">
        <v>490</v>
      </c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11" t="s">
        <v>490</v>
      </c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 t="s">
        <v>490</v>
      </c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505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482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491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513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512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868.04999999999973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39.99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524</v>
      </c>
    </row>
    <row r="247" spans="1:7" ht="15" customHeight="1">
      <c r="A247" s="112"/>
      <c r="B247" s="134">
        <v>-5</v>
      </c>
      <c r="C247" s="16" t="s">
        <v>511</v>
      </c>
      <c r="D247" s="137">
        <v>20</v>
      </c>
      <c r="E247" s="138"/>
      <c r="F247" s="138"/>
      <c r="G247" s="16" t="s">
        <v>526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509</v>
      </c>
      <c r="D257" s="137"/>
      <c r="E257" s="138">
        <v>100.67</v>
      </c>
      <c r="F257" s="138"/>
      <c r="G257" s="16" t="s">
        <v>535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518</v>
      </c>
      <c r="D258" s="137">
        <v>349</v>
      </c>
      <c r="E258" s="138"/>
      <c r="F258" s="138"/>
      <c r="G258" s="16" t="s">
        <v>485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898.21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487</v>
      </c>
    </row>
    <row r="287" spans="2:8">
      <c r="B287" s="134"/>
      <c r="C287" s="16"/>
      <c r="D287" s="137"/>
      <c r="E287" s="138"/>
      <c r="F287" s="138">
        <v>50</v>
      </c>
      <c r="G287" s="16" t="s">
        <v>496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497</v>
      </c>
    </row>
    <row r="289" spans="2:8">
      <c r="B289" s="134"/>
      <c r="C289" s="16"/>
      <c r="D289" s="137">
        <v>26.31</v>
      </c>
      <c r="E289" s="138"/>
      <c r="F289" s="138"/>
      <c r="G289" s="16" t="s">
        <v>499</v>
      </c>
    </row>
    <row r="290" spans="2:8">
      <c r="B290" s="134"/>
      <c r="C290" s="16"/>
      <c r="D290" s="137"/>
      <c r="E290" s="138">
        <v>31.95</v>
      </c>
      <c r="F290" s="138"/>
      <c r="G290" s="16" t="s">
        <v>517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480</v>
      </c>
    </row>
    <row r="308" spans="2:7">
      <c r="B308" s="134">
        <f>37.49+14.27+14.27</f>
        <v>66.03</v>
      </c>
      <c r="C308" s="27" t="s">
        <v>490</v>
      </c>
      <c r="D308" s="137">
        <f>37.5+37.5</f>
        <v>75</v>
      </c>
      <c r="E308" s="138"/>
      <c r="F308" s="138"/>
      <c r="G308" s="16" t="s">
        <v>507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504</v>
      </c>
    </row>
    <row r="327" spans="2:7">
      <c r="B327" s="134">
        <v>100</v>
      </c>
      <c r="C327" s="16" t="s">
        <v>495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521</v>
      </c>
      <c r="D358" s="137">
        <v>64.3</v>
      </c>
      <c r="E358" s="138"/>
      <c r="F358" s="138"/>
      <c r="G358" s="16" t="s">
        <v>519</v>
      </c>
    </row>
    <row r="359" spans="1:7" ht="16.5" thickBot="1">
      <c r="A359" s="112"/>
      <c r="B359" s="135">
        <f>12.64+6.66</f>
        <v>19.3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479</v>
      </c>
    </row>
    <row r="407" spans="2:7">
      <c r="B407" s="134">
        <v>1</v>
      </c>
      <c r="C407" s="16" t="s">
        <v>476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55</v>
      </c>
      <c r="J4" s="105" t="s">
        <v>56</v>
      </c>
      <c r="K4" s="424" t="s">
        <v>57</v>
      </c>
      <c r="L4" s="425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3508.76</v>
      </c>
      <c r="L5" s="427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8">
        <v>620.12</v>
      </c>
      <c r="L6" s="429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8">
        <v>7490.36</v>
      </c>
      <c r="L7" s="429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8">
        <v>163.63</v>
      </c>
      <c r="L9" s="429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8">
        <v>1802.02</v>
      </c>
      <c r="L10" s="429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'07'!A12+(B12-SUM(D12:F12))</f>
        <v>130.6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582.5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3">
        <f>SUM(K5:K18)</f>
        <v>29166.850000000002</v>
      </c>
      <c r="L19" s="444"/>
      <c r="M19" s="1"/>
      <c r="N19" s="1"/>
      <c r="R19" s="3"/>
    </row>
    <row r="20" spans="1:18" ht="16.5" thickBot="1">
      <c r="A20" s="112">
        <f>SUM(A6:A15)</f>
        <v>1872.7100000000003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29</v>
      </c>
      <c r="J24" s="404" t="s">
        <v>85</v>
      </c>
      <c r="K24" s="40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6" t="str">
        <f>AÑO!A8</f>
        <v>Manolo Salario</v>
      </c>
      <c r="J25" s="409" t="s">
        <v>238</v>
      </c>
      <c r="K25" s="410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7"/>
      <c r="J26" s="411"/>
      <c r="K26" s="412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7"/>
      <c r="J27" s="411"/>
      <c r="K27" s="412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7"/>
      <c r="J28" s="411"/>
      <c r="K28" s="412"/>
      <c r="L28" s="229"/>
      <c r="M28" s="1"/>
      <c r="R28" s="3"/>
    </row>
    <row r="29" spans="1:18" ht="15.75">
      <c r="A29" s="112">
        <f>'07'!A29+(B29-SUM(D29:F29))</f>
        <v>20.450000000000006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5"/>
      <c r="J29" s="416"/>
      <c r="K29" s="417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6" t="str">
        <f>AÑO!A9</f>
        <v>Rocío Salario</v>
      </c>
      <c r="J30" s="409" t="s">
        <v>226</v>
      </c>
      <c r="K30" s="4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7"/>
      <c r="J31" s="411"/>
      <c r="K31" s="4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7"/>
      <c r="J32" s="411"/>
      <c r="K32" s="4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7"/>
      <c r="J33" s="411"/>
      <c r="K33" s="4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5"/>
      <c r="J34" s="416"/>
      <c r="K34" s="4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6" t="s">
        <v>204</v>
      </c>
      <c r="J35" s="409" t="s">
        <v>236</v>
      </c>
      <c r="K35" s="4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7"/>
      <c r="J36" s="411"/>
      <c r="K36" s="4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7"/>
      <c r="J37" s="411"/>
      <c r="K37" s="4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7"/>
      <c r="J38" s="411"/>
      <c r="K38" s="4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5"/>
      <c r="J39" s="416"/>
      <c r="K39" s="417"/>
      <c r="L39" s="230"/>
      <c r="M39" s="1"/>
      <c r="R39" s="3"/>
    </row>
    <row r="40" spans="1:18" ht="16.5" thickBot="1">
      <c r="A40" s="112">
        <f>SUM(A26:A35)</f>
        <v>1548.6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6" t="str">
        <f>AÑO!A11</f>
        <v>Finanazas</v>
      </c>
      <c r="J40" s="409"/>
      <c r="K40" s="4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7"/>
      <c r="J41" s="411"/>
      <c r="K41" s="412"/>
      <c r="L41" s="229"/>
      <c r="M41" s="1"/>
      <c r="R41" s="3"/>
    </row>
    <row r="42" spans="1:18" ht="15.6" customHeight="1">
      <c r="A42" s="1"/>
      <c r="B42" s="430" t="str">
        <f>AÑO!A22</f>
        <v>Supermercado</v>
      </c>
      <c r="C42" s="419"/>
      <c r="D42" s="419"/>
      <c r="E42" s="419"/>
      <c r="F42" s="419"/>
      <c r="G42" s="420"/>
      <c r="H42" s="1"/>
      <c r="I42" s="407"/>
      <c r="J42" s="411"/>
      <c r="K42" s="412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7"/>
      <c r="J43" s="411"/>
      <c r="K43" s="412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5"/>
      <c r="J44" s="416"/>
      <c r="K44" s="41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6" t="str">
        <f>AÑO!A12</f>
        <v>Regalos</v>
      </c>
      <c r="J45" s="409" t="s">
        <v>576</v>
      </c>
      <c r="K45" s="410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544</v>
      </c>
      <c r="H46" s="1"/>
      <c r="I46" s="407"/>
      <c r="J46" s="411" t="s">
        <v>577</v>
      </c>
      <c r="K46" s="412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541</v>
      </c>
      <c r="H47" s="1"/>
      <c r="I47" s="407"/>
      <c r="J47" s="411"/>
      <c r="K47" s="412"/>
      <c r="L47" s="229"/>
      <c r="M47" s="1"/>
      <c r="R47" s="3"/>
    </row>
    <row r="48" spans="1:18" ht="15.75">
      <c r="A48" s="1"/>
      <c r="B48" s="134"/>
      <c r="C48" s="16" t="s">
        <v>522</v>
      </c>
      <c r="D48" s="137">
        <v>22.34</v>
      </c>
      <c r="E48" s="138"/>
      <c r="F48" s="138"/>
      <c r="G48" s="16" t="s">
        <v>545</v>
      </c>
      <c r="H48" s="1">
        <f>22*8</f>
        <v>176</v>
      </c>
      <c r="I48" s="407"/>
      <c r="J48" s="411"/>
      <c r="K48" s="412"/>
      <c r="L48" s="229"/>
      <c r="M48" s="1"/>
      <c r="R48" s="3"/>
    </row>
    <row r="49" spans="1:18" ht="15.75">
      <c r="A49" s="1"/>
      <c r="B49" s="134">
        <v>23.87</v>
      </c>
      <c r="C49" s="16" t="s">
        <v>529</v>
      </c>
      <c r="D49" s="137">
        <v>49.31</v>
      </c>
      <c r="E49" s="138"/>
      <c r="F49" s="138"/>
      <c r="G49" s="16" t="s">
        <v>551</v>
      </c>
      <c r="H49" s="1"/>
      <c r="I49" s="415"/>
      <c r="J49" s="416"/>
      <c r="K49" s="41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558</v>
      </c>
      <c r="H50" s="1"/>
      <c r="I50" s="406" t="str">
        <f>AÑO!A13</f>
        <v>Gubernamental</v>
      </c>
      <c r="J50" s="409" t="s">
        <v>441</v>
      </c>
      <c r="K50" s="410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559</v>
      </c>
      <c r="H51" s="1"/>
      <c r="I51" s="407"/>
      <c r="J51" s="411"/>
      <c r="K51" s="4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7"/>
      <c r="J52" s="411"/>
      <c r="K52" s="4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7"/>
      <c r="J53" s="411"/>
      <c r="K53" s="4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5"/>
      <c r="J54" s="416"/>
      <c r="K54" s="4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6" t="str">
        <f>AÑO!A14</f>
        <v>Mutualite/DKV</v>
      </c>
      <c r="J55" s="445">
        <v>43692</v>
      </c>
      <c r="K55" s="4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7"/>
      <c r="J56" s="446">
        <v>43696</v>
      </c>
      <c r="K56" s="4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7"/>
      <c r="J57" s="411"/>
      <c r="K57" s="4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7"/>
      <c r="J58" s="411"/>
      <c r="K58" s="4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5"/>
      <c r="J59" s="416"/>
      <c r="K59" s="41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6" t="str">
        <f>AÑO!A15</f>
        <v>Alquiler Cartama</v>
      </c>
      <c r="J60" s="409" t="s">
        <v>37</v>
      </c>
      <c r="K60" s="4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7"/>
      <c r="J61" s="411"/>
      <c r="K61" s="412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7"/>
      <c r="J62" s="411"/>
      <c r="K62" s="412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7"/>
      <c r="J63" s="411"/>
      <c r="K63" s="412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5"/>
      <c r="J64" s="416"/>
      <c r="K64" s="417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6" t="str">
        <f>AÑO!A16</f>
        <v>Otros</v>
      </c>
      <c r="J65" s="409"/>
      <c r="K65" s="410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550</v>
      </c>
      <c r="H66" s="1"/>
      <c r="I66" s="407"/>
      <c r="J66" s="411"/>
      <c r="K66" s="412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549</v>
      </c>
      <c r="H67" s="1"/>
      <c r="I67" s="407"/>
      <c r="J67" s="411"/>
      <c r="K67" s="412"/>
      <c r="L67" s="229"/>
      <c r="M67" s="1"/>
      <c r="R67" s="3"/>
    </row>
    <row r="68" spans="1:18" ht="15.75">
      <c r="A68" s="1"/>
      <c r="B68" s="134">
        <v>10</v>
      </c>
      <c r="C68" s="16" t="s">
        <v>529</v>
      </c>
      <c r="D68" s="137">
        <v>19.5</v>
      </c>
      <c r="E68" s="138"/>
      <c r="F68" s="138">
        <v>5.5</v>
      </c>
      <c r="G68" s="16" t="s">
        <v>555</v>
      </c>
      <c r="H68" s="1"/>
      <c r="I68" s="407"/>
      <c r="J68" s="411"/>
      <c r="K68" s="412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556</v>
      </c>
      <c r="H69" s="1"/>
      <c r="I69" s="408"/>
      <c r="J69" s="413"/>
      <c r="K69" s="414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Coches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1485.5799999999997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493</v>
      </c>
    </row>
    <row r="207" spans="2:12">
      <c r="B207" s="134"/>
      <c r="C207" s="16"/>
      <c r="D207" s="137">
        <v>23</v>
      </c>
      <c r="E207" s="138"/>
      <c r="F207" s="138"/>
      <c r="G207" s="16" t="s">
        <v>562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27.22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542</v>
      </c>
    </row>
    <row r="247" spans="1:7" ht="15" customHeight="1">
      <c r="A247" s="112"/>
      <c r="B247" s="134">
        <v>12.12</v>
      </c>
      <c r="C247" s="16" t="s">
        <v>529</v>
      </c>
      <c r="D247" s="137">
        <v>16.52</v>
      </c>
      <c r="E247" s="138"/>
      <c r="F247" s="138"/>
      <c r="G247" s="16" t="s">
        <v>557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970.44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1:8" ht="15" customHeight="1" thickBot="1">
      <c r="B283" s="421"/>
      <c r="C283" s="422"/>
      <c r="D283" s="422"/>
      <c r="E283" s="422"/>
      <c r="F283" s="422"/>
      <c r="G283" s="423"/>
    </row>
    <row r="284" spans="1:8">
      <c r="B284" s="431" t="s">
        <v>8</v>
      </c>
      <c r="C284" s="432"/>
      <c r="D284" s="431" t="s">
        <v>9</v>
      </c>
      <c r="E284" s="433"/>
      <c r="F284" s="433"/>
      <c r="G284" s="43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113.0499999999997</v>
      </c>
      <c r="B286" s="133">
        <v>70</v>
      </c>
      <c r="C286" s="19" t="s">
        <v>31</v>
      </c>
      <c r="D286" s="137"/>
      <c r="E286" s="138"/>
      <c r="F286" s="138"/>
      <c r="G286" s="16" t="s">
        <v>492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133.0499999999997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1:8" ht="15" customHeight="1" thickBot="1">
      <c r="B303" s="421"/>
      <c r="C303" s="422"/>
      <c r="D303" s="422"/>
      <c r="E303" s="422"/>
      <c r="F303" s="422"/>
      <c r="G303" s="423"/>
    </row>
    <row r="304" spans="1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v>35.96</v>
      </c>
      <c r="E306" s="138"/>
      <c r="F306" s="138"/>
      <c r="G306" s="16" t="s">
        <v>552</v>
      </c>
    </row>
    <row r="307" spans="2:7">
      <c r="B307" s="134">
        <v>13.15</v>
      </c>
      <c r="C307" s="27" t="s">
        <v>560</v>
      </c>
      <c r="D307" s="137"/>
      <c r="E307" s="138"/>
      <c r="F307" s="138">
        <v>70</v>
      </c>
      <c r="G307" s="16" t="s">
        <v>554</v>
      </c>
    </row>
    <row r="308" spans="2:7">
      <c r="B308" s="134">
        <v>14.27</v>
      </c>
      <c r="C308" s="27" t="s">
        <v>572</v>
      </c>
      <c r="D308" s="137">
        <v>8.68</v>
      </c>
      <c r="E308" s="138"/>
      <c r="F308" s="138"/>
      <c r="G308" s="16" t="s">
        <v>567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540</v>
      </c>
    </row>
    <row r="327" spans="2:7">
      <c r="B327" s="134">
        <v>192.98</v>
      </c>
      <c r="C327" s="16" t="s">
        <v>579</v>
      </c>
      <c r="D327" s="137">
        <v>10</v>
      </c>
      <c r="E327" s="138"/>
      <c r="F327" s="138"/>
      <c r="G327" s="16" t="s">
        <v>542</v>
      </c>
    </row>
    <row r="328" spans="2:7">
      <c r="B328" s="134"/>
      <c r="C328" s="16"/>
      <c r="D328" s="137">
        <v>187.13</v>
      </c>
      <c r="E328" s="138"/>
      <c r="F328" s="138"/>
      <c r="G328" s="16" t="s">
        <v>546</v>
      </c>
    </row>
    <row r="329" spans="2:7">
      <c r="B329" s="134"/>
      <c r="C329" s="16"/>
      <c r="D329" s="137">
        <v>32.14</v>
      </c>
      <c r="E329" s="138"/>
      <c r="F329" s="138"/>
      <c r="G329" s="16" t="s">
        <v>570</v>
      </c>
    </row>
    <row r="330" spans="2:7">
      <c r="B330" s="134"/>
      <c r="C330" s="16"/>
      <c r="D330" s="137">
        <v>7.49</v>
      </c>
      <c r="E330" s="138"/>
      <c r="F330" s="138"/>
      <c r="G330" s="16" t="s">
        <v>571</v>
      </c>
    </row>
    <row r="331" spans="2:7">
      <c r="B331" s="134"/>
      <c r="C331" s="16"/>
      <c r="D331" s="137"/>
      <c r="E331" s="138">
        <v>192.98</v>
      </c>
      <c r="F331" s="138"/>
      <c r="G331" s="16" t="s">
        <v>574</v>
      </c>
    </row>
    <row r="332" spans="2:7">
      <c r="B332" s="134"/>
      <c r="C332" s="16"/>
      <c r="D332" s="137"/>
      <c r="E332" s="138">
        <v>96.65</v>
      </c>
      <c r="F332" s="138"/>
      <c r="G332" s="16" t="s">
        <v>575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Imprevistos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NULO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529</v>
      </c>
      <c r="D506" s="137">
        <v>23.43</v>
      </c>
      <c r="E506" s="138"/>
      <c r="F506" s="138"/>
      <c r="G506" s="16" t="s">
        <v>553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2020-02-18T13:09:49Z</dcterms:modified>
</cp:coreProperties>
</file>