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2D0290DF-6CA3-4F8B-8AE4-372D89C4330F}" xr6:coauthVersionLast="41" xr6:coauthVersionMax="41" xr10:uidLastSave="{00000000-0000-0000-0000-000000000000}"/>
  <bookViews>
    <workbookView xWindow="-108" yWindow="12852" windowWidth="22164" windowHeight="13176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7" i="12" l="1"/>
  <c r="P32" i="18"/>
  <c r="A359" i="12" l="1"/>
  <c r="A358" i="12"/>
  <c r="A346" i="12"/>
  <c r="A299" i="12"/>
  <c r="A300" i="12" s="1"/>
  <c r="A286" i="12"/>
  <c r="A257" i="12"/>
  <c r="A256" i="12"/>
  <c r="A246" i="12"/>
  <c r="A129" i="12"/>
  <c r="A126" i="12"/>
  <c r="A79" i="12"/>
  <c r="A66" i="12"/>
  <c r="A360" i="12" l="1"/>
  <c r="A260" i="12"/>
  <c r="A80" i="12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2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467" i="11"/>
  <c r="A466" i="11"/>
  <c r="A359" i="11"/>
  <c r="A358" i="11"/>
  <c r="A346" i="11"/>
  <c r="A299" i="11"/>
  <c r="A256" i="11"/>
  <c r="H257" i="11"/>
  <c r="A108" i="11"/>
  <c r="A109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A286" i="11"/>
  <c r="A300" i="11" s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80" i="11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<sst xmlns="http://schemas.openxmlformats.org/spreadsheetml/2006/main" count="5697" uniqueCount="838">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</sst>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AH1" activePane="topRight" state="frozen"/>
      <selection pane="topRight" activeCell="AM33" sqref="AM3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17864.099999999999</v>
      </c>
      <c r="AR5" s="387"/>
      <c r="AS5" s="387"/>
      <c r="AT5" s="388"/>
      <c r="AU5" s="386">
        <f>'12'!K19</f>
        <v>15101.890000000001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230</v>
      </c>
      <c r="D7" s="384"/>
      <c r="E7" s="384"/>
      <c r="F7" s="385"/>
      <c r="G7" s="383" t="s">
        <v>230</v>
      </c>
      <c r="H7" s="384"/>
      <c r="I7" s="384"/>
      <c r="J7" s="385"/>
      <c r="K7" s="383" t="s">
        <v>230</v>
      </c>
      <c r="L7" s="384"/>
      <c r="M7" s="384"/>
      <c r="N7" s="385"/>
      <c r="O7" s="383" t="s">
        <v>230</v>
      </c>
      <c r="P7" s="384"/>
      <c r="Q7" s="384"/>
      <c r="R7" s="385"/>
      <c r="S7" s="383" t="s">
        <v>230</v>
      </c>
      <c r="T7" s="384"/>
      <c r="U7" s="384"/>
      <c r="V7" s="385"/>
      <c r="W7" s="383" t="s">
        <v>230</v>
      </c>
      <c r="X7" s="384"/>
      <c r="Y7" s="384"/>
      <c r="Z7" s="385"/>
      <c r="AA7" s="383" t="s">
        <v>230</v>
      </c>
      <c r="AB7" s="384"/>
      <c r="AC7" s="384"/>
      <c r="AD7" s="385"/>
      <c r="AE7" s="383" t="s">
        <v>230</v>
      </c>
      <c r="AF7" s="384"/>
      <c r="AG7" s="384"/>
      <c r="AH7" s="385"/>
      <c r="AI7" s="383" t="s">
        <v>230</v>
      </c>
      <c r="AJ7" s="384"/>
      <c r="AK7" s="384"/>
      <c r="AL7" s="385"/>
      <c r="AM7" s="383" t="s">
        <v>230</v>
      </c>
      <c r="AN7" s="384"/>
      <c r="AO7" s="384"/>
      <c r="AP7" s="385"/>
      <c r="AQ7" s="383" t="s">
        <v>230</v>
      </c>
      <c r="AR7" s="384"/>
      <c r="AS7" s="384"/>
      <c r="AT7" s="385"/>
      <c r="AU7" s="383" t="s">
        <v>230</v>
      </c>
      <c r="AV7" s="384"/>
      <c r="AW7" s="384"/>
      <c r="AX7" s="385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0</v>
      </c>
      <c r="AN8" s="391"/>
      <c r="AO8" s="391"/>
      <c r="AP8" s="392"/>
      <c r="AQ8" s="390">
        <f>SUM('11'!L25:'11'!L29)</f>
        <v>0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0</v>
      </c>
      <c r="AN9" s="378"/>
      <c r="AO9" s="378"/>
      <c r="AP9" s="379"/>
      <c r="AQ9" s="377">
        <f>SUM('11'!L30:'11'!L34)</f>
        <v>0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5362.3900000000012</v>
      </c>
      <c r="BA9" s="112">
        <f t="shared" ca="1" si="0"/>
        <v>536.23900000000015</v>
      </c>
      <c r="BB9" s="1"/>
      <c r="BC9" s="1"/>
    </row>
    <row r="10" spans="1:55" ht="15.75">
      <c r="A10" s="190" t="s">
        <v>218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0</v>
      </c>
      <c r="AN11" s="378"/>
      <c r="AO11" s="378"/>
      <c r="AP11" s="379"/>
      <c r="AQ11" s="377">
        <f>SUM('11'!L40:'11'!L44)</f>
        <v>0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407.34</v>
      </c>
      <c r="BA11" s="112">
        <f t="shared" ca="1" si="0"/>
        <v>40.733999999999995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0</v>
      </c>
      <c r="AN13" s="378"/>
      <c r="AO13" s="378"/>
      <c r="AP13" s="379"/>
      <c r="AQ13" s="377">
        <f>SUM('11'!L50:'11'!L54)</f>
        <v>0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6281.9000000000005</v>
      </c>
      <c r="BA13" s="112">
        <f t="shared" ca="1" si="0"/>
        <v>628.19000000000005</v>
      </c>
      <c r="BB13" s="1"/>
      <c r="BC13" s="1"/>
    </row>
    <row r="14" spans="1:55" ht="15.75">
      <c r="A14" s="190" t="s">
        <v>216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0</v>
      </c>
      <c r="AN14" s="394"/>
      <c r="AO14" s="394"/>
      <c r="AP14" s="395"/>
      <c r="AQ14" s="393">
        <f>SUM('11'!L55:'11'!L59)</f>
        <v>0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0</v>
      </c>
      <c r="AN15" s="378"/>
      <c r="AO15" s="378"/>
      <c r="AP15" s="379"/>
      <c r="AQ15" s="377">
        <f>SUM('11'!L60:'11'!L64)</f>
        <v>0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4937.7900000000009</v>
      </c>
      <c r="BA15" s="112">
        <f t="shared" ca="1" si="0"/>
        <v>493.77900000000011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0</v>
      </c>
      <c r="AN17" s="374"/>
      <c r="AO17" s="374"/>
      <c r="AP17" s="375"/>
      <c r="AQ17" s="373">
        <f>SUM(AQ8:AQ16)</f>
        <v>0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45177.909999999996</v>
      </c>
      <c r="BA17" s="112">
        <f ca="1">AZ17/BC$17</f>
        <v>4517.7909999999993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54213.491999999991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0</v>
      </c>
      <c r="AP20" s="145">
        <f t="shared" ref="AP20:AP45" si="11">AL20+AN20-AO20</f>
        <v>1122.5999999999999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1627.78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2171.7799999999997</v>
      </c>
      <c r="AZ20" s="123">
        <f t="shared" ref="AZ20:AZ27" si="14">E20+I20+M20+Q20+U20+Y20+AC20+AG20+AK20+AO20+AS20+AW20</f>
        <v>5152.6400000000003</v>
      </c>
      <c r="BA20" s="21">
        <f t="shared" ref="BA20:BA45" si="15">AZ20/AZ$46</f>
        <v>0.12413867207874885</v>
      </c>
      <c r="BB20" s="22">
        <f>_xlfn.RANK.EQ(BA20,$BA$20:$BA$45,)</f>
        <v>2</v>
      </c>
      <c r="BC20" s="22">
        <f t="shared" ref="BC20:BC45" ca="1" si="16">AZ20/BC$17</f>
        <v>515.26400000000001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0.12896701064746019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673.82000000000028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1512.0799999999992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2660.079999999999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3788.079999999999</v>
      </c>
      <c r="AZ21" s="152">
        <f t="shared" si="14"/>
        <v>10645.78</v>
      </c>
      <c r="BA21" s="21">
        <f t="shared" si="15"/>
        <v>0.25648075402948839</v>
      </c>
      <c r="BB21" s="22">
        <f t="shared" ref="BB21:BB45" si="20">_xlfn.RANK.EQ(BA21,$BA$20:$BA$45,)</f>
        <v>1</v>
      </c>
      <c r="BC21" s="22">
        <f t="shared" ca="1" si="16"/>
        <v>1064.578</v>
      </c>
      <c r="BE21" s="224">
        <f t="shared" ca="1" si="17"/>
        <v>11505</v>
      </c>
      <c r="BF21" s="21">
        <f t="shared" ca="1" si="18"/>
        <v>0.25465985478301217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859.21999999999957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804.98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1104.98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1594.98</v>
      </c>
      <c r="AZ22" s="157">
        <f t="shared" si="14"/>
        <v>2627.3199999999997</v>
      </c>
      <c r="BA22" s="21">
        <f t="shared" si="15"/>
        <v>6.329804060169901E-2</v>
      </c>
      <c r="BB22" s="22">
        <f t="shared" si="20"/>
        <v>6</v>
      </c>
      <c r="BC22" s="22">
        <f t="shared" ca="1" si="16"/>
        <v>262.73199999999997</v>
      </c>
      <c r="BE22" s="225">
        <f t="shared" ca="1" si="17"/>
        <v>3186.23</v>
      </c>
      <c r="BF22" s="21">
        <f t="shared" ca="1" si="18"/>
        <v>7.0526281538920196E-2</v>
      </c>
      <c r="BG22" s="22">
        <f t="shared" ca="1" si="21"/>
        <v>7</v>
      </c>
      <c r="BH22" s="22">
        <f t="shared" ca="1" si="19"/>
        <v>318.62299999999999</v>
      </c>
      <c r="BJ22" s="225">
        <f t="shared" ca="1" si="22"/>
        <v>558.90999999999985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0</v>
      </c>
      <c r="AP23" s="151">
        <f t="shared" si="11"/>
        <v>314.93000000000006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499.93000000000006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649.93000000000006</v>
      </c>
      <c r="AZ23" s="152">
        <f t="shared" si="14"/>
        <v>1637.1999999999998</v>
      </c>
      <c r="BA23" s="21">
        <f t="shared" si="15"/>
        <v>3.944382567525144E-2</v>
      </c>
      <c r="BB23" s="22">
        <f t="shared" si="20"/>
        <v>8</v>
      </c>
      <c r="BC23" s="22">
        <f t="shared" ca="1" si="16"/>
        <v>163.71999999999997</v>
      </c>
      <c r="BE23" s="224">
        <f t="shared" ca="1" si="17"/>
        <v>1910</v>
      </c>
      <c r="BF23" s="21">
        <f t="shared" ca="1" si="18"/>
        <v>4.2277298794919885E-2</v>
      </c>
      <c r="BG23" s="22">
        <f t="shared" ca="1" si="21"/>
        <v>9</v>
      </c>
      <c r="BH23" s="22">
        <f t="shared" ca="1" si="19"/>
        <v>191</v>
      </c>
      <c r="BJ23" s="224">
        <f t="shared" ca="1" si="22"/>
        <v>272.80000000000007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356.42999999999995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506.42999999999995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666.43</v>
      </c>
      <c r="AZ24" s="157">
        <f t="shared" si="14"/>
        <v>1253.5700000000002</v>
      </c>
      <c r="BA24" s="21">
        <f t="shared" si="15"/>
        <v>3.0201317219475301E-2</v>
      </c>
      <c r="BB24" s="22">
        <f t="shared" si="20"/>
        <v>11</v>
      </c>
      <c r="BC24" s="22">
        <f t="shared" ca="1" si="16"/>
        <v>125.35700000000001</v>
      </c>
      <c r="BE24" s="225">
        <f t="shared" ca="1" si="17"/>
        <v>1610</v>
      </c>
      <c r="BF24" s="21">
        <f t="shared" ca="1" si="18"/>
        <v>3.5636885371634036E-2</v>
      </c>
      <c r="BG24" s="22">
        <f t="shared" ca="1" si="21"/>
        <v>11</v>
      </c>
      <c r="BH24" s="22">
        <f t="shared" ca="1" si="19"/>
        <v>161</v>
      </c>
      <c r="BJ24" s="225">
        <f t="shared" ca="1" si="22"/>
        <v>356.42999999999995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457.47</v>
      </c>
      <c r="AO25" s="150">
        <f>SUM('10'!D120:F120)</f>
        <v>0</v>
      </c>
      <c r="AP25" s="151">
        <f t="shared" si="11"/>
        <v>4532.949999999998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4990.4199999999983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5395.4199999999983</v>
      </c>
      <c r="AZ25" s="152">
        <f t="shared" si="14"/>
        <v>3010.4200000000005</v>
      </c>
      <c r="BA25" s="21">
        <f t="shared" si="15"/>
        <v>7.2527780166925529E-2</v>
      </c>
      <c r="BB25" s="22">
        <f t="shared" si="20"/>
        <v>5</v>
      </c>
      <c r="BC25" s="22">
        <f t="shared" ca="1" si="16"/>
        <v>301.04200000000003</v>
      </c>
      <c r="BE25" s="224">
        <f t="shared" ca="1" si="17"/>
        <v>4380.82</v>
      </c>
      <c r="BF25" s="21">
        <f t="shared" ca="1" si="18"/>
        <v>9.6968186443330315E-2</v>
      </c>
      <c r="BG25" s="22">
        <f t="shared" ca="1" si="21"/>
        <v>4</v>
      </c>
      <c r="BH25" s="22">
        <f t="shared" ca="1" si="19"/>
        <v>438.08199999999999</v>
      </c>
      <c r="BJ25" s="224">
        <f t="shared" ca="1" si="22"/>
        <v>1370.3999999999996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10</v>
      </c>
      <c r="AP26" s="156">
        <f t="shared" si="11"/>
        <v>75.559999999999974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128.55999999999997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176.55999999999997</v>
      </c>
      <c r="AZ26" s="157">
        <f t="shared" si="14"/>
        <v>469.43000000000006</v>
      </c>
      <c r="BA26" s="21">
        <f t="shared" si="15"/>
        <v>1.1309623190039877E-2</v>
      </c>
      <c r="BB26" s="22">
        <f t="shared" si="20"/>
        <v>16</v>
      </c>
      <c r="BC26" s="22">
        <f t="shared" ca="1" si="16"/>
        <v>46.943000000000005</v>
      </c>
      <c r="BE26" s="225">
        <f t="shared" ca="1" si="17"/>
        <v>525.45000000000005</v>
      </c>
      <c r="BF26" s="21">
        <f t="shared" ca="1" si="18"/>
        <v>1.1630684110885159E-2</v>
      </c>
      <c r="BG26" s="22">
        <f t="shared" ca="1" si="21"/>
        <v>16</v>
      </c>
      <c r="BH26" s="22">
        <f t="shared" ca="1" si="19"/>
        <v>52.545000000000002</v>
      </c>
      <c r="BJ26" s="225">
        <f t="shared" ca="1" si="22"/>
        <v>56.020000000000024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8.4732430307756738E-3</v>
      </c>
      <c r="BB27" s="22">
        <f t="shared" si="20"/>
        <v>18</v>
      </c>
      <c r="BC27" s="22">
        <f t="shared" ca="1" si="16"/>
        <v>35.17</v>
      </c>
      <c r="BE27" s="224">
        <f t="shared" ca="1" si="17"/>
        <v>440</v>
      </c>
      <c r="BF27" s="21">
        <f t="shared" ca="1" si="18"/>
        <v>9.7392730208192401E-3</v>
      </c>
      <c r="BG27" s="22">
        <f t="shared" ca="1" si="21"/>
        <v>18</v>
      </c>
      <c r="BH27" s="22">
        <f t="shared" ca="1" si="19"/>
        <v>44</v>
      </c>
      <c r="BJ27" s="224">
        <f t="shared" ca="1" si="22"/>
        <v>88.300000000000011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8.1915805790475013E-2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8.1456623380762802E-2</v>
      </c>
      <c r="BG28" s="22">
        <f t="shared" ca="1" si="21"/>
        <v>6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140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210</v>
      </c>
      <c r="AZ29" s="152">
        <f t="shared" si="23"/>
        <v>823.99</v>
      </c>
      <c r="BA29" s="21">
        <f t="shared" si="15"/>
        <v>1.9851770045291008E-2</v>
      </c>
      <c r="BB29" s="22">
        <f t="shared" si="20"/>
        <v>13</v>
      </c>
      <c r="BC29" s="22">
        <f t="shared" ca="1" si="16"/>
        <v>82.399000000000001</v>
      </c>
      <c r="BE29" s="224">
        <f t="shared" ca="1" si="17"/>
        <v>940.66000000000008</v>
      </c>
      <c r="BF29" s="21">
        <f t="shared" ca="1" si="18"/>
        <v>2.082123763582688E-2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116.66999999999993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5.8483927942018623E-3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8.6325374502715987E-3</v>
      </c>
      <c r="BG30" s="22">
        <f t="shared" ca="1" si="21"/>
        <v>19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4.8020665365203496E-3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4.426942282190564E-3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569.77999999999975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664.77999999999975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714.77999999999975</v>
      </c>
      <c r="AZ32" s="157">
        <f t="shared" si="23"/>
        <v>1653.3000000000002</v>
      </c>
      <c r="BA32" s="21">
        <f t="shared" si="15"/>
        <v>3.9831710841004897E-2</v>
      </c>
      <c r="BB32" s="22">
        <f t="shared" si="20"/>
        <v>7</v>
      </c>
      <c r="BC32" s="22">
        <f t="shared" ca="1" si="16"/>
        <v>165.33</v>
      </c>
      <c r="BE32" s="225">
        <f t="shared" ca="1" si="17"/>
        <v>2237.33</v>
      </c>
      <c r="BF32" s="21">
        <f t="shared" ca="1" si="18"/>
        <v>4.9522653881067066E-2</v>
      </c>
      <c r="BG32" s="22">
        <f t="shared" ca="1" si="21"/>
        <v>8</v>
      </c>
      <c r="BH32" s="22">
        <f t="shared" ca="1" si="19"/>
        <v>223.733</v>
      </c>
      <c r="BJ32" s="225">
        <f t="shared" ca="1" si="22"/>
        <v>584.02999999999975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0.10802601866233583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0.10119857248819164</v>
      </c>
      <c r="BG33" s="22">
        <f t="shared" ca="1" si="21"/>
        <v>3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174.35999999999981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264.35999999999979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354.35999999999979</v>
      </c>
      <c r="AZ34" s="152">
        <f t="shared" si="23"/>
        <v>1251.6500000000001</v>
      </c>
      <c r="BA34" s="21">
        <f t="shared" si="15"/>
        <v>3.0155060106540725E-2</v>
      </c>
      <c r="BB34" s="22">
        <f t="shared" si="20"/>
        <v>12</v>
      </c>
      <c r="BC34" s="22">
        <f t="shared" ca="1" si="16"/>
        <v>125.16500000000001</v>
      </c>
      <c r="BE34" s="225">
        <f t="shared" ca="1" si="17"/>
        <v>1324.4099999999999</v>
      </c>
      <c r="BF34" s="21">
        <f t="shared" ca="1" si="18"/>
        <v>2.9315433139780019E-2</v>
      </c>
      <c r="BG34" s="22">
        <f t="shared" ca="1" si="21"/>
        <v>13</v>
      </c>
      <c r="BH34" s="22">
        <f t="shared" ca="1" si="19"/>
        <v>132.44099999999997</v>
      </c>
      <c r="BJ34" s="225">
        <f t="shared" ca="1" si="22"/>
        <v>72.759999999999906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1880.2800000000004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2010.2800000000004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2125.2800000000007</v>
      </c>
      <c r="AZ35" s="188">
        <f t="shared" si="23"/>
        <v>1278.75</v>
      </c>
      <c r="BA35" s="21">
        <f t="shared" si="15"/>
        <v>3.0807959981815163E-2</v>
      </c>
      <c r="BB35" s="22">
        <f t="shared" si="20"/>
        <v>9</v>
      </c>
      <c r="BC35" s="22">
        <f t="shared" ca="1" si="16"/>
        <v>127.875</v>
      </c>
      <c r="BE35" s="224">
        <f t="shared" ca="1" si="17"/>
        <v>1669.43</v>
      </c>
      <c r="BF35" s="21">
        <f t="shared" ca="1" si="18"/>
        <v>3.6952351270786964E-2</v>
      </c>
      <c r="BG35" s="22">
        <f t="shared" ca="1" si="21"/>
        <v>10</v>
      </c>
      <c r="BH35" s="22">
        <f t="shared" ca="1" si="19"/>
        <v>166.94300000000001</v>
      </c>
      <c r="BJ35" s="224">
        <f t="shared" ca="1" si="22"/>
        <v>390.68000000000006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405.49000000000012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585.49000000000012</v>
      </c>
      <c r="AZ36" s="182">
        <f t="shared" si="23"/>
        <v>1254.4699999999998</v>
      </c>
      <c r="BA36" s="21">
        <f t="shared" si="15"/>
        <v>3.0223000241163374E-2</v>
      </c>
      <c r="BB36" s="22">
        <f t="shared" si="20"/>
        <v>10</v>
      </c>
      <c r="BC36" s="22">
        <f t="shared" ca="1" si="16"/>
        <v>125.44699999999997</v>
      </c>
      <c r="BE36" s="223">
        <f t="shared" ca="1" si="17"/>
        <v>1558.97</v>
      </c>
      <c r="BF36" s="21">
        <f t="shared" ca="1" si="18"/>
        <v>3.4507351048333114E-2</v>
      </c>
      <c r="BG36" s="22">
        <f t="shared" ca="1" si="21"/>
        <v>12</v>
      </c>
      <c r="BH36" s="22">
        <f t="shared" ca="1" si="19"/>
        <v>155.89699999999999</v>
      </c>
      <c r="BJ36" s="223">
        <f t="shared" ca="1" si="22"/>
        <v>304.50000000000006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1.0406645797962901E-2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1.1605229192762561E-2</v>
      </c>
      <c r="BG37" s="22">
        <f t="shared" ca="1" si="21"/>
        <v>17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183.73000000000008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248.73000000000008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318.73000000000008</v>
      </c>
      <c r="AZ38" s="157">
        <f t="shared" si="23"/>
        <v>575.47</v>
      </c>
      <c r="BA38" s="21">
        <f t="shared" si="15"/>
        <v>1.3864364989822226E-2</v>
      </c>
      <c r="BB38" s="22">
        <f t="shared" si="20"/>
        <v>14</v>
      </c>
      <c r="BC38" s="22">
        <f t="shared" ca="1" si="16"/>
        <v>57.547000000000004</v>
      </c>
      <c r="BE38" s="225">
        <f t="shared" ca="1" si="17"/>
        <v>720</v>
      </c>
      <c r="BF38" s="21">
        <f t="shared" ca="1" si="18"/>
        <v>1.5936992215886028E-2</v>
      </c>
      <c r="BG38" s="22">
        <f t="shared" ca="1" si="21"/>
        <v>15</v>
      </c>
      <c r="BH38" s="22">
        <f t="shared" ca="1" si="19"/>
        <v>72</v>
      </c>
      <c r="BJ38" s="225">
        <f t="shared" ca="1" si="22"/>
        <v>144.53000000000003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56.259999999999991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76.259999999999991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-1138.74</v>
      </c>
      <c r="BF39" s="21">
        <f t="shared" ca="1" si="18"/>
        <v>-2.5205681272108413E-2</v>
      </c>
      <c r="BG39" s="22">
        <f t="shared" ca="1" si="21"/>
        <v>25</v>
      </c>
      <c r="BH39" s="22">
        <f t="shared" ca="1" si="19"/>
        <v>-113.874</v>
      </c>
      <c r="BJ39" s="224">
        <f t="shared" ca="1" si="22"/>
        <v>-1138.74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3.15</v>
      </c>
      <c r="AP40" s="156">
        <f t="shared" si="11"/>
        <v>121.5900000000006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171.5900000000006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191.5900000000006</v>
      </c>
      <c r="AZ40" s="157">
        <f t="shared" si="23"/>
        <v>170.47000000000003</v>
      </c>
      <c r="BA40" s="21">
        <f t="shared" si="15"/>
        <v>4.1070052301857528E-3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-512.45000000000005</v>
      </c>
      <c r="BF40" s="21">
        <f t="shared" ca="1" si="18"/>
        <v>-1.1342932862542773E-2</v>
      </c>
      <c r="BG40" s="22">
        <f t="shared" ca="1" si="21"/>
        <v>24</v>
      </c>
      <c r="BH40" s="22">
        <f t="shared" ca="1" si="19"/>
        <v>-51.245000000000005</v>
      </c>
      <c r="BJ40" s="225">
        <f t="shared" ca="1" si="22"/>
        <v>-682.91999999999985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4264.840000000002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364.84000000000196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-3535.159999999998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-4285.1599999999962</v>
      </c>
      <c r="BF41" s="21">
        <f t="shared" ca="1" si="18"/>
        <v>-9.485077994975849E-2</v>
      </c>
      <c r="BG41" s="22">
        <f t="shared" ca="1" si="21"/>
        <v>26</v>
      </c>
      <c r="BH41" s="22">
        <f t="shared" ca="1" si="19"/>
        <v>-428.51599999999962</v>
      </c>
      <c r="BJ41" s="224">
        <f t="shared" ca="1" si="22"/>
        <v>-4285.1599999999962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8.9562354699453742E-2</v>
      </c>
      <c r="BG42" s="22">
        <f t="shared" ca="1" si="21"/>
        <v>5</v>
      </c>
      <c r="BH42" s="22">
        <f t="shared" ca="1" si="19"/>
        <v>404.62400000000002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86.35</v>
      </c>
      <c r="AO43" s="149">
        <f>SUM('10'!D480:F480)</f>
        <v>0</v>
      </c>
      <c r="AP43" s="151">
        <f t="shared" si="11"/>
        <v>309.98000000000013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396.33000000000015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446.33000000000015</v>
      </c>
      <c r="AZ43" s="152">
        <f t="shared" si="23"/>
        <v>500</v>
      </c>
      <c r="BA43" s="21">
        <f t="shared" si="15"/>
        <v>1.204612316004503E-2</v>
      </c>
      <c r="BB43" s="22">
        <f t="shared" si="20"/>
        <v>15</v>
      </c>
      <c r="BC43" s="22">
        <f t="shared" ca="1" si="16"/>
        <v>50</v>
      </c>
      <c r="BE43" s="224">
        <f t="shared" ca="1" si="17"/>
        <v>-153.01999999999995</v>
      </c>
      <c r="BF43" s="21">
        <f t="shared" ca="1" si="18"/>
        <v>-3.3870535401039994E-3</v>
      </c>
      <c r="BG43" s="22">
        <f t="shared" ca="1" si="21"/>
        <v>23</v>
      </c>
      <c r="BH43" s="22">
        <f t="shared" ca="1" si="19"/>
        <v>-15.301999999999996</v>
      </c>
      <c r="BJ43" s="224">
        <f t="shared" ca="1" si="22"/>
        <v>-653.01999999999987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2.2408198302315764E-3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4.4269422821905638E-4</v>
      </c>
      <c r="BG45" s="22">
        <f t="shared" ca="1" si="21"/>
        <v>21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5.4001247917767614E-13</v>
      </c>
      <c r="AO46" s="219">
        <f>SUM(AO20:AO45)</f>
        <v>35.15</v>
      </c>
      <c r="AP46" s="220">
        <f>SUM(AP20:AP45)</f>
        <v>30054.32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30054.319999999996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30054.319999999996</v>
      </c>
      <c r="AZ46" s="227">
        <f>SUM(AZ20:AZ45)</f>
        <v>41507.130000000012</v>
      </c>
      <c r="BA46" s="1"/>
      <c r="BB46" s="1"/>
      <c r="BC46" s="124">
        <f ca="1">SUM(BC20:BC45)</f>
        <v>4150.7130000000006</v>
      </c>
      <c r="BE46" s="227">
        <f ca="1">SUM(BE20:BE45)</f>
        <v>45177.910000000025</v>
      </c>
      <c r="BF46" s="1"/>
      <c r="BG46" s="1"/>
      <c r="BH46" s="124">
        <f ca="1">SUM(BH20:BH45)</f>
        <v>4517.7910000000011</v>
      </c>
      <c r="BJ46" s="227">
        <f ca="1">SUM(BJ20:BJ45)</f>
        <v>3670.7800000000052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-5.4001247917767614E-13</v>
      </c>
      <c r="AO47" s="125">
        <f>AM17-AO46</f>
        <v>-35.15</v>
      </c>
      <c r="AP47" s="125"/>
      <c r="AQ47" s="125">
        <f>AQ5-AP46</f>
        <v>-12190.220000000001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-14952.429999999995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49808.556000000011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0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68" t="s">
        <v>257</v>
      </c>
      <c r="M54" s="369"/>
      <c r="N54" s="100">
        <v>70</v>
      </c>
      <c r="O54" s="95"/>
      <c r="P54" s="358"/>
      <c r="Q54" s="359"/>
      <c r="R54" s="102"/>
      <c r="S54" s="95">
        <v>43594</v>
      </c>
      <c r="T54" s="368" t="s">
        <v>243</v>
      </c>
      <c r="U54" s="369"/>
      <c r="V54" s="103"/>
      <c r="W54" s="95">
        <v>43624</v>
      </c>
      <c r="X54" s="368" t="s">
        <v>153</v>
      </c>
      <c r="Y54" s="369"/>
      <c r="Z54" s="104">
        <v>10</v>
      </c>
      <c r="AA54" s="95"/>
      <c r="AB54" s="362" t="s">
        <v>476</v>
      </c>
      <c r="AC54" s="363"/>
      <c r="AD54" s="239">
        <v>15</v>
      </c>
      <c r="AE54" s="95"/>
      <c r="AF54" s="362" t="s">
        <v>476</v>
      </c>
      <c r="AG54" s="363"/>
      <c r="AH54" s="239">
        <v>14</v>
      </c>
      <c r="AI54" s="95"/>
      <c r="AJ54" s="362" t="s">
        <v>476</v>
      </c>
      <c r="AK54" s="363"/>
      <c r="AL54" s="239">
        <v>15</v>
      </c>
      <c r="AM54" s="95"/>
      <c r="AN54" s="362" t="s">
        <v>476</v>
      </c>
      <c r="AO54" s="363"/>
      <c r="AP54" s="239">
        <v>14</v>
      </c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>
        <v>43740</v>
      </c>
      <c r="AN55" s="364" t="s">
        <v>153</v>
      </c>
      <c r="AO55" s="365"/>
      <c r="AP55" s="100">
        <v>10</v>
      </c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2" t="s">
        <v>235</v>
      </c>
      <c r="Q56" s="363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0" t="s">
        <v>389</v>
      </c>
      <c r="Q57" s="371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>
        <v>43733</v>
      </c>
      <c r="AJ57" s="364" t="s">
        <v>151</v>
      </c>
      <c r="AK57" s="365"/>
      <c r="AL57" s="100">
        <v>10</v>
      </c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0" t="s">
        <v>389</v>
      </c>
      <c r="M60" s="371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2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6" t="s">
        <v>566</v>
      </c>
      <c r="U71" s="367"/>
      <c r="V71" s="101">
        <v>1872.17</v>
      </c>
      <c r="W71" s="97"/>
      <c r="X71" s="366" t="s">
        <v>564</v>
      </c>
      <c r="Y71" s="367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</v>
      </c>
      <c r="D75">
        <f>C75*D74</f>
        <v>3.225806451612903</v>
      </c>
      <c r="Z75" s="111"/>
    </row>
    <row r="76" spans="1:50">
      <c r="D76">
        <f>D75-D73</f>
        <v>0.22580645161290303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95" workbookViewId="0">
      <selection activeCell="G406" sqref="G40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800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790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2"/>
      <c r="J46" s="406" t="s">
        <v>832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1" t="str">
        <f>AÑO!A13</f>
        <v>Gubernamental</v>
      </c>
      <c r="J50" s="404" t="s">
        <v>798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799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235" workbookViewId="0">
      <selection activeCell="J256" sqref="J25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1134.5999999999999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1512.0800000000002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202.88000000000005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294.93000000000006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3370.1800000000012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50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579.78000000000009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74.359999999999815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174.35999999999981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96.580000000000013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309.98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36" workbookViewId="0">
      <selection activeCell="H258" sqref="H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/>
      <c r="L9" s="425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60.47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17864.099999999999</v>
      </c>
      <c r="L19" s="440"/>
      <c r="M19" s="1"/>
      <c r="N19" s="1"/>
      <c r="R19" s="3"/>
    </row>
    <row r="20" spans="1:18" ht="16.5" thickBot="1">
      <c r="A20" s="112">
        <f>SUM(A6:A15)</f>
        <v>1639.78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2660.08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377.88000000000005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479.93000000000006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140.20000000000005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3450.1800000000012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1340.24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16.059999999999999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100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674.78000000000009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124.35999999999981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264.35999999999979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167.93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396.33000000000004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D748CBB5-7DCE-464E-A40F-1E12620940E3}"/>
    <hyperlink ref="I2:L3" location="AÑO!AM4:AP5" display="SALDO REAL" xr:uid="{67663154-8883-4CD6-99B0-96CDA3F4AFBE}"/>
    <hyperlink ref="I22" location="Trimestre!C39:F40" display="TELÉFONO" xr:uid="{65DF38AD-AFDF-4177-8AED-F148F1D8E79F}"/>
    <hyperlink ref="I22:L23" location="AÑO!AM7:AP17" display="INGRESOS" xr:uid="{776E9E2B-67B9-4B3B-BF53-7B4E6AFD52DE}"/>
    <hyperlink ref="B2" location="Trimestre!C25:F26" display="HIPOTECA" xr:uid="{F3200F12-27B8-4617-9F2C-A27417C78B0C}"/>
    <hyperlink ref="B2:G3" location="AÑO!AM20:AP20" display="AÑO!AM20:AP20" xr:uid="{A07041F4-B51E-4DBB-AA6A-BC5F67EE1743}"/>
    <hyperlink ref="B22" location="Trimestre!C25:F26" display="HIPOTECA" xr:uid="{B80047E2-2998-4813-B3A3-C265D56FA156}"/>
    <hyperlink ref="B22:G23" location="AÑO!AM21:AP21" display="AÑO!AM21:AP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550</v>
      </c>
      <c r="L6" s="425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659.77</v>
      </c>
      <c r="L9" s="425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90.7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15101.890000000001</v>
      </c>
      <c r="L19" s="431"/>
      <c r="M19" s="1"/>
      <c r="N19" s="1"/>
      <c r="R19" s="3"/>
    </row>
    <row r="20" spans="1:18" ht="16.5" thickBot="1">
      <c r="A20" s="112">
        <f>SUM(A6:A15)</f>
        <v>2183.7800000000002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3788.08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211.20000000000005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3475.7100000000014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1719.71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187.93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446.33000000000004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24" sqref="E24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I23" sqref="I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6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1531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43740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135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43740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43770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586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43740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>
        <v>43770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</row>
    <row r="11" spans="1:26">
      <c r="A11" s="445" t="s">
        <v>518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3.721488595438175E-2</v>
      </c>
      <c r="X13" s="119">
        <f ca="1">W13*E13</f>
        <v>149.5766355942377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3.3013205282112844E-2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8.4033613445378148E-3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0.521608643457383</v>
      </c>
      <c r="X19" s="119">
        <f t="shared" ca="1" si="2"/>
        <v>2307.2836317406968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0.37935174069627853</v>
      </c>
      <c r="X20" s="119">
        <f t="shared" ca="1" si="2"/>
        <v>227.8386554621849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0.17286914765906364</v>
      </c>
      <c r="X25" s="119">
        <f t="shared" ca="1" si="2"/>
        <v>105.09808468667467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586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43740</v>
      </c>
      <c r="L28" s="302">
        <v>28.5</v>
      </c>
      <c r="M28" s="264">
        <f>(H28*L28)</f>
        <v>5586</v>
      </c>
      <c r="N28" s="264">
        <f>-(IF((M28*0.0075)&lt;30,30,(M28*0.0075)) + (M28*0.0035))</f>
        <v>-61.445999999999998</v>
      </c>
      <c r="O28" s="272">
        <f>J28+N28</f>
        <v>-117.45887999999999</v>
      </c>
      <c r="P28" s="273">
        <f ca="1">IF(K28=0,0,M28-E28+N28)</f>
        <v>376.46111999999982</v>
      </c>
      <c r="Q28" s="274">
        <f ca="1">P28/E28</f>
        <v>7.3126326345533968E-2</v>
      </c>
      <c r="R28" s="275" t="s">
        <v>517</v>
      </c>
      <c r="S28" s="59">
        <f ca="1">Q28+Q29+Q30+Q34</f>
        <v>9.75314804343623E-2</v>
      </c>
      <c r="T28" s="59">
        <f>(L28/L5)-1</f>
        <v>-5.0000000000000044E-2</v>
      </c>
      <c r="W28" s="39">
        <f t="shared" ca="1" si="0"/>
        <v>0.3517406962785114</v>
      </c>
      <c r="X28" s="119">
        <f t="shared" ca="1" si="2"/>
        <v>1810.793774117647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1.3205282112845138E-2</v>
      </c>
      <c r="X33" s="119">
        <f t="shared" ca="1" si="2"/>
        <v>54.526276350540215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135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43740</v>
      </c>
      <c r="L35" s="302">
        <v>65.5</v>
      </c>
      <c r="M35" s="264">
        <f>(H35*L35)</f>
        <v>4061</v>
      </c>
      <c r="N35" s="264">
        <f>-(IF((M35*0.0075)&lt;30,30,(M35*0.0075)) + (M35*0.0035))</f>
        <v>-44.670999999999999</v>
      </c>
      <c r="O35" s="272">
        <f>J35+N35</f>
        <v>-89.157859999999999</v>
      </c>
      <c r="P35" s="273">
        <f ca="1">IF(K35=0,0,M35-E35+N35)</f>
        <v>-72.417860000000189</v>
      </c>
      <c r="Q35" s="274">
        <f ca="1">P35/E35</f>
        <v>-1.7711504888810892E-2</v>
      </c>
      <c r="R35" s="275" t="s">
        <v>412</v>
      </c>
      <c r="T35" s="59">
        <f>(L35/L4)-1</f>
        <v>-3.0060713756848823E-2</v>
      </c>
      <c r="W35" s="39">
        <f t="shared" ca="1" si="0"/>
        <v>8.1032412965186068E-2</v>
      </c>
      <c r="X35" s="119">
        <f t="shared" ca="1" si="2"/>
        <v>331.32102406962787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2663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-376.69825900000001</v>
      </c>
      <c r="O42" s="315">
        <f>SUM(O13:O41)</f>
        <v>-562.89639699999998</v>
      </c>
      <c r="P42" s="315">
        <f ca="1">SUM(P13:P41)</f>
        <v>3949.5119830000003</v>
      </c>
      <c r="Q42" s="326">
        <f ca="1">SUM(Q13:Q41)</f>
        <v>3.978780527617793</v>
      </c>
      <c r="R42" s="317"/>
      <c r="W42" s="327">
        <f ca="1">SUM(W13:W41)</f>
        <v>1.5984393757503004</v>
      </c>
      <c r="X42" s="328">
        <f ca="1">SUM(X13:X41)</f>
        <v>4986.4380820216084</v>
      </c>
      <c r="Y42" s="329">
        <f ca="1">P42/X42</f>
        <v>0.79205074203965331</v>
      </c>
      <c r="Z42" s="329">
        <f ca="1">Y42/(D$43/365)</f>
        <v>0.17352852391625057</v>
      </c>
    </row>
    <row r="43" spans="1:26">
      <c r="C43" s="119" t="s">
        <v>568</v>
      </c>
      <c r="D43" s="46">
        <f ca="1">_xlfn.DAYS(TODAY(),F13)</f>
        <v>1666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574</v>
      </c>
      <c r="B1" s="447"/>
      <c r="C1" s="447"/>
      <c r="D1" s="447"/>
      <c r="E1" s="447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-22.280131960754311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-25.068864019622936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-19.696964586846594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-5.3718994327763436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-72.417860000000189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5" t="s">
        <v>603</v>
      </c>
      <c r="B15" s="445"/>
      <c r="C15" s="445"/>
      <c r="D15" s="445"/>
      <c r="E15" s="445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291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1" t="str">
        <f>AÑO!A9</f>
        <v>Rocío Salario</v>
      </c>
      <c r="J30" s="404" t="s">
        <v>238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256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267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218</v>
      </c>
      <c r="J35" s="404" t="s">
        <v>306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239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240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269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299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1" t="str">
        <f>AÑO!A13</f>
        <v>Gubernamental</v>
      </c>
      <c r="J50" s="404" t="s">
        <v>259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296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314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319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314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315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238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379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2"/>
      <c r="J51" s="406" t="s">
        <v>417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366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444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362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472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1" t="str">
        <f>AÑO!A13</f>
        <v>Gubernamental</v>
      </c>
      <c r="J50" s="404" t="s">
        <v>483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1" t="str">
        <f>AÑO!A14</f>
        <v>Mutualite/DKV</v>
      </c>
      <c r="J55" s="404" t="s">
        <v>477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626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627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626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675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689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689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689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704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397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776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2"/>
      <c r="J46" s="406" t="s">
        <v>777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1" t="str">
        <f>AÑO!A13</f>
        <v>Gubernamental</v>
      </c>
      <c r="J50" s="404" t="s">
        <v>639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2019-10-02T11:54:44Z</dcterms:modified>
</cp:coreProperties>
</file>