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63CD5126-895B-426F-AF1D-E300744F55F6}" xr6:coauthVersionLast="44" xr6:coauthVersionMax="44" xr10:uidLastSave="{00000000-0000-0000-0000-000000000000}"/>
  <bookViews>
    <workbookView xWindow="-108" yWindow="12852" windowWidth="22236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6" i="2" l="1"/>
  <c r="F366" i="2"/>
  <c r="L26" i="15"/>
  <c r="M26" i="15" s="1"/>
  <c r="J26" i="15"/>
  <c r="A427" i="4"/>
  <c r="B426" i="4" s="1"/>
  <c r="A299" i="4"/>
  <c r="A286" i="4"/>
  <c r="I257" i="4"/>
  <c r="A257" i="4"/>
  <c r="A256" i="4"/>
  <c r="A246" i="4"/>
  <c r="B257" i="4"/>
  <c r="B256" i="4"/>
  <c r="A127" i="4"/>
  <c r="A129" i="4"/>
  <c r="A130" i="4"/>
  <c r="A126" i="4"/>
  <c r="A120" i="4"/>
  <c r="A109" i="4"/>
  <c r="A110" i="4"/>
  <c r="A116" i="4"/>
  <c r="A118" i="4"/>
  <c r="B108" i="4"/>
  <c r="B106" i="4"/>
  <c r="B46" i="4"/>
  <c r="A31" i="4"/>
  <c r="A14" i="4"/>
  <c r="A15" i="4"/>
  <c r="B14" i="4"/>
  <c r="B46" i="3"/>
  <c r="B108" i="3"/>
  <c r="A427" i="3"/>
  <c r="K11" i="3"/>
  <c r="M5" i="2"/>
  <c r="A300" i="4" l="1"/>
  <c r="A260" i="4"/>
  <c r="A140" i="4"/>
  <c r="D56" i="2"/>
  <c r="B307" i="2" l="1"/>
  <c r="L56" i="2"/>
  <c r="A110" i="3" l="1"/>
  <c r="A116" i="2"/>
  <c r="A116" i="3" s="1"/>
  <c r="A110" i="2"/>
  <c r="B116" i="2"/>
  <c r="L55" i="2"/>
  <c r="L25" i="2"/>
  <c r="N45" i="2" l="1"/>
  <c r="A118" i="2"/>
  <c r="A286" i="2" l="1"/>
  <c r="B5" i="14" l="1"/>
  <c r="I257" i="3" l="1"/>
  <c r="A256" i="3"/>
  <c r="B257" i="3"/>
  <c r="B256" i="3"/>
  <c r="A431" i="2"/>
  <c r="B308" i="2"/>
  <c r="A430" i="2"/>
  <c r="D309" i="2" l="1"/>
  <c r="A130" i="3"/>
  <c r="A129" i="3"/>
  <c r="F140" i="3"/>
  <c r="E140" i="3"/>
  <c r="D140" i="3"/>
  <c r="B140" i="3"/>
  <c r="A118" i="3"/>
  <c r="B106" i="3"/>
  <c r="A31" i="3"/>
  <c r="A14" i="3"/>
  <c r="A15" i="3"/>
  <c r="B14" i="3"/>
  <c r="A429" i="2"/>
  <c r="B287" i="2"/>
  <c r="K74" i="2" l="1"/>
  <c r="A428" i="2" l="1"/>
  <c r="D366" i="2"/>
  <c r="AZ48" i="1"/>
  <c r="AZ18" i="1"/>
  <c r="L73" i="2"/>
  <c r="L74" i="2" s="1"/>
  <c r="L75" i="2" s="1"/>
  <c r="B406" i="2"/>
  <c r="B14" i="2"/>
  <c r="A286" i="3"/>
  <c r="A130" i="2"/>
  <c r="A129" i="2"/>
  <c r="A127" i="2"/>
  <c r="A126" i="2"/>
  <c r="A126" i="3" s="1"/>
  <c r="B106" i="2"/>
  <c r="A427" i="2"/>
  <c r="K9" i="2"/>
  <c r="K8" i="2"/>
  <c r="K10" i="2"/>
  <c r="K5" i="2"/>
  <c r="A140" i="2" l="1"/>
  <c r="A127" i="3"/>
  <c r="A140" i="3" s="1"/>
  <c r="G74" i="17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B7" i="19"/>
  <c r="C3" i="19" s="1"/>
  <c r="D3" i="19" s="1"/>
  <c r="C6" i="19"/>
  <c r="C5" i="19"/>
  <c r="C4" i="19"/>
  <c r="C7" i="19" l="1"/>
  <c r="D6" i="19"/>
  <c r="G71" i="17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3" i="17" l="1"/>
  <c r="G73" i="17"/>
  <c r="E74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A299" i="3" s="1"/>
  <c r="A300" i="3" s="1"/>
  <c r="B257" i="2"/>
  <c r="B256" i="2"/>
  <c r="A257" i="2"/>
  <c r="A257" i="3" s="1"/>
  <c r="A256" i="2"/>
  <c r="A246" i="2"/>
  <c r="A246" i="3" s="1"/>
  <c r="I257" i="2"/>
  <c r="A260" i="3" l="1"/>
  <c r="P28" i="18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359" i="13" l="1"/>
  <c r="A358" i="13"/>
  <c r="A346" i="13"/>
  <c r="A299" i="13"/>
  <c r="A130" i="13"/>
  <c r="F366" i="12"/>
  <c r="A360" i="13" l="1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K10" i="1" l="1"/>
  <c r="K12" i="5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B122" i="5"/>
  <c r="B102" i="5"/>
  <c r="B82" i="5"/>
  <c r="B62" i="5"/>
  <c r="B42" i="5"/>
  <c r="B22" i="5"/>
  <c r="B2" i="5"/>
  <c r="A140" i="11" l="1"/>
  <c r="A126" i="12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A140" i="12" l="1"/>
  <c r="A126" i="13"/>
  <c r="A140" i="13" s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A66" i="5" l="1"/>
  <c r="A66" i="6" s="1"/>
  <c r="A66" i="7" l="1"/>
  <c r="A66" i="8" l="1"/>
  <c r="A66" i="9" s="1"/>
  <c r="A66" i="10" s="1"/>
  <c r="A66" i="11" l="1"/>
  <c r="A66" i="12" s="1"/>
  <c r="A66" i="13" s="1"/>
  <c r="A79" i="5"/>
  <c r="A80" i="5" l="1"/>
  <c r="A79" i="6"/>
  <c r="A79" i="7" l="1"/>
  <c r="A80" i="6"/>
  <c r="A79" i="8" l="1"/>
  <c r="A80" i="7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80" i="9"/>
  <c r="A79" i="10"/>
  <c r="A20" i="2"/>
  <c r="A26" i="2"/>
  <c r="A40" i="2" s="1"/>
  <c r="A79" i="11" l="1"/>
  <c r="A80" i="10"/>
  <c r="A467" i="5"/>
  <c r="A467" i="6" s="1"/>
  <c r="A467" i="7" s="1"/>
  <c r="A467" i="8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09" i="5" l="1"/>
  <c r="A109" i="6" s="1"/>
  <c r="A109" i="7" s="1"/>
  <c r="A109" i="8" s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8" i="5"/>
  <c r="A108" i="6" s="1"/>
  <c r="A108" i="7" s="1"/>
  <c r="A108" i="8" s="1"/>
  <c r="A466" i="5"/>
  <c r="A468" i="5"/>
  <c r="A468" i="6" s="1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I18" i="15"/>
  <c r="A19" i="15"/>
  <c r="B14" i="14" l="1"/>
  <c r="D63" i="17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D83" i="15"/>
  <c r="E24" i="15"/>
  <c r="E83" i="15" s="1"/>
  <c r="K7" i="14"/>
  <c r="L8" i="14" s="1"/>
  <c r="AX38" i="1"/>
  <c r="BJ38" i="1" s="1"/>
  <c r="AX30" i="1"/>
  <c r="BJ30" i="1" s="1"/>
  <c r="AX27" i="1"/>
  <c r="BJ27" i="1" s="1"/>
  <c r="K8" i="14" l="1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256" i="5" l="1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BJ41" i="1"/>
  <c r="F46" i="1"/>
  <c r="G47" i="1" s="1"/>
  <c r="AL20" i="1"/>
  <c r="AX22" i="1"/>
  <c r="H427" i="3" l="1"/>
  <c r="H427" i="4"/>
  <c r="N41" i="1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<sst xmlns="http://schemas.openxmlformats.org/spreadsheetml/2006/main" count="5750" uniqueCount="852">
  <si>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</si>
  <si>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</si>
  <si>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</si>
  <si>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</si>
  <si>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</si>
  <si>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</si>
  <si>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</si>
  <si>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</si>
  <si>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</si>
  <si>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</si>
  <si>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</si>
  <si>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</si>
  <si>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</si>
  <si>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</si>
  <si>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</si>
  <si>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</si>
  <si>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</si>
  <si>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</si>
  <si>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</si>
  <si>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</si>
  <si>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</si>
  <si>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</si>
  <si>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</si>
  <si>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</si>
  <si>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</si>
  <si>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</si>
  <si>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</si>
  <si>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</si>
  <si>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</si>
  <si>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</si>
  <si>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</si>
  <si>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</si>
  <si>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</si>
  <si>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</si>
  <si>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</si>
  <si>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</si>
  <si>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</si>
  <si>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</si>
  <si>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</si>
  <si>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</si>
  <si>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</si>
  <si>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</si>
  <si>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</si>
  <si>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</si>
  <si>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</si>
  <si>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</si>
  <si>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</si>
  <si>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</si>
  <si>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</si>
  <si>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</si>
  <si>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</si>
  <si>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</si>
  <si>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</si>
  <si>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</si>
  <si>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</si>
  <si>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</si>
  <si>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</si>
  <si>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</si>
  <si>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</si>
  <si>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</si>
  <si>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</si>
  <si>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</si>
  <si>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</si>
  <si>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</si>
  <si>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</si>
  <si>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</si>
  <si>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</si>
  <si>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</si>
  <si>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</si>
  <si>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</si>
  <si>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</si>
  <si>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</si>
  <si>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</si>
  <si>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</si>
  <si>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</si>
  <si>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</si>
  <si>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</si>
  <si>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</si>
  <si>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</si>
  <si>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</si>
  <si>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</si>
  <si>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</si>
  <si>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</si>
  <si>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</si>
  <si>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</si>
  <si>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</si>
  <si>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</si>
  <si>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</si>
  <si>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</si>
  <si>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</si>
  <si>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</si>
  <si>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</si>
  <si>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</si>
  <si>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</si>
  <si>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</si>
  <si>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</si>
  <si>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</si>
  <si>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</si>
  <si>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</si>
  <si>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</si>
  <si>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</si>
  <si>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</si>
  <si>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</si>
  <si>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</si>
  <si>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</si>
  <si>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</si>
  <si>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</si>
  <si>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</si>
  <si>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</si>
  <si>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</si>
  <si>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</si>
  <si>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</si>
  <si>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</si>
  <si>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</si>
  <si>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</si>
  <si>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</si>
  <si>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</si>
  <si>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</si>
  <si>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</si>
  <si>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</si>
  <si>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</si>
  <si>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</si>
  <si>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</si>
  <si>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</si>
  <si>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</si>
  <si>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</si>
  <si>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</si>
  <si>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</si>
  <si>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</si>
  <si>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</si>
  <si>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</si>
  <si>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</si>
  <si>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</si>
  <si>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</si>
  <si>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</si>
  <si>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</si>
  <si>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</si>
  <si>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</si>
  <si>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</si>
  <si>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</si>
  <si>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</si>
  <si>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</si>
  <si>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</si>
  <si>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</si>
  <si>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</si>
  <si>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</si>
  <si>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</si>
  <si>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</si>
  <si>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</si>
  <si>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</si>
  <si>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</si>
  <si>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</si>
  <si>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</si>
  <si>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</si>
  <si>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</si>
  <si>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</si>
  <si>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</si>
  <si>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</si>
  <si>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</si>
  <si>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</si>
  <si>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</si>
  <si>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</si>
  <si>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</si>
  <si>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</si>
  <si>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</si>
  <si>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</si>
  <si>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</si>
  <si>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</si>
  <si>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</si>
  <si>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</si>
  <si>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</si>
  <si>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</si>
  <si>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</si>
  <si>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</si>
  <si>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</si>
  <si>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</si>
  <si>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CAPITAL RESTANTE</t>
  </si>
  <si>
    <t>Interés: (Euribor+0,5) mensual =</t>
  </si>
  <si>
    <t>Acumulado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</si>
  <si>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</si>
  <si>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</si>
  <si>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</si>
  <si>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</si>
  <si>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</si>
  <si>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</si>
  <si>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</si>
  <si>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</si>
  <si>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</si>
  <si>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</si>
  <si>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</si>
  <si>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</si>
  <si>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</si>
  <si>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</si>
  <si>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</si>
  <si>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</si>
  <si>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</si>
  <si>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</si>
  <si>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</si>
  <si>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</si>
  <si>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</si>
  <si>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</si>
  <si>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</si>
  <si>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</si>
  <si>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</si>
  <si>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</si>
  <si>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</si>
  <si>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</si>
  <si>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</si>
  <si>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</si>
  <si>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</si>
  <si>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</si>
  <si>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</si>
  <si>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</si>
  <si>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</si>
  <si>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</si>
  <si>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</si>
  <si>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</si>
  <si>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</si>
  <si>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</si>
  <si>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</si>
  <si>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</si>
  <si>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Fontanero</t>
  </si>
  <si>
    <t>Fecha Ultima Cuota:</t>
  </si>
  <si>
    <t>alquiler+endesa</t>
  </si>
  <si>
    <t>Kids &amp; us</t>
  </si>
  <si>
    <t>Impuesto Basura (Hasta 79€)</t>
  </si>
  <si>
    <t>CAPAC</t>
  </si>
  <si>
    <t>M</t>
  </si>
  <si>
    <t>R</t>
  </si>
  <si>
    <t>Fianza 550€</t>
  </si>
  <si>
    <t>Tarxeta</t>
  </si>
  <si>
    <t>. 20 de abril del _; Cristo</t>
  </si>
  <si>
    <t>Limit</t>
  </si>
  <si>
    <t>Clases</t>
  </si>
  <si>
    <t>Alter-Nos</t>
  </si>
  <si>
    <t>Hipoteca Reseva Mensual (403.08€)</t>
  </si>
  <si>
    <t>Rocio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</si>
  <si>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</si>
  <si>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</si>
  <si>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</si>
  <si>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</si>
  <si>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</si>
  <si>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</si>
  <si>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Microondas</t>
  </si>
  <si>
    <t>BMW.DE</t>
  </si>
  <si>
    <t>Fianza 550€ (BMW.DE)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</si>
  <si>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</si>
  <si>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</si>
  <si>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</si>
  <si>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</si>
  <si>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</si>
  <si>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</si>
  <si>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</si>
  <si>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</si>
  <si>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</si>
  <si>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</si>
  <si>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</si>
  <si>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</si>
  <si>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</si>
  <si>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</si>
  <si>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</si>
  <si>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</si>
  <si>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</si>
  <si>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</si>
  <si>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</si>
  <si>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</si>
  <si>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</si>
  <si>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</si>
  <si>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</si>
  <si>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</si>
  <si>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</si>
  <si>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</si>
  <si>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</si>
  <si>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</si>
  <si>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</si>
  <si>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</si>
  <si>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</si>
  <si>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</si>
  <si>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</si>
  <si>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</si>
  <si>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</si>
  <si>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</si>
  <si>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</si>
  <si>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</si>
  <si>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</si>
  <si>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</si>
  <si>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</si>
  <si>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</si>
  <si>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</si>
  <si>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</si>
  <si>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</si>
  <si>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</si>
  <si>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</si>
  <si>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</si>
  <si>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</si>
  <si>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</si>
  <si>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</si>
  <si>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</si>
  <si>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</si>
  <si>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</si>
  <si>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</si>
  <si>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</si>
  <si>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</si>
  <si>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</si>
  <si>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</si>
  <si>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</si>
  <si>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</si>
  <si>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</si>
  <si>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</si>
  <si>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</si>
  <si>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</si>
  <si>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</si>
  <si>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</si>
  <si>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</si>
  <si>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</si>
  <si>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</si>
  <si>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</si>
  <si>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</si>
  <si>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</si>
  <si>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</si>
  <si>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</si>
  <si>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</si>
  <si>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</si>
  <si>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</si>
  <si>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</si>
  <si>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</si>
  <si>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</si>
  <si>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</si>
  <si>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</si>
  <si>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</si>
  <si>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</si>
  <si>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</si>
  <si>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</si>
  <si>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</si>
  <si>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</si>
  <si>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</si>
  <si>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</si>
  <si>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</si>
  <si>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</si>
  <si>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</si>
  <si>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</si>
  <si>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</si>
  <si>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</si>
  <si>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</si>
  <si>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</si>
  <si>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</si>
  <si>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</si>
  <si>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</si>
  <si>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</si>
  <si>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</si>
  <si>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</si>
  <si>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</si>
  <si>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</si>
  <si>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</si>
  <si>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</si>
  <si>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</si>
  <si>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</si>
  <si>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</si>
  <si>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</si>
  <si>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</si>
  <si>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</si>
  <si>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</si>
  <si>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</si>
  <si>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</si>
  <si>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</si>
  <si>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</si>
  <si>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</si>
  <si>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</si>
  <si>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71.28-76.50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</si>
  <si>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</si>
  <si>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</si>
  <si>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</si>
  <si>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</si>
  <si>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</si>
  <si>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</si>
  <si>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</si>
  <si>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</si>
  <si>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</si>
  <si>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</si>
  <si>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</si>
  <si>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</si>
  <si>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</si>
  <si>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</si>
  <si>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</si>
  <si>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</si>
  <si>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</si>
  <si>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</si>
  <si>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</si>
  <si>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</si>
  <si>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</si>
  <si>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</si>
  <si>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</si>
  <si>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</si>
  <si>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</si>
  <si>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</si>
  <si>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</si>
  <si>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</si>
  <si>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</si>
  <si>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</si>
  <si>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</si>
  <si>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</si>
  <si>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</si>
  <si>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</si>
  <si>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</si>
  <si>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</si>
  <si>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</si>
  <si>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</si>
  <si>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</si>
  <si>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</si>
  <si>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</si>
  <si>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</si>
  <si>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</si>
  <si>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</si>
  <si>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</si>
  <si>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</si>
  <si>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</si>
  <si>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</si>
  <si>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</si>
  <si>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</si>
  <si>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</si>
  <si>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</si>
  <si>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</si>
  <si>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</si>
  <si>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</si>
  <si>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</si>
  <si>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</si>
  <si>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</si>
  <si>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</si>
  <si>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</si>
  <si>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</si>
  <si>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</si>
  <si>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</si>
  <si>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</si>
  <si>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</si>
  <si>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</si>
  <si>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</si>
  <si>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</si>
  <si>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</si>
  <si>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</si>
  <si>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</si>
  <si>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</si>
  <si>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</si>
  <si>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</si>
  <si>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</si>
  <si>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</si>
  <si>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</si>
  <si>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</si>
  <si>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</si>
  <si>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</si>
  <si>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</si>
  <si>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</si>
  <si>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</si>
  <si>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</si>
  <si>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</si>
  <si>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</si>
  <si>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</si>
  <si>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</si>
  <si>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</si>
  <si>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</si>
  <si>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</si>
  <si>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</si>
  <si>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</si>
  <si>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</si>
  <si>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</si>
  <si>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</si>
  <si>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</si>
  <si>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</si>
  <si>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</si>
  <si>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</si>
  <si>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</si>
  <si>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</si>
  <si>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</si>
  <si>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</si>
  <si>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</si>
  <si>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</si>
  <si>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</si>
  <si>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</si>
  <si>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</si>
  <si>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</si>
  <si>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</si>
  <si>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</si>
  <si>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</si>
  <si>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</si>
  <si>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</si>
  <si>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</si>
  <si>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</si>
  <si>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</si>
  <si>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</si>
  <si>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</si>
  <si>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</si>
  <si>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</si>
  <si>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</si>
  <si>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</si>
  <si>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</si>
  <si>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</si>
  <si>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</si>
  <si>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</si>
  <si>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</si>
  <si>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</si>
  <si>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</si>
  <si>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</si>
  <si>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</si>
  <si>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</si>
  <si>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</si>
  <si>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</si>
  <si>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</si>
  <si>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</si>
  <si>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</si>
  <si>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</si>
  <si>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</si>
  <si>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</si>
  <si>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</si>
  <si>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</si>
  <si>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</si>
  <si>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</si>
  <si>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</si>
  <si>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</si>
  <si>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</si>
  <si>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</si>
  <si>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</si>
  <si>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</si>
  <si>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</si>
  <si>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</si>
  <si>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</si>
  <si>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</si>
  <si>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</si>
  <si>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</si>
  <si>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</si>
  <si>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</si>
  <si>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</si>
  <si>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</si>
  <si>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</si>
  <si>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</si>
  <si>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</si>
  <si>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</si>
  <si>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</si>
  <si>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</si>
  <si>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</si>
  <si>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</si>
  <si>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</si>
  <si>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</si>
  <si>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</si>
  <si>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</si>
  <si>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</si>
  <si>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</si>
  <si>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</si>
  <si>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</si>
  <si>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</si>
  <si>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</si>
  <si>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</si>
  <si>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</si>
  <si>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</si>
  <si>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</si>
  <si>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</si>
  <si>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</si>
  <si>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</si>
  <si>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</si>
  <si>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</si>
  <si>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</si>
  <si>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</si>
  <si>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</si>
  <si>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</si>
  <si>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</si>
  <si>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</si>
  <si>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</si>
  <si>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</si>
  <si>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</si>
  <si>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</si>
  <si>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</si>
  <si>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</si>
  <si>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</si>
  <si>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</si>
  <si>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</si>
  <si>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</si>
  <si>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</si>
  <si>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</si>
  <si>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</si>
  <si>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</si>
  <si>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</si>
  <si>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</si>
  <si>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</si>
  <si>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</si>
  <si>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</si>
  <si>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</si>
  <si>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</si>
  <si>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</si>
  <si>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</si>
  <si>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</si>
  <si>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</si>
  <si>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</si>
  <si>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</si>
  <si>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</si>
  <si>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</si>
  <si>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</si>
  <si>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</si>
  <si>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</si>
  <si>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</si>
  <si>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</si>
  <si>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</si>
  <si>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</si>
  <si>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</si>
  <si>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</si>
  <si>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</si>
  <si>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</si>
  <si>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</si>
  <si>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</si>
  <si>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</si>
  <si>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</si>
  <si>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</si>
  <si>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</si>
  <si>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</si>
  <si>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</si>
  <si>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</si>
  <si>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</si>
  <si>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</si>
  <si>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</si>
  <si>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</si>
  <si>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</si>
  <si>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</si>
  <si>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</si>
  <si>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</si>
  <si>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</si>
  <si>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</si>
  <si>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</si>
  <si>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</si>
  <si>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</si>
  <si>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</si>
  <si>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</si>
  <si>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</si>
  <si>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</si>
  <si>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</si>
  <si>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</si>
  <si>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</si>
  <si>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</si>
  <si>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</si>
  <si>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</si>
  <si>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</si>
  <si>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</si>
  <si>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</si>
  <si>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</si>
  <si>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</si>
  <si>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</si>
  <si>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</si>
  <si>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</si>
  <si>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</si>
  <si>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</si>
  <si>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</si>
  <si>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</si>
  <si>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</si>
  <si>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</si>
  <si>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</si>
  <si>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</si>
  <si>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</si>
  <si>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</si>
  <si>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</si>
  <si>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</si>
  <si>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</si>
  <si>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</si>
  <si>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</si>
  <si>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</si>
  <si>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</si>
  <si>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</si>
  <si>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</si>
  <si>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</si>
  <si>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</si>
  <si>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</si>
  <si>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</si>
  <si>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</si>
  <si>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</si>
  <si>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</si>
  <si>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</si>
  <si>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</si>
  <si>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</si>
  <si>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</si>
  <si>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</si>
  <si>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</si>
  <si>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</si>
  <si>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</si>
  <si>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</si>
  <si>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</si>
  <si>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</si>
  <si>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</si>
  <si>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</si>
  <si>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</si>
  <si>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</si>
  <si>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</si>
  <si>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</si>
  <si>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</si>
  <si>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</si>
  <si>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</si>
  <si>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</si>
  <si>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</si>
  <si>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</si>
  <si>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</si>
  <si>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</si>
  <si>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</si>
  <si>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</si>
  <si>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</si>
  <si>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</si>
  <si>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</si>
  <si>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</si>
  <si>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</si>
  <si>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</si>
  <si>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</si>
  <si>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</si>
  <si>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</si>
  <si>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</si>
  <si>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</si>
  <si>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</si>
  <si>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</si>
  <si>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</si>
  <si>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</si>
  <si>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</si>
  <si>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</si>
  <si>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</si>
  <si>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</si>
  <si>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</si>
  <si>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</si>
  <si>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</si>
  <si>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</si>
  <si>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</si>
  <si>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</si>
  <si>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</si>
  <si>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</si>
  <si>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</si>
  <si>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</si>
  <si>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</si>
  <si>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</si>
  <si>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</si>
  <si>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</si>
  <si>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</si>
  <si>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</si>
  <si>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</si>
  <si>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</si>
  <si>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</si>
  <si>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</si>
  <si>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</si>
  <si>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</si>
  <si>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</si>
  <si>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</si>
  <si>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</si>
  <si>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</si>
  <si>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</si>
  <si>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</si>
  <si>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</si>
  <si>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</si>
  <si>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</si>
  <si>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</si>
  <si>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</si>
  <si>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</si>
  <si>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</si>
  <si>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</si>
  <si>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</si>
  <si>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</si>
  <si>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</si>
  <si>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</si>
  <si>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</si>
  <si>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</si>
  <si>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</si>
  <si>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</si>
  <si>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</si>
  <si>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</si>
  <si>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</si>
  <si>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</si>
  <si>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</si>
  <si>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</si>
  <si>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</si>
  <si>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</si>
  <si>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</si>
  <si>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</si>
  <si>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</si>
  <si>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</si>
  <si>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</si>
  <si>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</si>
  <si>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</si>
  <si>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</si>
  <si>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</si>
  <si>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</si>
  <si>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</si>
  <si>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</si>
  <si>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</si>
  <si>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</si>
  <si>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</si>
  <si>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</si>
  <si>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</si>
  <si>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</si>
  <si>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</si>
  <si>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</si>
  <si>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</si>
  <si>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</si>
  <si>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</si>
  <si>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</si>
  <si>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</si>
  <si>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</si>
  <si>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</si>
  <si>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</si>
  <si>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</si>
  <si>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</si>
  <si>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</si>
  <si>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</si>
  <si>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</si>
  <si>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</si>
  <si>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</si>
  <si>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</si>
  <si>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</si>
  <si>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</si>
  <si>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</si>
  <si>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</si>
  <si>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</si>
  <si>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</si>
  <si>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</si>
  <si>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</si>
  <si>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</si>
  <si>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</si>
  <si>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</si>
  <si>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</si>
  <si>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</si>
  <si>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</si>
  <si>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</si>
  <si>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</si>
  <si>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</si>
  <si>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</si>
  <si>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</si>
  <si>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</si>
  <si>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</si>
  <si>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</si>
  <si>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</si>
  <si>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</si>
  <si>
    <t>21/01 Medi-Market</t>
  </si>
  <si>
    <t>21/01 BugerKing</t>
  </si>
  <si>
    <t>21/01 Matricula KIA</t>
  </si>
  <si>
    <t>deltoya29</t>
  </si>
  <si>
    <t>Regalo Papa Silla Coche</t>
  </si>
  <si>
    <t>22/01 Shell</t>
  </si>
  <si>
    <t>23/01 Globo</t>
  </si>
  <si>
    <t>24/01 Aduana</t>
  </si>
  <si>
    <t>24/01 Club 117</t>
  </si>
  <si>
    <t>24/01 Di</t>
  </si>
  <si>
    <t>24/01 Silla Bamninou</t>
  </si>
  <si>
    <t>24/01 Zara</t>
  </si>
  <si>
    <t>DKV Veronique</t>
  </si>
  <si>
    <t>27/01 Carrfour 17.07 €</t>
  </si>
  <si>
    <t>27/01 Carrefour 10€</t>
  </si>
  <si>
    <t>27/01 Carrefour</t>
  </si>
  <si>
    <t>28/01 Ali Express</t>
  </si>
  <si>
    <t>29/01 Sequoia</t>
  </si>
  <si>
    <t>29/01 Paking</t>
  </si>
  <si>
    <t>29/01 Shell</t>
  </si>
  <si>
    <t>30/01 Mifa</t>
  </si>
  <si>
    <t>Papa - Coche</t>
  </si>
  <si>
    <t>alquiler+</t>
  </si>
  <si>
    <t>PC (hasta 201.30€)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</si>
</sst>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4" formatCode="&quot;€&quot;#,##0.00;[Red]\-&quot;€&quot;#,##0.00"/>
    <numFmt numFmtId="165" formatCode="&quot;€&quot;#,##0.00"/>
    <numFmt numFmtId="166" formatCode="#,##0.00\ &quot;€&quot;"/>
    <numFmt numFmtId="167" formatCode="#,##0.0;[Red]#,##0.0"/>
    <numFmt numFmtId="168" formatCode="0.00000"/>
    <numFmt numFmtId="169" formatCode="0.000"/>
    <numFmt numFmtId="170" formatCode="#,##0.00&quot; €&quot;"/>
    <numFmt numFmtId="171" formatCode="#,##0.00&quot; €&quot;;[Red]\-#,##0.00&quot; €&quot;"/>
    <numFmt numFmtId="172" formatCode="mmmm\-yy;@"/>
    <numFmt numFmtId="173" formatCode="#,##0.00\ [$€-80C];[Red]\-#,##0.00\ [$€-80C]"/>
    <numFmt numFmtId="174" formatCode="0.000%"/>
    <numFmt numFmtId="175" formatCode="#,##0.00&quot; €&quot;;\-#,##0.00&quot; €&quot;"/>
    <numFmt numFmtId="176" formatCode="dd/mm/yyyy;@"/>
    <numFmt numFmtId="177" formatCode="0_ ;[Red]\-0\ "/>
    <numFmt numFmtId="178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6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6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8" fontId="15" fillId="0" borderId="0" xfId="0" applyNumberFormat="1" applyFont="1"/>
    <xf numFmtId="1" fontId="0" fillId="0" borderId="0" xfId="0" applyNumberFormat="1"/>
    <xf numFmtId="0" fontId="14" fillId="0" borderId="0" xfId="0" applyFo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70" fontId="0" fillId="0" borderId="66" xfId="0" applyNumberFormat="1" applyBorder="1" applyAlignment="1">
      <alignment horizontal="right"/>
    </xf>
    <xf numFmtId="170" fontId="0" fillId="7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170" fontId="0" fillId="8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0" fontId="0" fillId="0" borderId="73" xfId="0" applyNumberFormat="1" applyBorder="1"/>
    <xf numFmtId="40" fontId="0" fillId="0" borderId="73" xfId="0" applyNumberFormat="1" applyBorder="1"/>
    <xf numFmtId="173" fontId="0" fillId="0" borderId="0" xfId="0" applyNumberFormat="1"/>
    <xf numFmtId="172" fontId="0" fillId="0" borderId="74" xfId="0" applyNumberFormat="1" applyBorder="1" applyAlignment="1">
      <alignment horizontal="center"/>
    </xf>
    <xf numFmtId="170" fontId="0" fillId="0" borderId="75" xfId="0" applyNumberFormat="1" applyBorder="1"/>
    <xf numFmtId="174" fontId="0" fillId="0" borderId="66" xfId="0" applyNumberFormat="1" applyBorder="1"/>
    <xf numFmtId="40" fontId="0" fillId="0" borderId="76" xfId="0" applyNumberFormat="1" applyBorder="1"/>
    <xf numFmtId="170" fontId="0" fillId="0" borderId="76" xfId="0" applyNumberFormat="1" applyBorder="1"/>
    <xf numFmtId="175" fontId="0" fillId="0" borderId="76" xfId="0" applyNumberFormat="1" applyBorder="1"/>
    <xf numFmtId="170" fontId="0" fillId="0" borderId="77" xfId="0" applyNumberFormat="1" applyBorder="1"/>
    <xf numFmtId="170" fontId="15" fillId="0" borderId="76" xfId="0" applyNumberFormat="1" applyFont="1" applyBorder="1"/>
    <xf numFmtId="170" fontId="15" fillId="0" borderId="77" xfId="0" applyNumberFormat="1" applyFont="1" applyBorder="1"/>
    <xf numFmtId="172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4" fontId="0" fillId="0" borderId="79" xfId="0" applyNumberFormat="1" applyBorder="1"/>
    <xf numFmtId="170" fontId="0" fillId="0" borderId="80" xfId="0" applyNumberFormat="1" applyBorder="1"/>
    <xf numFmtId="40" fontId="0" fillId="0" borderId="81" xfId="0" applyNumberFormat="1" applyBorder="1"/>
    <xf numFmtId="170" fontId="0" fillId="0" borderId="81" xfId="0" applyNumberFormat="1" applyBorder="1"/>
    <xf numFmtId="174" fontId="0" fillId="0" borderId="0" xfId="0" applyNumberFormat="1"/>
    <xf numFmtId="170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0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5" fontId="0" fillId="0" borderId="82" xfId="0" applyNumberFormat="1" applyBorder="1"/>
    <xf numFmtId="165" fontId="0" fillId="0" borderId="84" xfId="0" applyNumberFormat="1" applyBorder="1"/>
    <xf numFmtId="165" fontId="18" fillId="0" borderId="82" xfId="0" applyNumberFormat="1" applyFont="1" applyBorder="1"/>
    <xf numFmtId="43" fontId="0" fillId="0" borderId="82" xfId="0" applyNumberFormat="1" applyFont="1" applyBorder="1"/>
    <xf numFmtId="165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6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6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6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6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6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6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6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6" fontId="1" fillId="5" borderId="20" xfId="0" applyNumberFormat="1" applyFont="1" applyFill="1" applyBorder="1"/>
    <xf numFmtId="166" fontId="1" fillId="9" borderId="21" xfId="0" applyNumberFormat="1" applyFont="1" applyFill="1" applyBorder="1"/>
    <xf numFmtId="166" fontId="1" fillId="5" borderId="21" xfId="0" applyNumberFormat="1" applyFont="1" applyFill="1" applyBorder="1"/>
    <xf numFmtId="166" fontId="1" fillId="9" borderId="21" xfId="0" applyNumberFormat="1" applyFont="1" applyFill="1" applyBorder="1" applyAlignment="1">
      <alignment horizontal="right"/>
    </xf>
    <xf numFmtId="166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6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5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6" fontId="0" fillId="0" borderId="131" xfId="0" applyNumberFormat="1" applyFill="1" applyBorder="1" applyAlignment="1">
      <alignment horizontal="right"/>
    </xf>
    <xf numFmtId="177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6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7" fontId="0" fillId="17" borderId="0" xfId="0" applyNumberFormat="1" applyFill="1" applyBorder="1"/>
    <xf numFmtId="8" fontId="0" fillId="17" borderId="96" xfId="0" applyNumberFormat="1" applyFill="1" applyBorder="1"/>
    <xf numFmtId="176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6" fontId="0" fillId="0" borderId="129" xfId="0" applyNumberFormat="1" applyFill="1" applyBorder="1" applyAlignment="1">
      <alignment horizontal="right"/>
    </xf>
    <xf numFmtId="177" fontId="0" fillId="17" borderId="128" xfId="0" applyNumberFormat="1" applyFill="1" applyBorder="1"/>
    <xf numFmtId="8" fontId="0" fillId="17" borderId="130" xfId="0" applyNumberFormat="1" applyFill="1" applyBorder="1"/>
    <xf numFmtId="176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6" fontId="0" fillId="0" borderId="0" xfId="0" applyNumberFormat="1" applyAlignment="1">
      <alignment horizontal="right"/>
    </xf>
    <xf numFmtId="8" fontId="0" fillId="18" borderId="0" xfId="0" applyNumberFormat="1" applyFill="1"/>
    <xf numFmtId="177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7" fontId="0" fillId="0" borderId="134" xfId="0" applyNumberFormat="1" applyBorder="1"/>
    <xf numFmtId="0" fontId="0" fillId="0" borderId="136" xfId="0" applyBorder="1"/>
    <xf numFmtId="176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8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16" zoomScaleNormal="100" workbookViewId="0">
      <pane xSplit="1" topLeftCell="B1" activePane="topRight" state="frozen"/>
      <selection pane="topRight" activeCell="B8" sqref="B8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5" t="s">
        <v>0</v>
      </c>
      <c r="D4" s="356"/>
      <c r="E4" s="356"/>
      <c r="F4" s="357"/>
      <c r="G4" s="355" t="s">
        <v>1</v>
      </c>
      <c r="H4" s="356"/>
      <c r="I4" s="356"/>
      <c r="J4" s="357"/>
      <c r="K4" s="355" t="s">
        <v>2</v>
      </c>
      <c r="L4" s="356"/>
      <c r="M4" s="356"/>
      <c r="N4" s="357"/>
      <c r="O4" s="355" t="s">
        <v>3</v>
      </c>
      <c r="P4" s="356"/>
      <c r="Q4" s="356"/>
      <c r="R4" s="357"/>
      <c r="S4" s="355" t="s">
        <v>69</v>
      </c>
      <c r="T4" s="356"/>
      <c r="U4" s="356"/>
      <c r="V4" s="357"/>
      <c r="W4" s="355" t="s">
        <v>68</v>
      </c>
      <c r="X4" s="356"/>
      <c r="Y4" s="356"/>
      <c r="Z4" s="357"/>
      <c r="AA4" s="355" t="s">
        <v>70</v>
      </c>
      <c r="AB4" s="356"/>
      <c r="AC4" s="356"/>
      <c r="AD4" s="357"/>
      <c r="AE4" s="355" t="s">
        <v>71</v>
      </c>
      <c r="AF4" s="356"/>
      <c r="AG4" s="356"/>
      <c r="AH4" s="357"/>
      <c r="AI4" s="355" t="s">
        <v>73</v>
      </c>
      <c r="AJ4" s="356"/>
      <c r="AK4" s="356"/>
      <c r="AL4" s="357"/>
      <c r="AM4" s="355" t="s">
        <v>75</v>
      </c>
      <c r="AN4" s="356"/>
      <c r="AO4" s="356"/>
      <c r="AP4" s="357"/>
      <c r="AQ4" s="355" t="s">
        <v>77</v>
      </c>
      <c r="AR4" s="356"/>
      <c r="AS4" s="356"/>
      <c r="AT4" s="357"/>
      <c r="AU4" s="355" t="s">
        <v>82</v>
      </c>
      <c r="AV4" s="356"/>
      <c r="AW4" s="356"/>
      <c r="AX4" s="357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58">
        <f>'01'!K19</f>
        <v>34150.43</v>
      </c>
      <c r="D5" s="359"/>
      <c r="E5" s="359"/>
      <c r="F5" s="360"/>
      <c r="G5" s="358">
        <f>'02'!K19</f>
        <v>33839.089999999997</v>
      </c>
      <c r="H5" s="359"/>
      <c r="I5" s="359"/>
      <c r="J5" s="360"/>
      <c r="K5" s="365">
        <f>'03'!K19</f>
        <v>25574.760000000002</v>
      </c>
      <c r="L5" s="359"/>
      <c r="M5" s="359"/>
      <c r="N5" s="360"/>
      <c r="O5" s="365">
        <f>'04'!K19</f>
        <v>26443.759999999998</v>
      </c>
      <c r="P5" s="359"/>
      <c r="Q5" s="359"/>
      <c r="R5" s="360"/>
      <c r="S5" s="365">
        <f>'05'!K19</f>
        <v>27163.090000000004</v>
      </c>
      <c r="T5" s="359"/>
      <c r="U5" s="359"/>
      <c r="V5" s="360"/>
      <c r="W5" s="365">
        <f>'06'!K19</f>
        <v>29014.079999999998</v>
      </c>
      <c r="X5" s="359"/>
      <c r="Y5" s="359"/>
      <c r="Z5" s="360"/>
      <c r="AA5" s="365">
        <f>'07'!K19</f>
        <v>29282.959999999999</v>
      </c>
      <c r="AB5" s="359"/>
      <c r="AC5" s="359"/>
      <c r="AD5" s="360"/>
      <c r="AE5" s="365">
        <f>'08'!K19</f>
        <v>29166.850000000002</v>
      </c>
      <c r="AF5" s="359"/>
      <c r="AG5" s="359"/>
      <c r="AH5" s="360"/>
      <c r="AI5" s="365">
        <f>'09'!K19</f>
        <v>29258.260000000002</v>
      </c>
      <c r="AJ5" s="359"/>
      <c r="AK5" s="359"/>
      <c r="AL5" s="360"/>
      <c r="AM5" s="365">
        <f>'10'!K19</f>
        <v>30089.47</v>
      </c>
      <c r="AN5" s="359"/>
      <c r="AO5" s="359"/>
      <c r="AP5" s="360"/>
      <c r="AQ5" s="365">
        <f>'11'!K19</f>
        <v>30103.380000000005</v>
      </c>
      <c r="AR5" s="359"/>
      <c r="AS5" s="359"/>
      <c r="AT5" s="360"/>
      <c r="AU5" s="365">
        <f>'12'!K19</f>
        <v>30103.380000000005</v>
      </c>
      <c r="AV5" s="359"/>
      <c r="AW5" s="359"/>
      <c r="AX5" s="360"/>
      <c r="AZ5" s="6"/>
      <c r="BA5" s="7"/>
      <c r="BB5" s="1"/>
      <c r="BC5" s="1"/>
    </row>
    <row r="6" spans="1:55" ht="17.25" thickTop="1" thickBot="1">
      <c r="A6" s="205"/>
      <c r="B6" s="8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4"/>
      <c r="Q6" s="364"/>
      <c r="R6" s="364"/>
      <c r="S6" s="364"/>
      <c r="T6" s="364"/>
      <c r="U6" s="364"/>
      <c r="V6" s="364"/>
      <c r="W6" s="364"/>
      <c r="X6" s="364"/>
      <c r="Y6" s="364"/>
      <c r="Z6" s="364"/>
      <c r="AA6" s="364"/>
      <c r="AB6" s="364"/>
      <c r="AC6" s="364"/>
      <c r="AD6" s="364"/>
      <c r="AE6" s="364"/>
      <c r="AF6" s="364"/>
      <c r="AG6" s="364"/>
      <c r="AH6" s="364"/>
      <c r="AI6" s="364"/>
      <c r="AJ6" s="364"/>
      <c r="AK6" s="364"/>
      <c r="AL6" s="364"/>
      <c r="AM6" s="364"/>
      <c r="AN6" s="364"/>
      <c r="AO6" s="364"/>
      <c r="AP6" s="364"/>
      <c r="AQ6" s="364"/>
      <c r="AR6" s="364"/>
      <c r="AS6" s="364"/>
      <c r="AT6" s="364"/>
      <c r="AU6" s="364"/>
      <c r="AV6" s="364"/>
      <c r="AW6" s="364"/>
      <c r="AX6" s="364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61" t="s">
        <v>215</v>
      </c>
      <c r="D7" s="362"/>
      <c r="E7" s="362"/>
      <c r="F7" s="363"/>
      <c r="G7" s="361" t="s">
        <v>215</v>
      </c>
      <c r="H7" s="362"/>
      <c r="I7" s="362"/>
      <c r="J7" s="363"/>
      <c r="K7" s="361" t="s">
        <v>215</v>
      </c>
      <c r="L7" s="362"/>
      <c r="M7" s="362"/>
      <c r="N7" s="363"/>
      <c r="O7" s="361" t="s">
        <v>215</v>
      </c>
      <c r="P7" s="362"/>
      <c r="Q7" s="362"/>
      <c r="R7" s="363"/>
      <c r="S7" s="361" t="s">
        <v>215</v>
      </c>
      <c r="T7" s="362"/>
      <c r="U7" s="362"/>
      <c r="V7" s="363"/>
      <c r="W7" s="361" t="s">
        <v>215</v>
      </c>
      <c r="X7" s="362"/>
      <c r="Y7" s="362"/>
      <c r="Z7" s="363"/>
      <c r="AA7" s="361" t="s">
        <v>215</v>
      </c>
      <c r="AB7" s="362"/>
      <c r="AC7" s="362"/>
      <c r="AD7" s="363"/>
      <c r="AE7" s="361" t="s">
        <v>215</v>
      </c>
      <c r="AF7" s="362"/>
      <c r="AG7" s="362"/>
      <c r="AH7" s="363"/>
      <c r="AI7" s="361" t="s">
        <v>215</v>
      </c>
      <c r="AJ7" s="362"/>
      <c r="AK7" s="362"/>
      <c r="AL7" s="363"/>
      <c r="AM7" s="361" t="s">
        <v>215</v>
      </c>
      <c r="AN7" s="362"/>
      <c r="AO7" s="362"/>
      <c r="AP7" s="363"/>
      <c r="AQ7" s="361" t="s">
        <v>215</v>
      </c>
      <c r="AR7" s="362"/>
      <c r="AS7" s="362"/>
      <c r="AT7" s="363"/>
      <c r="AU7" s="361" t="s">
        <v>215</v>
      </c>
      <c r="AV7" s="362"/>
      <c r="AW7" s="362"/>
      <c r="AX7" s="363"/>
      <c r="AZ7" s="9" t="s">
        <v>217</v>
      </c>
      <c r="BA7" s="13" t="s">
        <v>181</v>
      </c>
      <c r="BB7" s="1"/>
      <c r="BC7" s="1"/>
    </row>
    <row r="8" spans="1:55" ht="15.75">
      <c r="A8" s="206" t="s">
        <v>198</v>
      </c>
      <c r="B8" s="192">
        <v>35000.47</v>
      </c>
      <c r="C8" s="343">
        <f>SUM('01'!L25:'01'!L29)</f>
        <v>2583.61</v>
      </c>
      <c r="D8" s="344"/>
      <c r="E8" s="344"/>
      <c r="F8" s="345"/>
      <c r="G8" s="343">
        <f>SUM('02'!L25:'02'!L29)</f>
        <v>0</v>
      </c>
      <c r="H8" s="344"/>
      <c r="I8" s="344"/>
      <c r="J8" s="345"/>
      <c r="K8" s="343">
        <f>SUM('03'!L25:'03'!L29)</f>
        <v>0</v>
      </c>
      <c r="L8" s="344"/>
      <c r="M8" s="344"/>
      <c r="N8" s="345"/>
      <c r="O8" s="343">
        <f>SUM('04'!L25:'04'!L29)</f>
        <v>2570.56</v>
      </c>
      <c r="P8" s="344"/>
      <c r="Q8" s="344"/>
      <c r="R8" s="345"/>
      <c r="S8" s="343">
        <f>SUM('05'!L25:'05'!L29)</f>
        <v>4448.8500000000004</v>
      </c>
      <c r="T8" s="344"/>
      <c r="U8" s="344"/>
      <c r="V8" s="345"/>
      <c r="W8" s="343">
        <f>SUM('06'!L25:'06'!L29)</f>
        <v>2574.61</v>
      </c>
      <c r="X8" s="344"/>
      <c r="Y8" s="344"/>
      <c r="Z8" s="345"/>
      <c r="AA8" s="343">
        <f>SUM('07'!L25:'07'!L29)</f>
        <v>2568.54</v>
      </c>
      <c r="AB8" s="344"/>
      <c r="AC8" s="344"/>
      <c r="AD8" s="345"/>
      <c r="AE8" s="343">
        <f>SUM('08'!L25:'08'!L29)</f>
        <v>2571.5500000000002</v>
      </c>
      <c r="AF8" s="344"/>
      <c r="AG8" s="344"/>
      <c r="AH8" s="345"/>
      <c r="AI8" s="343">
        <f>SUM('09'!L25:'09'!L29)</f>
        <v>2573.7399999999998</v>
      </c>
      <c r="AJ8" s="344"/>
      <c r="AK8" s="344"/>
      <c r="AL8" s="345"/>
      <c r="AM8" s="343">
        <f>SUM('10'!L25:'10'!L29)</f>
        <v>2617.69</v>
      </c>
      <c r="AN8" s="344"/>
      <c r="AO8" s="344"/>
      <c r="AP8" s="345"/>
      <c r="AQ8" s="343">
        <f>SUM('11'!L25:'11'!L29)</f>
        <v>2588.0700000000002</v>
      </c>
      <c r="AR8" s="344"/>
      <c r="AS8" s="344"/>
      <c r="AT8" s="345"/>
      <c r="AU8" s="343">
        <f>SUM('12'!L25:'12'!L29)</f>
        <v>0</v>
      </c>
      <c r="AV8" s="344"/>
      <c r="AW8" s="344"/>
      <c r="AX8" s="345"/>
      <c r="AZ8" s="209">
        <f>SUM(C8:AU8)</f>
        <v>25097.219999999998</v>
      </c>
      <c r="BA8" s="112">
        <f t="shared" ref="BA8:BA16" ca="1" si="0">AZ8/BC$17</f>
        <v>25097.219999999998</v>
      </c>
      <c r="BB8" s="1"/>
      <c r="BC8" s="1"/>
    </row>
    <row r="9" spans="1:55" ht="15.75">
      <c r="A9" s="189" t="s">
        <v>199</v>
      </c>
      <c r="B9" s="193">
        <v>6335.2300000000014</v>
      </c>
      <c r="C9" s="346">
        <f>SUM('01'!L30:'01'!L34)</f>
        <v>133.94</v>
      </c>
      <c r="D9" s="347"/>
      <c r="E9" s="347"/>
      <c r="F9" s="348"/>
      <c r="G9" s="346">
        <f>SUM('02'!L30:'02'!L34)</f>
        <v>0</v>
      </c>
      <c r="H9" s="347"/>
      <c r="I9" s="347"/>
      <c r="J9" s="348"/>
      <c r="K9" s="346">
        <f>SUM('03'!L30:'03'!L34)</f>
        <v>0</v>
      </c>
      <c r="L9" s="347"/>
      <c r="M9" s="347"/>
      <c r="N9" s="348"/>
      <c r="O9" s="346">
        <f>SUM('04'!L30:'04'!L34)</f>
        <v>507.54</v>
      </c>
      <c r="P9" s="347"/>
      <c r="Q9" s="347"/>
      <c r="R9" s="348"/>
      <c r="S9" s="346">
        <f>SUM('05'!L30:'05'!L34)</f>
        <v>578.16999999999996</v>
      </c>
      <c r="T9" s="347"/>
      <c r="U9" s="347"/>
      <c r="V9" s="348"/>
      <c r="W9" s="346">
        <f>SUM('06'!L30:'06'!L34)</f>
        <v>613.67000000000007</v>
      </c>
      <c r="X9" s="347"/>
      <c r="Y9" s="347"/>
      <c r="Z9" s="348"/>
      <c r="AA9" s="346">
        <f>SUM('07'!L30:'07'!L34)</f>
        <v>1147.52</v>
      </c>
      <c r="AB9" s="347"/>
      <c r="AC9" s="347"/>
      <c r="AD9" s="348"/>
      <c r="AE9" s="346">
        <f>SUM('08'!L30:'08'!L34)</f>
        <v>291.60000000000002</v>
      </c>
      <c r="AF9" s="347"/>
      <c r="AG9" s="347"/>
      <c r="AH9" s="348"/>
      <c r="AI9" s="346">
        <f>SUM('09'!L30:'09'!L34)</f>
        <v>291.60000000000002</v>
      </c>
      <c r="AJ9" s="347"/>
      <c r="AK9" s="347"/>
      <c r="AL9" s="348"/>
      <c r="AM9" s="346">
        <f>SUM('10'!L30:'10'!L34)</f>
        <v>599.04999999999995</v>
      </c>
      <c r="AN9" s="347"/>
      <c r="AO9" s="347"/>
      <c r="AP9" s="348"/>
      <c r="AQ9" s="346">
        <f>SUM('11'!L30:'11'!L34)</f>
        <v>302.78999999999996</v>
      </c>
      <c r="AR9" s="347"/>
      <c r="AS9" s="347"/>
      <c r="AT9" s="348"/>
      <c r="AU9" s="346">
        <f>SUM('12'!L30:'12'!L34)</f>
        <v>0</v>
      </c>
      <c r="AV9" s="347"/>
      <c r="AW9" s="347"/>
      <c r="AX9" s="348"/>
      <c r="AZ9" s="210">
        <f t="shared" ref="AZ9:AZ16" si="1">SUM(C9:AW9)</f>
        <v>4465.88</v>
      </c>
      <c r="BA9" s="112">
        <f t="shared" ca="1" si="0"/>
        <v>4465.88</v>
      </c>
      <c r="BB9" s="1"/>
      <c r="BC9" s="1"/>
    </row>
    <row r="10" spans="1:55" ht="15.75">
      <c r="A10" s="190" t="s">
        <v>204</v>
      </c>
      <c r="B10" s="194">
        <v>1156.51</v>
      </c>
      <c r="C10" s="346">
        <f>SUM('01'!L35:'01'!L39)</f>
        <v>133.97</v>
      </c>
      <c r="D10" s="347"/>
      <c r="E10" s="347"/>
      <c r="F10" s="348"/>
      <c r="G10" s="346">
        <f>SUM('02'!L35:'02'!L39)</f>
        <v>0</v>
      </c>
      <c r="H10" s="347"/>
      <c r="I10" s="347"/>
      <c r="J10" s="348"/>
      <c r="K10" s="346">
        <f>SUM('03'!L35:'03'!L39)</f>
        <v>0</v>
      </c>
      <c r="L10" s="347"/>
      <c r="M10" s="347"/>
      <c r="N10" s="348"/>
      <c r="O10" s="346">
        <f>SUM('04'!L35:'04'!L39)</f>
        <v>204.23</v>
      </c>
      <c r="P10" s="347"/>
      <c r="Q10" s="347"/>
      <c r="R10" s="348"/>
      <c r="S10" s="346">
        <f>SUM('05'!L35:'05'!L39)</f>
        <v>119.85</v>
      </c>
      <c r="T10" s="347"/>
      <c r="U10" s="347"/>
      <c r="V10" s="348"/>
      <c r="W10" s="349">
        <f>SUM('06'!L35:'06'!L39)</f>
        <v>55.09</v>
      </c>
      <c r="X10" s="350"/>
      <c r="Y10" s="350"/>
      <c r="Z10" s="351"/>
      <c r="AA10" s="349">
        <f>SUM('07'!L35:'07'!L39)</f>
        <v>124.52</v>
      </c>
      <c r="AB10" s="350"/>
      <c r="AC10" s="350"/>
      <c r="AD10" s="351"/>
      <c r="AE10" s="349">
        <f>SUM('08'!L35:'08'!L39)</f>
        <v>164.91</v>
      </c>
      <c r="AF10" s="350"/>
      <c r="AG10" s="350"/>
      <c r="AH10" s="351"/>
      <c r="AI10" s="349">
        <f>SUM('09'!L35:'09'!L39)</f>
        <v>167.95</v>
      </c>
      <c r="AJ10" s="350"/>
      <c r="AK10" s="350"/>
      <c r="AL10" s="351"/>
      <c r="AM10" s="349">
        <f>SUM('10'!L35:'10'!L39)</f>
        <v>0</v>
      </c>
      <c r="AN10" s="350"/>
      <c r="AO10" s="350"/>
      <c r="AP10" s="351"/>
      <c r="AQ10" s="349">
        <f>SUM('11'!L35:'11'!L39)</f>
        <v>0</v>
      </c>
      <c r="AR10" s="350"/>
      <c r="AS10" s="350"/>
      <c r="AT10" s="351"/>
      <c r="AU10" s="349">
        <f>SUM('12'!L35:'12'!L39)</f>
        <v>0</v>
      </c>
      <c r="AV10" s="350"/>
      <c r="AW10" s="350"/>
      <c r="AX10" s="351"/>
      <c r="AZ10" s="211">
        <f t="shared" si="1"/>
        <v>970.52</v>
      </c>
      <c r="BA10" s="112">
        <f t="shared" ca="1" si="0"/>
        <v>970.52</v>
      </c>
      <c r="BB10" s="1"/>
      <c r="BC10" s="1"/>
    </row>
    <row r="11" spans="1:55" ht="15.75">
      <c r="A11" s="189" t="s">
        <v>200</v>
      </c>
      <c r="B11" s="193">
        <v>1224.4499999999998</v>
      </c>
      <c r="C11" s="346">
        <f>SUM('01'!L40:'01'!L44)</f>
        <v>2.63</v>
      </c>
      <c r="D11" s="347"/>
      <c r="E11" s="347"/>
      <c r="F11" s="348"/>
      <c r="G11" s="346">
        <f>SUM('02'!L40:'02'!L44)</f>
        <v>0</v>
      </c>
      <c r="H11" s="347"/>
      <c r="I11" s="347"/>
      <c r="J11" s="348"/>
      <c r="K11" s="346">
        <f>SUM('03'!L40:'03'!L44)</f>
        <v>0</v>
      </c>
      <c r="L11" s="347"/>
      <c r="M11" s="347"/>
      <c r="N11" s="348"/>
      <c r="O11" s="346">
        <f>SUM('04'!L40:'04'!L44)</f>
        <v>356.59</v>
      </c>
      <c r="P11" s="347"/>
      <c r="Q11" s="347"/>
      <c r="R11" s="348"/>
      <c r="S11" s="346">
        <f>SUM('05'!L40:'05'!L44)</f>
        <v>45.86</v>
      </c>
      <c r="T11" s="347"/>
      <c r="U11" s="347"/>
      <c r="V11" s="348"/>
      <c r="W11" s="346">
        <f>SUM('06'!L40:'06'!L44)</f>
        <v>0</v>
      </c>
      <c r="X11" s="347"/>
      <c r="Y11" s="347"/>
      <c r="Z11" s="348"/>
      <c r="AA11" s="346">
        <f>SUM('07'!L40:'07'!L44)</f>
        <v>1.02</v>
      </c>
      <c r="AB11" s="347"/>
      <c r="AC11" s="347"/>
      <c r="AD11" s="348"/>
      <c r="AE11" s="346">
        <f>SUM('08'!L40:'08'!L44)</f>
        <v>0</v>
      </c>
      <c r="AF11" s="347"/>
      <c r="AG11" s="347"/>
      <c r="AH11" s="348"/>
      <c r="AI11" s="346">
        <f>SUM('09'!L40:'09'!L44)</f>
        <v>0</v>
      </c>
      <c r="AJ11" s="347"/>
      <c r="AK11" s="347"/>
      <c r="AL11" s="348"/>
      <c r="AM11" s="346">
        <f>SUM('10'!L40:'10'!L44)</f>
        <v>52.97</v>
      </c>
      <c r="AN11" s="347"/>
      <c r="AO11" s="347"/>
      <c r="AP11" s="348"/>
      <c r="AQ11" s="346">
        <f>SUM('11'!L40:'11'!L44)</f>
        <v>42.84</v>
      </c>
      <c r="AR11" s="347"/>
      <c r="AS11" s="347"/>
      <c r="AT11" s="348"/>
      <c r="AU11" s="346">
        <f>SUM('12'!L40:'12'!L44)</f>
        <v>0</v>
      </c>
      <c r="AV11" s="347"/>
      <c r="AW11" s="347"/>
      <c r="AX11" s="348"/>
      <c r="AZ11" s="210">
        <f t="shared" si="1"/>
        <v>501.90999999999997</v>
      </c>
      <c r="BA11" s="112">
        <f t="shared" ca="1" si="0"/>
        <v>501.90999999999997</v>
      </c>
      <c r="BB11" s="1"/>
      <c r="BC11" s="1"/>
    </row>
    <row r="12" spans="1:55" ht="15.75">
      <c r="A12" s="190" t="s">
        <v>22</v>
      </c>
      <c r="B12" s="194">
        <v>2312.4300000000003</v>
      </c>
      <c r="C12" s="346">
        <f>SUM('01'!L45:'01'!L49)</f>
        <v>1142.8599999999999</v>
      </c>
      <c r="D12" s="347"/>
      <c r="E12" s="347"/>
      <c r="F12" s="348"/>
      <c r="G12" s="346">
        <f>SUM('02'!L45:'02'!L49)</f>
        <v>0</v>
      </c>
      <c r="H12" s="347"/>
      <c r="I12" s="347"/>
      <c r="J12" s="348"/>
      <c r="K12" s="346">
        <f>SUM('03'!L45:'03'!L49)</f>
        <v>0</v>
      </c>
      <c r="L12" s="347"/>
      <c r="M12" s="347"/>
      <c r="N12" s="348"/>
      <c r="O12" s="346">
        <f>SUM('04'!L45:'04'!L49)</f>
        <v>0</v>
      </c>
      <c r="P12" s="347"/>
      <c r="Q12" s="347"/>
      <c r="R12" s="348"/>
      <c r="S12" s="346">
        <f>SUM('05'!L45:'05'!L49)</f>
        <v>0</v>
      </c>
      <c r="T12" s="347"/>
      <c r="U12" s="347"/>
      <c r="V12" s="348"/>
      <c r="W12" s="349">
        <f>SUM('06'!L45:'06'!L49)</f>
        <v>242.41</v>
      </c>
      <c r="X12" s="350"/>
      <c r="Y12" s="350"/>
      <c r="Z12" s="351"/>
      <c r="AA12" s="349">
        <f>SUM('07'!L45:'07'!L49)</f>
        <v>0</v>
      </c>
      <c r="AB12" s="350"/>
      <c r="AC12" s="350"/>
      <c r="AD12" s="351"/>
      <c r="AE12" s="349">
        <f>SUM('08'!L45:'08'!L49)</f>
        <v>222.98</v>
      </c>
      <c r="AF12" s="350"/>
      <c r="AG12" s="350"/>
      <c r="AH12" s="351"/>
      <c r="AI12" s="349">
        <f>SUM('09'!L45:'09'!L49)</f>
        <v>200</v>
      </c>
      <c r="AJ12" s="350"/>
      <c r="AK12" s="350"/>
      <c r="AL12" s="351"/>
      <c r="AM12" s="349">
        <f>SUM('10'!L45:'10'!L49)</f>
        <v>0</v>
      </c>
      <c r="AN12" s="350"/>
      <c r="AO12" s="350"/>
      <c r="AP12" s="351"/>
      <c r="AQ12" s="349">
        <f>SUM('11'!L45:'11'!L49)</f>
        <v>430</v>
      </c>
      <c r="AR12" s="350"/>
      <c r="AS12" s="350"/>
      <c r="AT12" s="351"/>
      <c r="AU12" s="349">
        <f>SUM('12'!L45:'12'!L49)</f>
        <v>0</v>
      </c>
      <c r="AV12" s="350"/>
      <c r="AW12" s="350"/>
      <c r="AX12" s="351"/>
      <c r="AZ12" s="211">
        <f t="shared" si="1"/>
        <v>2238.25</v>
      </c>
      <c r="BA12" s="112">
        <f t="shared" ca="1" si="0"/>
        <v>2238.25</v>
      </c>
      <c r="BB12" s="1"/>
      <c r="BC12" s="1"/>
    </row>
    <row r="13" spans="1:55" ht="15.75">
      <c r="A13" s="189" t="s">
        <v>201</v>
      </c>
      <c r="B13" s="195">
        <v>10099.5</v>
      </c>
      <c r="C13" s="346">
        <f>SUM('01'!L50:'01'!L54)</f>
        <v>273.07</v>
      </c>
      <c r="D13" s="347"/>
      <c r="E13" s="347"/>
      <c r="F13" s="348"/>
      <c r="G13" s="346">
        <f>SUM('02'!L50:'02'!L54)</f>
        <v>0</v>
      </c>
      <c r="H13" s="347"/>
      <c r="I13" s="347"/>
      <c r="J13" s="348"/>
      <c r="K13" s="346">
        <f>SUM('03'!L50:'03'!L54)</f>
        <v>0</v>
      </c>
      <c r="L13" s="347"/>
      <c r="M13" s="347"/>
      <c r="N13" s="348"/>
      <c r="O13" s="346">
        <f>SUM('04'!L50:'04'!L54)</f>
        <v>95.8</v>
      </c>
      <c r="P13" s="347"/>
      <c r="Q13" s="347"/>
      <c r="R13" s="348"/>
      <c r="S13" s="346">
        <f>SUM('05'!L50:'05'!L54)</f>
        <v>95.8</v>
      </c>
      <c r="T13" s="347"/>
      <c r="U13" s="347"/>
      <c r="V13" s="348"/>
      <c r="W13" s="346">
        <f>SUM('06'!L50:'06'!L54)</f>
        <v>95.8</v>
      </c>
      <c r="X13" s="347"/>
      <c r="Y13" s="347"/>
      <c r="Z13" s="348"/>
      <c r="AA13" s="346">
        <f>SUM('07'!L50:'07'!L54)</f>
        <v>95.8</v>
      </c>
      <c r="AB13" s="347"/>
      <c r="AC13" s="347"/>
      <c r="AD13" s="348"/>
      <c r="AE13" s="346">
        <f>SUM('08'!L50:'08'!L54)</f>
        <v>117.03</v>
      </c>
      <c r="AF13" s="347"/>
      <c r="AG13" s="347"/>
      <c r="AH13" s="348"/>
      <c r="AI13" s="346">
        <f>SUM('09'!L50:'09'!L54)</f>
        <v>1072.33</v>
      </c>
      <c r="AJ13" s="347"/>
      <c r="AK13" s="347"/>
      <c r="AL13" s="348"/>
      <c r="AM13" s="346">
        <f>SUM('10'!L50:'10'!L54)</f>
        <v>95.8</v>
      </c>
      <c r="AN13" s="347"/>
      <c r="AO13" s="347"/>
      <c r="AP13" s="348"/>
      <c r="AQ13" s="346">
        <f>SUM('11'!L50:'11'!L54)</f>
        <v>95.8</v>
      </c>
      <c r="AR13" s="347"/>
      <c r="AS13" s="347"/>
      <c r="AT13" s="348"/>
      <c r="AU13" s="346">
        <f>SUM('12'!L50:'12'!L54)</f>
        <v>0</v>
      </c>
      <c r="AV13" s="347"/>
      <c r="AW13" s="347"/>
      <c r="AX13" s="348"/>
      <c r="AZ13" s="212">
        <f t="shared" si="1"/>
        <v>2037.2299999999998</v>
      </c>
      <c r="BA13" s="112">
        <f t="shared" ca="1" si="0"/>
        <v>2037.2299999999998</v>
      </c>
      <c r="BB13" s="1"/>
      <c r="BC13" s="1"/>
    </row>
    <row r="14" spans="1:55" ht="15.75">
      <c r="A14" s="190" t="s">
        <v>202</v>
      </c>
      <c r="B14" s="194">
        <v>768.34999999999991</v>
      </c>
      <c r="C14" s="346">
        <f>SUM('01'!L55:'01'!L59)</f>
        <v>776.51</v>
      </c>
      <c r="D14" s="347"/>
      <c r="E14" s="347"/>
      <c r="F14" s="348"/>
      <c r="G14" s="346">
        <f>SUM('02'!L55:'02'!L59)</f>
        <v>0</v>
      </c>
      <c r="H14" s="347"/>
      <c r="I14" s="347"/>
      <c r="J14" s="348"/>
      <c r="K14" s="346">
        <f>SUM('03'!L55:'03'!L59)</f>
        <v>0</v>
      </c>
      <c r="L14" s="347"/>
      <c r="M14" s="347"/>
      <c r="N14" s="348"/>
      <c r="O14" s="346">
        <f>SUM('04'!L55:'04'!L59)</f>
        <v>37.980000000000004</v>
      </c>
      <c r="P14" s="347"/>
      <c r="Q14" s="347"/>
      <c r="R14" s="348"/>
      <c r="S14" s="346">
        <f>SUM('05'!L55:'05'!L59)</f>
        <v>17.350000000000001</v>
      </c>
      <c r="T14" s="347"/>
      <c r="U14" s="347"/>
      <c r="V14" s="348"/>
      <c r="W14" s="349">
        <f>SUM('06'!L55:'06'!L59)</f>
        <v>0</v>
      </c>
      <c r="X14" s="350"/>
      <c r="Y14" s="350"/>
      <c r="Z14" s="351"/>
      <c r="AA14" s="349">
        <f>SUM('07'!L55:'07'!L59)</f>
        <v>51.759999999999991</v>
      </c>
      <c r="AB14" s="350"/>
      <c r="AC14" s="350"/>
      <c r="AD14" s="351"/>
      <c r="AE14" s="349">
        <f>SUM('08'!L55:'08'!L59)</f>
        <v>27.42</v>
      </c>
      <c r="AF14" s="350"/>
      <c r="AG14" s="350"/>
      <c r="AH14" s="351"/>
      <c r="AI14" s="349">
        <f>SUM('09'!L55:'09'!L59)</f>
        <v>0</v>
      </c>
      <c r="AJ14" s="350"/>
      <c r="AK14" s="350"/>
      <c r="AL14" s="351"/>
      <c r="AM14" s="349">
        <f>SUM('10'!L55:'10'!L59)</f>
        <v>57.08</v>
      </c>
      <c r="AN14" s="350"/>
      <c r="AO14" s="350"/>
      <c r="AP14" s="351"/>
      <c r="AQ14" s="349">
        <f>SUM('11'!L55:'11'!L59)</f>
        <v>393.02</v>
      </c>
      <c r="AR14" s="350"/>
      <c r="AS14" s="350"/>
      <c r="AT14" s="351"/>
      <c r="AU14" s="349">
        <f>SUM('12'!L55:'12'!L59)</f>
        <v>0</v>
      </c>
      <c r="AV14" s="350"/>
      <c r="AW14" s="350"/>
      <c r="AX14" s="351"/>
      <c r="AZ14" s="211">
        <f t="shared" si="1"/>
        <v>1361.12</v>
      </c>
      <c r="BA14" s="112">
        <f t="shared" ca="1" si="0"/>
        <v>1361.12</v>
      </c>
      <c r="BB14" s="3"/>
      <c r="BC14" s="3"/>
    </row>
    <row r="15" spans="1:55" ht="15.75">
      <c r="A15" s="189" t="s">
        <v>203</v>
      </c>
      <c r="B15" s="193">
        <v>7259.8400000000011</v>
      </c>
      <c r="C15" s="346">
        <f>SUM('01'!L60:'01'!L64)</f>
        <v>0</v>
      </c>
      <c r="D15" s="347"/>
      <c r="E15" s="347"/>
      <c r="F15" s="348"/>
      <c r="G15" s="346">
        <f>SUM('02'!L60:'02'!L64)</f>
        <v>0</v>
      </c>
      <c r="H15" s="347"/>
      <c r="I15" s="347"/>
      <c r="J15" s="348"/>
      <c r="K15" s="346">
        <f>SUM('03'!L60:'03'!L64)</f>
        <v>0</v>
      </c>
      <c r="L15" s="347"/>
      <c r="M15" s="347"/>
      <c r="N15" s="348"/>
      <c r="O15" s="346">
        <f>SUM('04'!L60:'04'!L64)</f>
        <v>550</v>
      </c>
      <c r="P15" s="347"/>
      <c r="Q15" s="347"/>
      <c r="R15" s="348"/>
      <c r="S15" s="346">
        <f>SUM('05'!L60:'05'!L64)</f>
        <v>652.44000000000005</v>
      </c>
      <c r="T15" s="347"/>
      <c r="U15" s="347"/>
      <c r="V15" s="348"/>
      <c r="W15" s="346">
        <f>SUM('06'!L60:'06'!L64)</f>
        <v>511.74</v>
      </c>
      <c r="X15" s="347"/>
      <c r="Y15" s="347"/>
      <c r="Z15" s="348"/>
      <c r="AA15" s="346">
        <f>SUM('07'!L60:'07'!L64)</f>
        <v>649.1</v>
      </c>
      <c r="AB15" s="347"/>
      <c r="AC15" s="347"/>
      <c r="AD15" s="348"/>
      <c r="AE15" s="346">
        <f>SUM('08'!L60:'08'!L64)</f>
        <v>550</v>
      </c>
      <c r="AF15" s="347"/>
      <c r="AG15" s="347"/>
      <c r="AH15" s="348"/>
      <c r="AI15" s="346">
        <f>SUM('09'!L60:'09'!L64)</f>
        <v>676.35</v>
      </c>
      <c r="AJ15" s="347"/>
      <c r="AK15" s="347"/>
      <c r="AL15" s="348"/>
      <c r="AM15" s="346">
        <f>SUM('10'!L60:'10'!L64)</f>
        <v>550</v>
      </c>
      <c r="AN15" s="347"/>
      <c r="AO15" s="347"/>
      <c r="AP15" s="348"/>
      <c r="AQ15" s="346">
        <f>SUM('11'!L60:'11'!L64)</f>
        <v>647.88</v>
      </c>
      <c r="AR15" s="347"/>
      <c r="AS15" s="347"/>
      <c r="AT15" s="348"/>
      <c r="AU15" s="346">
        <f>SUM('12'!L60:'12'!L64)</f>
        <v>0</v>
      </c>
      <c r="AV15" s="347"/>
      <c r="AW15" s="347"/>
      <c r="AX15" s="348"/>
      <c r="AZ15" s="210">
        <f t="shared" si="1"/>
        <v>4787.51</v>
      </c>
      <c r="BA15" s="112">
        <f t="shared" ca="1" si="0"/>
        <v>4787.51</v>
      </c>
      <c r="BB15" s="1"/>
      <c r="BC15" s="1"/>
    </row>
    <row r="16" spans="1:55" ht="16.5" thickBot="1">
      <c r="A16" s="191" t="s">
        <v>40</v>
      </c>
      <c r="B16" s="196">
        <v>185</v>
      </c>
      <c r="C16" s="346">
        <f>SUM('01'!L65:'01'!L69)</f>
        <v>87.95</v>
      </c>
      <c r="D16" s="347"/>
      <c r="E16" s="347"/>
      <c r="F16" s="348"/>
      <c r="G16" s="346">
        <f>SUM('02'!L65:'02'!L69)</f>
        <v>0</v>
      </c>
      <c r="H16" s="347"/>
      <c r="I16" s="347"/>
      <c r="J16" s="348"/>
      <c r="K16" s="346">
        <f>SUM('03'!L65:'03'!L69)</f>
        <v>0</v>
      </c>
      <c r="L16" s="347"/>
      <c r="M16" s="347"/>
      <c r="N16" s="348"/>
      <c r="O16" s="346">
        <f>SUM('04'!L65:'04'!L69)</f>
        <v>0</v>
      </c>
      <c r="P16" s="347"/>
      <c r="Q16" s="347"/>
      <c r="R16" s="348"/>
      <c r="S16" s="346">
        <f>SUM('05'!L65:'05'!L69)</f>
        <v>0</v>
      </c>
      <c r="T16" s="347"/>
      <c r="U16" s="347"/>
      <c r="V16" s="348"/>
      <c r="W16" s="352">
        <f>SUM('06'!L65:'06'!L69)</f>
        <v>0</v>
      </c>
      <c r="X16" s="353"/>
      <c r="Y16" s="353"/>
      <c r="Z16" s="354"/>
      <c r="AA16" s="352">
        <f>SUM('07'!L65:'07'!L69)</f>
        <v>0</v>
      </c>
      <c r="AB16" s="353"/>
      <c r="AC16" s="353"/>
      <c r="AD16" s="354"/>
      <c r="AE16" s="352">
        <f>SUM('08'!L65:'08'!L69)</f>
        <v>0</v>
      </c>
      <c r="AF16" s="353"/>
      <c r="AG16" s="353"/>
      <c r="AH16" s="354"/>
      <c r="AI16" s="352">
        <f>SUM('09'!L65:'09'!L69)</f>
        <v>0</v>
      </c>
      <c r="AJ16" s="353"/>
      <c r="AK16" s="353"/>
      <c r="AL16" s="354"/>
      <c r="AM16" s="352">
        <f>SUM('10'!L65:'10'!L69)</f>
        <v>0</v>
      </c>
      <c r="AN16" s="353"/>
      <c r="AO16" s="353"/>
      <c r="AP16" s="354"/>
      <c r="AQ16" s="352">
        <f>SUM('11'!L65:'11'!L69)</f>
        <v>0</v>
      </c>
      <c r="AR16" s="353"/>
      <c r="AS16" s="353"/>
      <c r="AT16" s="354"/>
      <c r="AU16" s="352">
        <f>SUM('12'!L65:'12'!L69)</f>
        <v>0</v>
      </c>
      <c r="AV16" s="353"/>
      <c r="AW16" s="353"/>
      <c r="AX16" s="354"/>
      <c r="AZ16" s="213">
        <f t="shared" si="1"/>
        <v>87.95</v>
      </c>
      <c r="BA16" s="112">
        <f t="shared" ca="1" si="0"/>
        <v>87.95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66">
        <f>SUM(C8:C16)</f>
        <v>5134.54</v>
      </c>
      <c r="D17" s="367"/>
      <c r="E17" s="367"/>
      <c r="F17" s="368"/>
      <c r="G17" s="366">
        <f>SUM(G8:G16)</f>
        <v>0</v>
      </c>
      <c r="H17" s="367"/>
      <c r="I17" s="367"/>
      <c r="J17" s="368"/>
      <c r="K17" s="366">
        <f>SUM(K8:K16)</f>
        <v>0</v>
      </c>
      <c r="L17" s="367"/>
      <c r="M17" s="367"/>
      <c r="N17" s="368"/>
      <c r="O17" s="366">
        <f>SUM(O8:O16)</f>
        <v>4322.7000000000007</v>
      </c>
      <c r="P17" s="367"/>
      <c r="Q17" s="367"/>
      <c r="R17" s="368"/>
      <c r="S17" s="366">
        <f>SUM(S8:S16)</f>
        <v>5958.3200000000015</v>
      </c>
      <c r="T17" s="367"/>
      <c r="U17" s="367"/>
      <c r="V17" s="368"/>
      <c r="W17" s="366">
        <f>SUM(W8:W16)</f>
        <v>4093.3200000000006</v>
      </c>
      <c r="X17" s="367"/>
      <c r="Y17" s="367"/>
      <c r="Z17" s="368"/>
      <c r="AA17" s="366">
        <f>SUM(AA8:AA16)</f>
        <v>4638.26</v>
      </c>
      <c r="AB17" s="367"/>
      <c r="AC17" s="367"/>
      <c r="AD17" s="368"/>
      <c r="AE17" s="366">
        <f>SUM(AE8:AE16)</f>
        <v>3945.4900000000002</v>
      </c>
      <c r="AF17" s="367"/>
      <c r="AG17" s="367"/>
      <c r="AH17" s="368"/>
      <c r="AI17" s="366">
        <f>SUM(AI8:AI16)</f>
        <v>4981.9699999999993</v>
      </c>
      <c r="AJ17" s="367"/>
      <c r="AK17" s="367"/>
      <c r="AL17" s="368"/>
      <c r="AM17" s="366">
        <f>SUM(AM8:AM16)</f>
        <v>3972.5899999999997</v>
      </c>
      <c r="AN17" s="367"/>
      <c r="AO17" s="367"/>
      <c r="AP17" s="368"/>
      <c r="AQ17" s="366">
        <f>SUM(AQ8:AQ16)</f>
        <v>4500.4000000000005</v>
      </c>
      <c r="AR17" s="367"/>
      <c r="AS17" s="367"/>
      <c r="AT17" s="368"/>
      <c r="AU17" s="366">
        <f>SUM(AU8:AU16)</f>
        <v>0</v>
      </c>
      <c r="AV17" s="367"/>
      <c r="AW17" s="367"/>
      <c r="AX17" s="368"/>
      <c r="AZ17" s="227">
        <f>SUM(AZ8:AZ16)</f>
        <v>41547.590000000004</v>
      </c>
      <c r="BA17" s="112">
        <f ca="1">AZ17/BC$17</f>
        <v>41547.590000000004</v>
      </c>
      <c r="BB17" s="1" t="s">
        <v>81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369"/>
      <c r="D18" s="369"/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69"/>
      <c r="Q18" s="369"/>
      <c r="R18" s="369"/>
      <c r="S18" s="369"/>
      <c r="T18" s="369"/>
      <c r="U18" s="369"/>
      <c r="V18" s="369"/>
      <c r="W18" s="369"/>
      <c r="X18" s="369"/>
      <c r="Y18" s="369"/>
      <c r="Z18" s="369"/>
      <c r="AA18" s="369"/>
      <c r="AB18" s="369"/>
      <c r="AC18" s="369"/>
      <c r="AD18" s="369"/>
      <c r="AE18" s="369"/>
      <c r="AF18" s="369"/>
      <c r="AG18" s="369"/>
      <c r="AH18" s="369"/>
      <c r="AI18" s="369"/>
      <c r="AJ18" s="369"/>
      <c r="AK18" s="369"/>
      <c r="AL18" s="369"/>
      <c r="AM18" s="369"/>
      <c r="AN18" s="369"/>
      <c r="AO18" s="369"/>
      <c r="AP18" s="369"/>
      <c r="AQ18" s="369"/>
      <c r="AR18" s="369"/>
      <c r="AS18" s="369"/>
      <c r="AT18" s="369"/>
      <c r="AU18" s="369" t="s">
        <v>170</v>
      </c>
      <c r="AV18" s="369"/>
      <c r="AW18" s="369"/>
      <c r="AX18" s="369"/>
      <c r="AZ18" s="131">
        <f>(2700*13)+(600*12)+(550*12)+(273*12)</f>
        <v>52176</v>
      </c>
      <c r="BA18" s="131">
        <f ca="1">12*BA17</f>
        <v>498571.08000000007</v>
      </c>
      <c r="BB18" s="1"/>
      <c r="BC18" s="1"/>
    </row>
    <row r="19" spans="1:62" ht="17.25" thickTop="1" thickBot="1">
      <c r="A19" s="24" t="s">
        <v>7</v>
      </c>
      <c r="B19" s="24" t="s">
        <v>755</v>
      </c>
      <c r="C19" s="178" t="s">
        <v>52</v>
      </c>
      <c r="D19" s="179" t="s">
        <v>197</v>
      </c>
      <c r="E19" s="179" t="s">
        <v>9</v>
      </c>
      <c r="F19" s="180" t="s">
        <v>10</v>
      </c>
      <c r="G19" s="178" t="s">
        <v>52</v>
      </c>
      <c r="H19" s="179" t="s">
        <v>197</v>
      </c>
      <c r="I19" s="179" t="s">
        <v>9</v>
      </c>
      <c r="J19" s="180" t="s">
        <v>10</v>
      </c>
      <c r="K19" s="178" t="s">
        <v>52</v>
      </c>
      <c r="L19" s="179" t="s">
        <v>197</v>
      </c>
      <c r="M19" s="179" t="s">
        <v>9</v>
      </c>
      <c r="N19" s="180" t="s">
        <v>10</v>
      </c>
      <c r="O19" s="178" t="s">
        <v>52</v>
      </c>
      <c r="P19" s="179" t="s">
        <v>197</v>
      </c>
      <c r="Q19" s="179" t="s">
        <v>9</v>
      </c>
      <c r="R19" s="180" t="s">
        <v>10</v>
      </c>
      <c r="S19" s="178" t="s">
        <v>52</v>
      </c>
      <c r="T19" s="179" t="s">
        <v>197</v>
      </c>
      <c r="U19" s="179" t="s">
        <v>9</v>
      </c>
      <c r="V19" s="180" t="s">
        <v>10</v>
      </c>
      <c r="W19" s="178" t="s">
        <v>52</v>
      </c>
      <c r="X19" s="179" t="s">
        <v>197</v>
      </c>
      <c r="Y19" s="179" t="s">
        <v>9</v>
      </c>
      <c r="Z19" s="180" t="s">
        <v>10</v>
      </c>
      <c r="AA19" s="178" t="s">
        <v>52</v>
      </c>
      <c r="AB19" s="179" t="s">
        <v>197</v>
      </c>
      <c r="AC19" s="179" t="s">
        <v>9</v>
      </c>
      <c r="AD19" s="180" t="s">
        <v>10</v>
      </c>
      <c r="AE19" s="178" t="s">
        <v>52</v>
      </c>
      <c r="AF19" s="179" t="s">
        <v>197</v>
      </c>
      <c r="AG19" s="179" t="s">
        <v>9</v>
      </c>
      <c r="AH19" s="180" t="s">
        <v>10</v>
      </c>
      <c r="AI19" s="178" t="s">
        <v>52</v>
      </c>
      <c r="AJ19" s="179" t="s">
        <v>197</v>
      </c>
      <c r="AK19" s="179" t="s">
        <v>9</v>
      </c>
      <c r="AL19" s="180" t="s">
        <v>10</v>
      </c>
      <c r="AM19" s="178" t="s">
        <v>52</v>
      </c>
      <c r="AN19" s="179" t="s">
        <v>197</v>
      </c>
      <c r="AO19" s="179" t="s">
        <v>9</v>
      </c>
      <c r="AP19" s="180" t="s">
        <v>10</v>
      </c>
      <c r="AQ19" s="178" t="s">
        <v>52</v>
      </c>
      <c r="AR19" s="179" t="s">
        <v>197</v>
      </c>
      <c r="AS19" s="179" t="s">
        <v>9</v>
      </c>
      <c r="AT19" s="180" t="s">
        <v>10</v>
      </c>
      <c r="AU19" s="178" t="s">
        <v>52</v>
      </c>
      <c r="AV19" s="179" t="s">
        <v>197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182</v>
      </c>
      <c r="BF19" s="13" t="s">
        <v>185</v>
      </c>
      <c r="BG19" s="13" t="s">
        <v>183</v>
      </c>
      <c r="BH19" s="13" t="s">
        <v>184</v>
      </c>
      <c r="BJ19" s="12" t="s">
        <v>216</v>
      </c>
    </row>
    <row r="20" spans="1:62" ht="15.75">
      <c r="A20" s="141" t="s">
        <v>740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431.5</v>
      </c>
      <c r="F20" s="145">
        <f t="shared" ref="F20:F45" si="2">B20+D20-E20</f>
        <v>2617.039190556492</v>
      </c>
      <c r="G20" s="143" t="s">
        <v>1</v>
      </c>
      <c r="H20" s="144">
        <f>'02'!B20</f>
        <v>576.78000000000009</v>
      </c>
      <c r="I20" s="144">
        <f>SUM('02'!D20:F20)</f>
        <v>0</v>
      </c>
      <c r="J20" s="145">
        <f t="shared" ref="J20:J45" si="3">F20+H20-I20</f>
        <v>3193.8191905564922</v>
      </c>
      <c r="K20" s="143" t="s">
        <v>2</v>
      </c>
      <c r="L20" s="144">
        <f>'03'!B20</f>
        <v>576.78000000000009</v>
      </c>
      <c r="M20" s="144">
        <f>SUM('03'!D20:F20)</f>
        <v>0</v>
      </c>
      <c r="N20" s="145">
        <f t="shared" ref="N20:N45" si="4">J20+L20-M20</f>
        <v>3770.5991905564924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3766.8391905564922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3967.9591905564916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3967.6291905564922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4165.4191905564921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4160.3391905564922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4362.6991905564928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4338.499190556493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4899.3291905564929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5141.4691905564932</v>
      </c>
      <c r="AZ20" s="123">
        <f t="shared" ref="AZ20:AZ27" si="14">E20+I20+M20+Q20+U20+Y20+AC20+AG20+AK20+AO20+AS20+AW20</f>
        <v>4019.55</v>
      </c>
      <c r="BA20" s="21">
        <f t="shared" ref="BA20:BA45" si="15">AZ20/AZ$46</f>
        <v>0.11167163086893866</v>
      </c>
      <c r="BB20" s="22">
        <f>_xlfn.RANK.EQ(BA20,$BA$20:$BA$45,)</f>
        <v>2</v>
      </c>
      <c r="BC20" s="22">
        <f t="shared" ref="BC20:BC45" ca="1" si="16">AZ20/BC$17</f>
        <v>4019.55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576.78000000000009</v>
      </c>
      <c r="BF20" s="21">
        <f t="shared" ref="BF20:BF45" ca="1" si="18">BE20/BE$46</f>
        <v>0.1122349699554781</v>
      </c>
      <c r="BG20" s="22">
        <f ca="1">_xlfn.RANK.EQ(BF20,$BF$20:$BF$45,)</f>
        <v>4</v>
      </c>
      <c r="BH20" s="22">
        <f t="shared" ref="BH20:BH45" ca="1" si="19">BE20/BC$17</f>
        <v>576.78000000000009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145.2800000000002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1208.8</v>
      </c>
      <c r="F21" s="151">
        <f t="shared" si="2"/>
        <v>255.92999999999938</v>
      </c>
      <c r="G21" s="148" t="s">
        <v>1</v>
      </c>
      <c r="H21" s="149">
        <f>'02'!B40</f>
        <v>1164</v>
      </c>
      <c r="I21" s="150">
        <f>SUM('02'!D40:F40)</f>
        <v>0</v>
      </c>
      <c r="J21" s="151">
        <f t="shared" si="3"/>
        <v>1419.9299999999994</v>
      </c>
      <c r="K21" s="148" t="s">
        <v>2</v>
      </c>
      <c r="L21" s="149">
        <f>'03'!B40</f>
        <v>1164</v>
      </c>
      <c r="M21" s="150">
        <f>SUM('03'!D40:F40)</f>
        <v>0</v>
      </c>
      <c r="N21" s="151">
        <f t="shared" si="4"/>
        <v>2583.9299999999994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2627.9899999999993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2504.2299999999996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2548.2899999999995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2592.3499999999995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2532.2199999999993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2576.2799999999993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2516.1499999999992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2559.5399999999991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3712.5399999999991</v>
      </c>
      <c r="AZ21" s="152">
        <f t="shared" si="14"/>
        <v>10417.190000000002</v>
      </c>
      <c r="BA21" s="21">
        <f t="shared" si="15"/>
        <v>0.28941164965520999</v>
      </c>
      <c r="BB21" s="22">
        <f t="shared" ref="BB21:BB45" si="20">_xlfn.RANK.EQ(BA21,$BA$20:$BA$45,)</f>
        <v>1</v>
      </c>
      <c r="BC21" s="22">
        <f t="shared" ca="1" si="16"/>
        <v>10417.190000000002</v>
      </c>
      <c r="BE21" s="224">
        <f t="shared" ca="1" si="17"/>
        <v>1164</v>
      </c>
      <c r="BF21" s="21">
        <f t="shared" ca="1" si="18"/>
        <v>0.22650144774121242</v>
      </c>
      <c r="BG21" s="22">
        <f t="shared" ref="BG21:BG45" ca="1" si="21">_xlfn.RANK.EQ(BF21,$BF$20:$BF$45,)</f>
        <v>2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-44.799999999999955</v>
      </c>
    </row>
    <row r="22" spans="1:62" ht="15.75">
      <c r="A22" s="153" t="s">
        <v>741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445.09000000000003</v>
      </c>
      <c r="F22" s="156">
        <f t="shared" si="2"/>
        <v>13.289999999999964</v>
      </c>
      <c r="G22" s="143" t="s">
        <v>1</v>
      </c>
      <c r="H22" s="155">
        <f>'02'!B60</f>
        <v>426.75</v>
      </c>
      <c r="I22" s="155">
        <f>SUM('02'!D60:F60)</f>
        <v>0</v>
      </c>
      <c r="J22" s="156">
        <f t="shared" si="3"/>
        <v>440.03999999999996</v>
      </c>
      <c r="K22" s="143" t="s">
        <v>2</v>
      </c>
      <c r="L22" s="155">
        <f>'03'!B60</f>
        <v>426.75</v>
      </c>
      <c r="M22" s="155">
        <f>SUM('03'!D60:F60)</f>
        <v>0</v>
      </c>
      <c r="N22" s="156">
        <f t="shared" si="4"/>
        <v>866.79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1025.3799999999999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994.11999999999989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1000.8999999999999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1000.8999999999997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1000.8999999999996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1016.1999999999996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988.98999999999955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892.78999999999951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1207.7899999999995</v>
      </c>
      <c r="AZ22" s="157">
        <f t="shared" si="14"/>
        <v>2545.3199999999997</v>
      </c>
      <c r="BA22" s="21">
        <f t="shared" si="15"/>
        <v>7.0714392278570223E-2</v>
      </c>
      <c r="BB22" s="22">
        <f t="shared" si="20"/>
        <v>5</v>
      </c>
      <c r="BC22" s="22">
        <f t="shared" ca="1" si="16"/>
        <v>2545.3199999999997</v>
      </c>
      <c r="BE22" s="225">
        <f t="shared" ca="1" si="17"/>
        <v>395</v>
      </c>
      <c r="BF22" s="21">
        <f t="shared" ca="1" si="18"/>
        <v>7.6862604688813493E-2</v>
      </c>
      <c r="BG22" s="22">
        <f t="shared" ca="1" si="21"/>
        <v>5</v>
      </c>
      <c r="BH22" s="22">
        <f t="shared" ca="1" si="19"/>
        <v>395</v>
      </c>
      <c r="BJ22" s="225">
        <f t="shared" ca="1" si="22"/>
        <v>-50.090000000000032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171.05</v>
      </c>
      <c r="F23" s="151">
        <f t="shared" si="2"/>
        <v>189.90000000000009</v>
      </c>
      <c r="G23" s="148" t="s">
        <v>1</v>
      </c>
      <c r="H23" s="149">
        <f>'02'!B80</f>
        <v>180</v>
      </c>
      <c r="I23" s="150">
        <f>SUM('02'!D80:F80)</f>
        <v>0</v>
      </c>
      <c r="J23" s="151">
        <f t="shared" si="3"/>
        <v>369.90000000000009</v>
      </c>
      <c r="K23" s="148" t="s">
        <v>2</v>
      </c>
      <c r="L23" s="149">
        <f>'03'!B80</f>
        <v>180</v>
      </c>
      <c r="M23" s="150">
        <f>SUM('03'!D80:F80)</f>
        <v>0</v>
      </c>
      <c r="N23" s="151">
        <f t="shared" si="4"/>
        <v>549.90000000000009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618.90000000000009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576.05000000000007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578.40000000000009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606.20000000000005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599.55000000000007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606.65000000000009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623.2700000000001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655.07000000000016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840.07000000000016</v>
      </c>
      <c r="AZ23" s="152">
        <f t="shared" si="14"/>
        <v>1530.8799999999999</v>
      </c>
      <c r="BA23" s="21">
        <f t="shared" si="15"/>
        <v>4.2531095835265341E-2</v>
      </c>
      <c r="BB23" s="22">
        <f t="shared" si="20"/>
        <v>8</v>
      </c>
      <c r="BC23" s="22">
        <f t="shared" ca="1" si="16"/>
        <v>1530.8799999999999</v>
      </c>
      <c r="BE23" s="224">
        <f t="shared" ca="1" si="17"/>
        <v>180</v>
      </c>
      <c r="BF23" s="21">
        <f t="shared" ca="1" si="18"/>
        <v>3.5025997073383365E-2</v>
      </c>
      <c r="BG23" s="22">
        <f t="shared" ca="1" si="21"/>
        <v>9</v>
      </c>
      <c r="BH23" s="22">
        <f t="shared" ca="1" si="19"/>
        <v>180</v>
      </c>
      <c r="BJ23" s="224">
        <f t="shared" ca="1" si="22"/>
        <v>8.9499999999999886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205.4</v>
      </c>
      <c r="F24" s="156">
        <f t="shared" si="2"/>
        <v>231.22</v>
      </c>
      <c r="G24" s="143" t="s">
        <v>1</v>
      </c>
      <c r="H24" s="155">
        <f>'02'!B100</f>
        <v>180</v>
      </c>
      <c r="I24" s="155">
        <f>SUM('02'!D100:F100)</f>
        <v>0</v>
      </c>
      <c r="J24" s="156">
        <f t="shared" si="3"/>
        <v>411.22</v>
      </c>
      <c r="K24" s="143" t="s">
        <v>2</v>
      </c>
      <c r="L24" s="155">
        <f>'03'!B100</f>
        <v>180</v>
      </c>
      <c r="M24" s="155">
        <f>SUM('03'!D100:F100)</f>
        <v>0</v>
      </c>
      <c r="N24" s="156">
        <f t="shared" si="4"/>
        <v>591.22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637.83000000000004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622.35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589.49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694.39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710.56999999999994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705.91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645.73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752.45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902.45</v>
      </c>
      <c r="AZ24" s="157">
        <f t="shared" si="14"/>
        <v>1314.17</v>
      </c>
      <c r="BA24" s="21">
        <f t="shared" si="15"/>
        <v>3.6510432048123084E-2</v>
      </c>
      <c r="BB24" s="22">
        <f t="shared" si="20"/>
        <v>9</v>
      </c>
      <c r="BC24" s="22">
        <f t="shared" ca="1" si="16"/>
        <v>1314.17</v>
      </c>
      <c r="BE24" s="225">
        <f t="shared" ca="1" si="17"/>
        <v>200</v>
      </c>
      <c r="BF24" s="21">
        <f t="shared" ca="1" si="18"/>
        <v>3.8917774525981511E-2</v>
      </c>
      <c r="BG24" s="22">
        <f t="shared" ca="1" si="21"/>
        <v>7</v>
      </c>
      <c r="BH24" s="22">
        <f t="shared" ca="1" si="19"/>
        <v>200</v>
      </c>
      <c r="BJ24" s="225">
        <f t="shared" ca="1" si="22"/>
        <v>-5.4000000000000341</v>
      </c>
    </row>
    <row r="25" spans="1:62" ht="15.75">
      <c r="A25" s="146" t="s">
        <v>756</v>
      </c>
      <c r="B25" s="147">
        <v>4951.5215974244966</v>
      </c>
      <c r="C25" s="148" t="s">
        <v>0</v>
      </c>
      <c r="D25" s="149">
        <f>'01'!B120</f>
        <v>1665.3799999999999</v>
      </c>
      <c r="E25" s="150">
        <f>SUM('01'!D120:F120)</f>
        <v>886.41000000000008</v>
      </c>
      <c r="F25" s="151">
        <f t="shared" si="2"/>
        <v>5730.4915974244968</v>
      </c>
      <c r="G25" s="148" t="s">
        <v>1</v>
      </c>
      <c r="H25" s="149">
        <f>'02'!B120</f>
        <v>678.47</v>
      </c>
      <c r="I25" s="150">
        <f>SUM('02'!D120:F120)</f>
        <v>0</v>
      </c>
      <c r="J25" s="151">
        <f t="shared" si="3"/>
        <v>6408.9615974244971</v>
      </c>
      <c r="K25" s="148" t="s">
        <v>2</v>
      </c>
      <c r="L25" s="149">
        <f>'03'!B120</f>
        <v>678.47</v>
      </c>
      <c r="M25" s="150">
        <f>SUM('03'!D120:F120)</f>
        <v>0</v>
      </c>
      <c r="N25" s="151">
        <f t="shared" si="4"/>
        <v>7087.4315974244973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8629.4015974244976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7817.0215974244975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7934.6415974244965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8252.2615974244964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8919.8815974244972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9037.501597424498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9471.4531948489966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9601.5431948489968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10059.013194848996</v>
      </c>
      <c r="AZ25" s="152">
        <f t="shared" si="14"/>
        <v>3569.4500000000007</v>
      </c>
      <c r="BA25" s="21">
        <f t="shared" si="15"/>
        <v>9.9166897489801883E-2</v>
      </c>
      <c r="BB25" s="22">
        <f t="shared" si="20"/>
        <v>3</v>
      </c>
      <c r="BC25" s="22">
        <f t="shared" ca="1" si="16"/>
        <v>3569.4500000000007</v>
      </c>
      <c r="BE25" s="224">
        <f t="shared" ca="1" si="17"/>
        <v>1665.3799999999999</v>
      </c>
      <c r="BF25" s="21">
        <f t="shared" ca="1" si="18"/>
        <v>0.32406441670039543</v>
      </c>
      <c r="BG25" s="22">
        <f t="shared" ca="1" si="21"/>
        <v>1</v>
      </c>
      <c r="BH25" s="22">
        <f t="shared" ca="1" si="19"/>
        <v>1665.3799999999999</v>
      </c>
      <c r="BJ25" s="224">
        <f t="shared" ca="1" si="22"/>
        <v>778.97000000000025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55.49</v>
      </c>
      <c r="F26" s="156">
        <f t="shared" si="2"/>
        <v>43.089999999999982</v>
      </c>
      <c r="G26" s="143" t="s">
        <v>1</v>
      </c>
      <c r="H26" s="155">
        <f>'02'!B140</f>
        <v>53</v>
      </c>
      <c r="I26" s="155">
        <f>SUM('02'!D140:F140)</f>
        <v>0</v>
      </c>
      <c r="J26" s="156">
        <f t="shared" si="3"/>
        <v>96.089999999999975</v>
      </c>
      <c r="K26" s="143" t="s">
        <v>2</v>
      </c>
      <c r="L26" s="155">
        <f>'03'!B140</f>
        <v>53</v>
      </c>
      <c r="M26" s="155">
        <f>SUM('03'!D140:F140)</f>
        <v>0</v>
      </c>
      <c r="N26" s="156">
        <f t="shared" si="4"/>
        <v>149.08999999999997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146.59999999999997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164.10999999999996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161.61999999999995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169.12999999999994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166.63999999999993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174.14999999999992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116.65999999999993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124.1699999999999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192.1699999999999</v>
      </c>
      <c r="AZ26" s="157">
        <f t="shared" si="14"/>
        <v>504.41</v>
      </c>
      <c r="BA26" s="21">
        <f t="shared" si="15"/>
        <v>1.401358045716594E-2</v>
      </c>
      <c r="BB26" s="22">
        <f t="shared" si="20"/>
        <v>13</v>
      </c>
      <c r="BC26" s="22">
        <f t="shared" ca="1" si="16"/>
        <v>504.41</v>
      </c>
      <c r="BE26" s="225">
        <f t="shared" ca="1" si="17"/>
        <v>53</v>
      </c>
      <c r="BF26" s="21">
        <f t="shared" ca="1" si="18"/>
        <v>1.0313210249385101E-2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-2.490000000000002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0</v>
      </c>
      <c r="J27" s="187">
        <f t="shared" si="3"/>
        <v>464.54000000000008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514.54000000000008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547.96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514.09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470.93000000000006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520.93000000000006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533.6400000000001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583.6400000000001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586.88000000000011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620.30000000000007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645.43000000000006</v>
      </c>
      <c r="AZ27" s="188">
        <f t="shared" si="14"/>
        <v>283.98</v>
      </c>
      <c r="BA27" s="21">
        <f t="shared" si="15"/>
        <v>7.8895671739774853E-3</v>
      </c>
      <c r="BB27" s="22">
        <f t="shared" si="20"/>
        <v>17</v>
      </c>
      <c r="BC27" s="22">
        <f t="shared" ca="1" si="16"/>
        <v>283.98</v>
      </c>
      <c r="BE27" s="224">
        <f t="shared" ca="1" si="17"/>
        <v>40</v>
      </c>
      <c r="BF27" s="21">
        <f t="shared" ca="1" si="18"/>
        <v>7.7835549051963023E-3</v>
      </c>
      <c r="BG27" s="22">
        <f t="shared" ca="1" si="21"/>
        <v>15</v>
      </c>
      <c r="BH27" s="22">
        <f t="shared" ca="1" si="19"/>
        <v>40</v>
      </c>
      <c r="BJ27" s="224">
        <f t="shared" ca="1" si="22"/>
        <v>15.129999999999995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1314.0600000000002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1514.0600000000002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823.20000000000016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1873.2000000000003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2073.2000000000003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909.9200000000003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1109.9200000000003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1265.9200000000003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1465.9200000000003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1665.9200000000003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1865.9200000000003</v>
      </c>
      <c r="AZ28" s="182">
        <f t="shared" ref="AZ28:AZ45" si="23">E28+I28+M28+Q28+U28+Y28+AC28+AG28+AK28+AO28+AS28+AW28</f>
        <v>2713.08</v>
      </c>
      <c r="BA28" s="21">
        <f t="shared" si="15"/>
        <v>7.537512116478215E-2</v>
      </c>
      <c r="BB28" s="22">
        <f t="shared" si="20"/>
        <v>4</v>
      </c>
      <c r="BC28" s="22">
        <f t="shared" ca="1" si="16"/>
        <v>2713.08</v>
      </c>
      <c r="BE28" s="223">
        <f t="shared" ca="1" si="17"/>
        <v>200</v>
      </c>
      <c r="BF28" s="21">
        <f t="shared" ca="1" si="18"/>
        <v>3.8917774525981511E-2</v>
      </c>
      <c r="BG28" s="22">
        <f t="shared" ca="1" si="21"/>
        <v>7</v>
      </c>
      <c r="BH28" s="22">
        <f t="shared" ca="1" si="19"/>
        <v>200</v>
      </c>
      <c r="BJ28" s="223">
        <f t="shared" ca="1" si="22"/>
        <v>-174.94000000000005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160.91999999999999</v>
      </c>
      <c r="F29" s="160">
        <f t="shared" si="2"/>
        <v>109.60999999999999</v>
      </c>
      <c r="G29" s="148" t="s">
        <v>1</v>
      </c>
      <c r="H29" s="149">
        <f>'02'!B200</f>
        <v>80</v>
      </c>
      <c r="I29" s="150">
        <f>SUM('02'!D200:F200)</f>
        <v>0</v>
      </c>
      <c r="J29" s="160">
        <f t="shared" si="3"/>
        <v>189.60999999999999</v>
      </c>
      <c r="K29" s="148" t="s">
        <v>2</v>
      </c>
      <c r="L29" s="149">
        <f>'03'!B200</f>
        <v>80</v>
      </c>
      <c r="M29" s="150">
        <f>SUM('03'!D200:F200)</f>
        <v>0</v>
      </c>
      <c r="N29" s="160">
        <f t="shared" si="4"/>
        <v>269.61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273.62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299.99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242.21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211.17000000000004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230.97000000000008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197.19000000000005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133.40000000000003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139.24000000000004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244.24000000000004</v>
      </c>
      <c r="AZ29" s="152">
        <f t="shared" si="23"/>
        <v>1081.9500000000003</v>
      </c>
      <c r="BA29" s="21">
        <f t="shared" si="15"/>
        <v>3.0058867539562443E-2</v>
      </c>
      <c r="BB29" s="22">
        <f t="shared" si="20"/>
        <v>11</v>
      </c>
      <c r="BC29" s="22">
        <f t="shared" ca="1" si="16"/>
        <v>1081.9500000000003</v>
      </c>
      <c r="BE29" s="224">
        <f t="shared" ca="1" si="17"/>
        <v>144.94999999999999</v>
      </c>
      <c r="BF29" s="21">
        <f t="shared" ca="1" si="18"/>
        <v>2.8205657087705099E-2</v>
      </c>
      <c r="BG29" s="22">
        <f t="shared" ca="1" si="21"/>
        <v>10</v>
      </c>
      <c r="BH29" s="22">
        <f t="shared" ca="1" si="19"/>
        <v>144.94999999999999</v>
      </c>
      <c r="BJ29" s="224">
        <f t="shared" ca="1" si="22"/>
        <v>-15.969999999999999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93.039999999999992</v>
      </c>
      <c r="F30" s="161">
        <f t="shared" si="2"/>
        <v>5.7099999999999653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40.709999999999965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75.709999999999965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76.379999999999967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98.819999999999965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133.81999999999996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92.649999999999963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104.64999999999996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127.14999999999998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138.64999999999998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173.64999999999998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208.64999999999998</v>
      </c>
      <c r="AZ30" s="157">
        <f t="shared" si="23"/>
        <v>290.09999999999997</v>
      </c>
      <c r="BA30" s="21">
        <f t="shared" si="15"/>
        <v>8.0595937642470184E-3</v>
      </c>
      <c r="BB30" s="22">
        <f t="shared" si="20"/>
        <v>16</v>
      </c>
      <c r="BC30" s="22">
        <f t="shared" ca="1" si="16"/>
        <v>290.09999999999997</v>
      </c>
      <c r="BE30" s="225">
        <f t="shared" ca="1" si="17"/>
        <v>35</v>
      </c>
      <c r="BF30" s="21">
        <f t="shared" ca="1" si="18"/>
        <v>6.810610542046765E-3</v>
      </c>
      <c r="BG30" s="22">
        <f t="shared" ca="1" si="21"/>
        <v>16</v>
      </c>
      <c r="BH30" s="22">
        <f t="shared" ca="1" si="19"/>
        <v>35</v>
      </c>
      <c r="BJ30" s="225">
        <f t="shared" ca="1" si="22"/>
        <v>-58.039999999999992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21.66</v>
      </c>
      <c r="F31" s="160">
        <f t="shared" si="2"/>
        <v>52.439999999999969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73.439999999999969</v>
      </c>
      <c r="K31" s="148" t="s">
        <v>2</v>
      </c>
      <c r="L31" s="149">
        <f>'03'!B240</f>
        <v>21</v>
      </c>
      <c r="M31" s="150">
        <f>SUM('03'!D240:F240)</f>
        <v>0</v>
      </c>
      <c r="N31" s="160">
        <f t="shared" si="4"/>
        <v>94.439999999999969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114.43999999999997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92.479999999999961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91.499999999999957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90.519999999999953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89.539999999999949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88.559999999999945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87.579999999999941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107.57999999999994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127.57999999999994</v>
      </c>
      <c r="AZ31" s="152">
        <f t="shared" si="23"/>
        <v>168.52</v>
      </c>
      <c r="BA31" s="21">
        <f t="shared" si="15"/>
        <v>4.681843299382653E-3</v>
      </c>
      <c r="BB31" s="22">
        <f t="shared" si="20"/>
        <v>18</v>
      </c>
      <c r="BC31" s="22">
        <f t="shared" ca="1" si="16"/>
        <v>168.52</v>
      </c>
      <c r="BE31" s="224">
        <f t="shared" ca="1" si="17"/>
        <v>21</v>
      </c>
      <c r="BF31" s="21">
        <f t="shared" ca="1" si="18"/>
        <v>4.086366325228059E-3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-0.65999999999999659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125.13</v>
      </c>
      <c r="F32" s="161">
        <f t="shared" si="2"/>
        <v>391.76999999999975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441.76999999999975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491.76999999999975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760.89999999999975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1265.6599999999996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1160.3399999999997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935.9399999999996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978.1699999999995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821.82999999999947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744.62999999999943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839.62999999999943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1089.6299999999994</v>
      </c>
      <c r="AZ32" s="157">
        <f t="shared" si="23"/>
        <v>1819.6000000000001</v>
      </c>
      <c r="BA32" s="21">
        <f t="shared" si="15"/>
        <v>5.0552350270333946E-2</v>
      </c>
      <c r="BB32" s="22">
        <f t="shared" si="20"/>
        <v>7</v>
      </c>
      <c r="BC32" s="22">
        <f t="shared" ca="1" si="16"/>
        <v>1819.6000000000001</v>
      </c>
      <c r="BE32" s="225">
        <f t="shared" ca="1" si="17"/>
        <v>50</v>
      </c>
      <c r="BF32" s="21">
        <f t="shared" ca="1" si="18"/>
        <v>9.7294436314953776E-3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-75.13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0</v>
      </c>
      <c r="M33" s="150">
        <f>SUM('03'!D280:F280)</f>
        <v>0</v>
      </c>
      <c r="N33" s="160">
        <f t="shared" si="4"/>
        <v>610.09000000000026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649.64000000000021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606.75000000000023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465.25000000000023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515.25000000000023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584.25000000000023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589.25000000000023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627.25000000000023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687.25000000000023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727.25000000000023</v>
      </c>
      <c r="AZ33" s="152">
        <f t="shared" si="23"/>
        <v>382.84000000000003</v>
      </c>
      <c r="BA33" s="21">
        <f t="shared" si="15"/>
        <v>1.0636107813527505E-2</v>
      </c>
      <c r="BB33" s="22">
        <f t="shared" si="20"/>
        <v>15</v>
      </c>
      <c r="BC33" s="22">
        <f t="shared" ca="1" si="16"/>
        <v>382.84000000000003</v>
      </c>
      <c r="BE33" s="224">
        <f t="shared" ca="1" si="17"/>
        <v>10</v>
      </c>
      <c r="BF33" s="21">
        <f t="shared" ca="1" si="18"/>
        <v>1.9458887262990756E-3</v>
      </c>
      <c r="BG33" s="22">
        <f t="shared" ca="1" si="21"/>
        <v>19</v>
      </c>
      <c r="BH33" s="22">
        <f t="shared" ca="1" si="19"/>
        <v>10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215.01999999999998</v>
      </c>
      <c r="E34" s="155">
        <f>SUM('01'!D300:F300)</f>
        <v>192.54</v>
      </c>
      <c r="F34" s="161">
        <f t="shared" si="2"/>
        <v>37.309999999999803</v>
      </c>
      <c r="G34" s="143" t="s">
        <v>1</v>
      </c>
      <c r="H34" s="155">
        <f>'02'!B300</f>
        <v>110</v>
      </c>
      <c r="I34" s="155">
        <f>SUM('02'!D300:F300)</f>
        <v>0</v>
      </c>
      <c r="J34" s="161">
        <f t="shared" si="3"/>
        <v>147.3099999999998</v>
      </c>
      <c r="K34" s="143" t="s">
        <v>2</v>
      </c>
      <c r="L34" s="155">
        <f>'03'!B300</f>
        <v>110</v>
      </c>
      <c r="M34" s="155">
        <f>SUM('03'!D300:F300)</f>
        <v>0</v>
      </c>
      <c r="N34" s="161">
        <f t="shared" si="4"/>
        <v>257.30999999999983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303.30999999999983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67.669999999999789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167.66999999999973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74.409999999999741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150.11999999999975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169.11999999999975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213.21999999999977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303.2199999999998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398.2199999999998</v>
      </c>
      <c r="AZ34" s="152">
        <f t="shared" si="23"/>
        <v>1154.0400000000002</v>
      </c>
      <c r="BA34" s="21">
        <f t="shared" si="15"/>
        <v>3.2061680757296214E-2</v>
      </c>
      <c r="BB34" s="22">
        <f t="shared" si="20"/>
        <v>10</v>
      </c>
      <c r="BC34" s="22">
        <f t="shared" ca="1" si="16"/>
        <v>1154.0400000000002</v>
      </c>
      <c r="BE34" s="225">
        <f t="shared" ca="1" si="17"/>
        <v>215.01999999999998</v>
      </c>
      <c r="BF34" s="21">
        <f t="shared" ca="1" si="18"/>
        <v>4.1840499392882723E-2</v>
      </c>
      <c r="BG34" s="22">
        <f t="shared" ca="1" si="21"/>
        <v>6</v>
      </c>
      <c r="BH34" s="22">
        <f t="shared" ca="1" si="19"/>
        <v>215.01999999999998</v>
      </c>
      <c r="BJ34" s="225">
        <f t="shared" ca="1" si="22"/>
        <v>22.47999999999999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889.43999999999994</v>
      </c>
      <c r="E35" s="186">
        <f>SUM('01'!D320:F320)</f>
        <v>421.77</v>
      </c>
      <c r="F35" s="187">
        <f t="shared" si="2"/>
        <v>2049.0300000000007</v>
      </c>
      <c r="G35" s="185" t="s">
        <v>1</v>
      </c>
      <c r="H35" s="186">
        <f>'02'!B320</f>
        <v>100</v>
      </c>
      <c r="I35" s="186">
        <f>SUM('02'!D320:F320)</f>
        <v>0</v>
      </c>
      <c r="J35" s="187">
        <f t="shared" si="3"/>
        <v>2149.0300000000007</v>
      </c>
      <c r="K35" s="185" t="s">
        <v>2</v>
      </c>
      <c r="L35" s="186">
        <f>'03'!B320</f>
        <v>100</v>
      </c>
      <c r="M35" s="186">
        <f>SUM('03'!D320:F320)</f>
        <v>0</v>
      </c>
      <c r="N35" s="187">
        <f t="shared" si="4"/>
        <v>2249.0300000000007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2221.6100000000006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2348.1000000000004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2325.5000000000005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2369.0300000000007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2411.8100000000009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2345.3000000000011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2027.610000000001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2081.5800000000008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2211.5800000000008</v>
      </c>
      <c r="AZ35" s="188">
        <f t="shared" si="23"/>
        <v>2398.2000000000003</v>
      </c>
      <c r="BA35" s="21">
        <f t="shared" si="15"/>
        <v>6.6627086402679087E-2</v>
      </c>
      <c r="BB35" s="22">
        <f t="shared" si="20"/>
        <v>6</v>
      </c>
      <c r="BC35" s="22">
        <f t="shared" ca="1" si="16"/>
        <v>2398.2000000000003</v>
      </c>
      <c r="BE35" s="224">
        <f t="shared" ca="1" si="17"/>
        <v>889.43999999999994</v>
      </c>
      <c r="BF35" s="21">
        <f t="shared" ca="1" si="18"/>
        <v>0.17307512687194498</v>
      </c>
      <c r="BG35" s="22">
        <f t="shared" ca="1" si="21"/>
        <v>3</v>
      </c>
      <c r="BH35" s="22">
        <f t="shared" ca="1" si="19"/>
        <v>889.43999999999994</v>
      </c>
      <c r="BJ35" s="224">
        <f t="shared" ca="1" si="22"/>
        <v>467.67000000000007</v>
      </c>
    </row>
    <row r="36" spans="1:62" ht="15.75">
      <c r="A36" s="163" t="s">
        <v>373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1252.5100000000002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1342.5100000000002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1432.5300000000002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1348.5300000000002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1356.5300000000002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1531.5300000000002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1193.9800000000002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1452.1000000000004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1537.1000000000004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2042.1000000000004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2132.1000000000004</v>
      </c>
      <c r="AZ36" s="182">
        <f t="shared" si="23"/>
        <v>1014.38</v>
      </c>
      <c r="BA36" s="21">
        <f t="shared" si="15"/>
        <v>2.8181629515949297E-2</v>
      </c>
      <c r="BB36" s="22">
        <f t="shared" si="20"/>
        <v>12</v>
      </c>
      <c r="BC36" s="22">
        <f t="shared" ca="1" si="16"/>
        <v>1014.38</v>
      </c>
      <c r="BE36" s="223">
        <f t="shared" ca="1" si="17"/>
        <v>90.02</v>
      </c>
      <c r="BF36" s="21">
        <f t="shared" ca="1" si="18"/>
        <v>1.7516890314144277E-2</v>
      </c>
      <c r="BG36" s="22">
        <f t="shared" ca="1" si="21"/>
        <v>11</v>
      </c>
      <c r="BH36" s="22">
        <f t="shared" ca="1" si="19"/>
        <v>90.02</v>
      </c>
      <c r="BJ36" s="223">
        <f t="shared" ca="1" si="22"/>
        <v>75.019999999999982</v>
      </c>
    </row>
    <row r="37" spans="1:62" ht="15.75">
      <c r="A37" s="146" t="s">
        <v>742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10</v>
      </c>
      <c r="I37" s="165">
        <f>SUM('02'!D360:F360)</f>
        <v>0</v>
      </c>
      <c r="J37" s="151">
        <f t="shared" si="3"/>
        <v>245.73</v>
      </c>
      <c r="K37" s="148" t="s">
        <v>2</v>
      </c>
      <c r="L37" s="165">
        <f>'03'!B360</f>
        <v>10</v>
      </c>
      <c r="M37" s="165">
        <f>SUM('03'!D360:F360)</f>
        <v>0</v>
      </c>
      <c r="N37" s="151">
        <f t="shared" si="4"/>
        <v>255.73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300.73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345.73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430.73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435.73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480.73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525.73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570.73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550.73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595.73</v>
      </c>
      <c r="AZ37" s="152">
        <f t="shared" si="23"/>
        <v>129.30000000000001</v>
      </c>
      <c r="BA37" s="21">
        <f t="shared" si="15"/>
        <v>3.5922284512827979E-3</v>
      </c>
      <c r="BB37" s="22">
        <f t="shared" si="20"/>
        <v>19</v>
      </c>
      <c r="BC37" s="22">
        <f t="shared" ca="1" si="16"/>
        <v>129.30000000000001</v>
      </c>
      <c r="BE37" s="224">
        <f t="shared" ca="1" si="17"/>
        <v>5</v>
      </c>
      <c r="BF37" s="21">
        <f t="shared" ca="1" si="18"/>
        <v>9.7294436314953779E-4</v>
      </c>
      <c r="BG37" s="22">
        <f t="shared" ca="1" si="21"/>
        <v>21</v>
      </c>
      <c r="BH37" s="22">
        <f t="shared" ca="1" si="19"/>
        <v>5</v>
      </c>
      <c r="BJ37" s="224">
        <f t="shared" ca="1" si="22"/>
        <v>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28.91</v>
      </c>
      <c r="F38" s="156">
        <f t="shared" si="2"/>
        <v>205.59000000000009</v>
      </c>
      <c r="G38" s="143" t="s">
        <v>1</v>
      </c>
      <c r="H38" s="166">
        <f>'02'!B380</f>
        <v>50</v>
      </c>
      <c r="I38" s="166">
        <f>SUM('02'!D380:F380)</f>
        <v>0</v>
      </c>
      <c r="J38" s="156">
        <f t="shared" si="3"/>
        <v>255.59000000000009</v>
      </c>
      <c r="K38" s="143" t="s">
        <v>2</v>
      </c>
      <c r="L38" s="166">
        <f>'03'!B380</f>
        <v>50</v>
      </c>
      <c r="M38" s="166">
        <f>SUM('03'!D380:F380)</f>
        <v>0</v>
      </c>
      <c r="N38" s="156">
        <f t="shared" si="4"/>
        <v>305.59000000000009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351.29000000000008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339.00000000000011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339.90000000000009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366.30000000000007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395.00000000000006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417.00000000000006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464.50000000000006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446.47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506.47</v>
      </c>
      <c r="AZ38" s="157">
        <f t="shared" si="23"/>
        <v>433.03</v>
      </c>
      <c r="BA38" s="21">
        <f t="shared" si="15"/>
        <v>1.2030492546473238E-2</v>
      </c>
      <c r="BB38" s="22">
        <f t="shared" si="20"/>
        <v>14</v>
      </c>
      <c r="BC38" s="22">
        <f t="shared" ca="1" si="16"/>
        <v>433.03</v>
      </c>
      <c r="BE38" s="225">
        <f t="shared" ca="1" si="17"/>
        <v>60</v>
      </c>
      <c r="BF38" s="21">
        <f t="shared" ca="1" si="18"/>
        <v>1.1675332357794454E-2</v>
      </c>
      <c r="BG38" s="22">
        <f t="shared" ca="1" si="21"/>
        <v>12</v>
      </c>
      <c r="BH38" s="22">
        <f t="shared" ca="1" si="19"/>
        <v>60</v>
      </c>
      <c r="BJ38" s="225">
        <f t="shared" ca="1" si="22"/>
        <v>31.090000000000003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1529.2807879809902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1549.2807879809902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2900.54078798099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1565.54078798099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1585.54078798099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1545.54078798099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1560.54078798099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1575.54078798099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3008.5615759619805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3023.5615759619805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3033.5615759619805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10</v>
      </c>
      <c r="BF39" s="21">
        <f t="shared" ca="1" si="18"/>
        <v>1.9458887262990756E-3</v>
      </c>
      <c r="BG39" s="22">
        <f t="shared" ca="1" si="21"/>
        <v>19</v>
      </c>
      <c r="BH39" s="22">
        <f t="shared" ca="1" si="19"/>
        <v>10</v>
      </c>
      <c r="BJ39" s="224">
        <f t="shared" ca="1" si="22"/>
        <v>10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50</v>
      </c>
      <c r="I40" s="166">
        <f>SUM('02'!D420:F420)</f>
        <v>0</v>
      </c>
      <c r="J40" s="156">
        <f t="shared" si="3"/>
        <v>7401.6661040380204</v>
      </c>
      <c r="K40" s="143" t="s">
        <v>2</v>
      </c>
      <c r="L40" s="166">
        <f>'03'!B420</f>
        <v>50</v>
      </c>
      <c r="M40" s="166">
        <f>SUM('03'!D420:F420)</f>
        <v>0</v>
      </c>
      <c r="N40" s="156">
        <f>J40+L40-M40</f>
        <v>7451.6661040380204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8551.5461040380196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7555.6861040380199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7602.7061040380204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7500.6661040380204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7547.5561040380207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7594.4661040380206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8902.5022080760409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8993.0322080760416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9043.0322080760416</v>
      </c>
      <c r="AZ40" s="157">
        <f t="shared" si="23"/>
        <v>101.99000000000001</v>
      </c>
      <c r="BA40" s="21">
        <f t="shared" si="15"/>
        <v>2.8334986832662997E-3</v>
      </c>
      <c r="BB40" s="22">
        <f t="shared" si="20"/>
        <v>21</v>
      </c>
      <c r="BC40" s="22">
        <f t="shared" ca="1" si="16"/>
        <v>101.99000000000001</v>
      </c>
      <c r="BE40" s="225">
        <f t="shared" ca="1" si="17"/>
        <v>31.749999999999996</v>
      </c>
      <c r="BF40" s="21">
        <f t="shared" ca="1" si="18"/>
        <v>6.1781967059995647E-3</v>
      </c>
      <c r="BG40" s="22">
        <f t="shared" ca="1" si="21"/>
        <v>17</v>
      </c>
      <c r="BH40" s="22">
        <f t="shared" ca="1" si="19"/>
        <v>31.749999999999996</v>
      </c>
      <c r="BJ40" s="225">
        <f t="shared" ca="1" si="22"/>
        <v>17.300000000000182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-902.30000000000018</v>
      </c>
      <c r="E41" s="165">
        <f>SUM('01'!D440:F440)</f>
        <v>0</v>
      </c>
      <c r="F41" s="151">
        <f t="shared" si="2"/>
        <v>7672.8200000000024</v>
      </c>
      <c r="G41" s="148" t="s">
        <v>1</v>
      </c>
      <c r="H41" s="165">
        <f>'02'!B440</f>
        <v>-4300</v>
      </c>
      <c r="I41" s="165">
        <f>SUM('02'!D440:F440)</f>
        <v>0</v>
      </c>
      <c r="J41" s="151">
        <f t="shared" si="3"/>
        <v>3372.8200000000024</v>
      </c>
      <c r="K41" s="148" t="s">
        <v>2</v>
      </c>
      <c r="L41" s="165">
        <f>'03'!B440</f>
        <v>-4300</v>
      </c>
      <c r="M41" s="165">
        <f>SUM('03'!D440:F440)</f>
        <v>0</v>
      </c>
      <c r="N41" s="151">
        <f t="shared" si="4"/>
        <v>-927.17999999999756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-927.17999999999608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-926.89999999999452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-927.72999999999354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-462.27999999999372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-763.1799999999929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-763.1799999999929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-800.63999999999294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-1163.9799999999932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-5063.9799999999932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-902.30000000000018</v>
      </c>
      <c r="BF41" s="21">
        <f t="shared" ca="1" si="18"/>
        <v>-0.17557753977396565</v>
      </c>
      <c r="BG41" s="22">
        <f t="shared" ca="1" si="21"/>
        <v>26</v>
      </c>
      <c r="BH41" s="22">
        <f t="shared" ca="1" si="19"/>
        <v>-902.30000000000018</v>
      </c>
      <c r="BJ41" s="224">
        <f t="shared" ca="1" si="22"/>
        <v>-902.30000000000018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1800.0400000000004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-2284.1599999999994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1760.1000000000008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1760.1000000000008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1760.1000000000008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1760.1000000000008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1760.1000000000008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-2284.1599999999994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-2284.1599999999994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-2284.1599999999994</v>
      </c>
      <c r="AZ42" s="157">
        <f t="shared" si="23"/>
        <v>1.98</v>
      </c>
      <c r="BA42" s="21">
        <f t="shared" si="15"/>
        <v>5.5008602734260938E-5</v>
      </c>
      <c r="BB42" s="22">
        <f t="shared" si="20"/>
        <v>22</v>
      </c>
      <c r="BC42" s="22">
        <f t="shared" ca="1" si="16"/>
        <v>1.98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0</v>
      </c>
      <c r="M43" s="149">
        <f>SUM('03'!D480:F480)</f>
        <v>0</v>
      </c>
      <c r="N43" s="151">
        <f t="shared" si="4"/>
        <v>0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623.19000000000005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223.19000000000005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233.19000000000005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298.19000000000005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-186.80999999999995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-121.80999999999995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1078.6991905564923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1165.0491905564922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1309.4391905564921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5</v>
      </c>
      <c r="M45" s="175">
        <f>SUM('03'!D520:F520)</f>
        <v>0</v>
      </c>
      <c r="N45" s="176">
        <f t="shared" si="4"/>
        <v>45.930000000000035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45.930000000000035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45.930000000000035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45.930000000000035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45.930000000000035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42.500000000000036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37.500000000000036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-44.479999999999968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-54.479999999999968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-49.479999999999968</v>
      </c>
      <c r="AZ45" s="177">
        <f t="shared" si="23"/>
        <v>120.41</v>
      </c>
      <c r="BA45" s="21">
        <f t="shared" si="15"/>
        <v>3.3452453814304846E-3</v>
      </c>
      <c r="BB45" s="22">
        <f t="shared" si="20"/>
        <v>20</v>
      </c>
      <c r="BC45" s="22">
        <f t="shared" ca="1" si="16"/>
        <v>120.41</v>
      </c>
      <c r="BE45" s="226">
        <f t="shared" ca="1" si="17"/>
        <v>5</v>
      </c>
      <c r="BF45" s="21">
        <f t="shared" ca="1" si="18"/>
        <v>9.7294436314953779E-4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5139.0399999999991</v>
      </c>
      <c r="E46" s="219">
        <f>SUM(E20:E45)</f>
        <v>4878.949999999998</v>
      </c>
      <c r="F46" s="220">
        <f>SUM(F20:F45)</f>
        <v>33839.087680000004</v>
      </c>
      <c r="G46" s="218"/>
      <c r="H46" s="219">
        <f>SUM(H20:H45)</f>
        <v>-170</v>
      </c>
      <c r="I46" s="219">
        <f>SUM(I20:I45)</f>
        <v>0</v>
      </c>
      <c r="J46" s="220">
        <f>SUM(J20:J45)</f>
        <v>33669.087680000004</v>
      </c>
      <c r="K46" s="218"/>
      <c r="L46" s="219">
        <f>SUM(L20:L45)</f>
        <v>-170</v>
      </c>
      <c r="M46" s="219">
        <f>SUM(M20:M45)</f>
        <v>0</v>
      </c>
      <c r="N46" s="220">
        <f>SUM(N20:N45)</f>
        <v>33499.087680000004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34218.417680000013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36069.407680000004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36338.287680000001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36222.177680000015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36313.587680000011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37144.797680000011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37158.705360000022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38821.585360000019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38796.715360000009</v>
      </c>
      <c r="AZ46" s="227">
        <f>SUM(AZ20:AZ45)</f>
        <v>35994.370000000003</v>
      </c>
      <c r="BA46" s="1"/>
      <c r="BB46" s="1"/>
      <c r="BC46" s="124">
        <f ca="1">SUM(BC20:BC45)</f>
        <v>35994.370000000003</v>
      </c>
      <c r="BE46" s="227">
        <f ca="1">SUM(BE20:BE45)</f>
        <v>5139.0399999999991</v>
      </c>
      <c r="BF46" s="1"/>
      <c r="BG46" s="1"/>
      <c r="BH46" s="124">
        <f ca="1">SUM(BH20:BH45)</f>
        <v>5139.0399999999991</v>
      </c>
      <c r="BJ46" s="227">
        <f ca="1">SUM(BJ20:BJ45)</f>
        <v>260.09000000000037</v>
      </c>
    </row>
    <row r="47" spans="1:62" s="29" customFormat="1" ht="12.75">
      <c r="A47" s="207" t="s">
        <v>158</v>
      </c>
      <c r="B47" s="125"/>
      <c r="C47" s="125">
        <f>C5-B46</f>
        <v>571.43231999999989</v>
      </c>
      <c r="D47" s="125">
        <f>C17-D46</f>
        <v>-4.4999999999990905</v>
      </c>
      <c r="E47" s="125">
        <f>C17-E46</f>
        <v>255.59000000000196</v>
      </c>
      <c r="F47" s="125"/>
      <c r="G47" s="125">
        <f>G5-F46</f>
        <v>2.3199999923235737E-3</v>
      </c>
      <c r="H47" s="125">
        <f>G17-H46</f>
        <v>170</v>
      </c>
      <c r="I47" s="125">
        <f>G17-I46</f>
        <v>0</v>
      </c>
      <c r="J47" s="125"/>
      <c r="K47" s="125">
        <f>K5-J46</f>
        <v>-8094.3276800000021</v>
      </c>
      <c r="L47" s="125">
        <f>K17-L46</f>
        <v>170</v>
      </c>
      <c r="M47" s="125">
        <f>K17-M46</f>
        <v>0</v>
      </c>
      <c r="N47" s="125"/>
      <c r="O47" s="125">
        <f>O5-N46</f>
        <v>-7055.3276800000058</v>
      </c>
      <c r="P47" s="125">
        <f>O17-P46</f>
        <v>0</v>
      </c>
      <c r="Q47" s="125">
        <f>O17-Q46</f>
        <v>719.33000000000084</v>
      </c>
      <c r="R47" s="125"/>
      <c r="S47" s="125">
        <f>S5-R46</f>
        <v>-7055.3276800000094</v>
      </c>
      <c r="T47" s="125">
        <f>S17-T46</f>
        <v>0</v>
      </c>
      <c r="U47" s="125">
        <f>S17-U46</f>
        <v>1850.9900000000016</v>
      </c>
      <c r="V47" s="125"/>
      <c r="W47" s="125">
        <f>W5-V46</f>
        <v>-7055.3276800000058</v>
      </c>
      <c r="X47" s="125">
        <f>W17-X46</f>
        <v>0</v>
      </c>
      <c r="Y47" s="125">
        <f>W17-Y46</f>
        <v>268.88000000000056</v>
      </c>
      <c r="Z47" s="125"/>
      <c r="AA47" s="125">
        <f>AA5-Z46</f>
        <v>-7055.3276800000021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-7055.3276800000131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-7055.3276800000094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-7055.3276800000094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-7055.3253600000171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-8718.2053600000145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188</v>
      </c>
      <c r="AW48" s="5"/>
      <c r="AX48" s="5"/>
      <c r="AZ48" s="112">
        <f>4350*12</f>
        <v>52200</v>
      </c>
      <c r="BA48" s="112"/>
      <c r="BB48" s="1" t="s">
        <v>189</v>
      </c>
      <c r="BC48" s="112">
        <f ca="1">12*BC46</f>
        <v>431932.44000000006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70" t="s">
        <v>147</v>
      </c>
      <c r="D52" s="371"/>
      <c r="E52" s="371"/>
      <c r="F52" s="372"/>
      <c r="G52" s="370" t="s">
        <v>147</v>
      </c>
      <c r="H52" s="371"/>
      <c r="I52" s="371"/>
      <c r="J52" s="372"/>
      <c r="K52" s="370" t="s">
        <v>147</v>
      </c>
      <c r="L52" s="371"/>
      <c r="M52" s="371"/>
      <c r="N52" s="372"/>
      <c r="O52" s="370" t="s">
        <v>147</v>
      </c>
      <c r="P52" s="371"/>
      <c r="Q52" s="371"/>
      <c r="R52" s="372"/>
      <c r="S52" s="370" t="s">
        <v>147</v>
      </c>
      <c r="T52" s="371"/>
      <c r="U52" s="371"/>
      <c r="V52" s="372"/>
      <c r="W52" s="370" t="s">
        <v>147</v>
      </c>
      <c r="X52" s="371"/>
      <c r="Y52" s="371"/>
      <c r="Z52" s="372"/>
      <c r="AA52" s="370" t="s">
        <v>147</v>
      </c>
      <c r="AB52" s="371"/>
      <c r="AC52" s="371"/>
      <c r="AD52" s="372"/>
      <c r="AE52" s="370" t="s">
        <v>147</v>
      </c>
      <c r="AF52" s="371"/>
      <c r="AG52" s="371"/>
      <c r="AH52" s="372"/>
      <c r="AI52" s="370" t="s">
        <v>147</v>
      </c>
      <c r="AJ52" s="371"/>
      <c r="AK52" s="371"/>
      <c r="AL52" s="372"/>
      <c r="AM52" s="370" t="s">
        <v>147</v>
      </c>
      <c r="AN52" s="371"/>
      <c r="AO52" s="371"/>
      <c r="AP52" s="372"/>
      <c r="AQ52" s="370" t="s">
        <v>147</v>
      </c>
      <c r="AR52" s="371"/>
      <c r="AS52" s="371"/>
      <c r="AT52" s="372"/>
      <c r="AU52" s="370" t="s">
        <v>147</v>
      </c>
      <c r="AV52" s="371"/>
      <c r="AW52" s="371"/>
      <c r="AX52" s="372"/>
    </row>
    <row r="53" spans="2:62" ht="15.75" thickBot="1">
      <c r="C53" s="93" t="s">
        <v>148</v>
      </c>
      <c r="D53" s="373" t="s">
        <v>29</v>
      </c>
      <c r="E53" s="374"/>
      <c r="F53" s="94" t="s">
        <v>86</v>
      </c>
      <c r="G53" s="93" t="s">
        <v>148</v>
      </c>
      <c r="H53" s="373" t="s">
        <v>29</v>
      </c>
      <c r="I53" s="374"/>
      <c r="J53" s="94" t="s">
        <v>86</v>
      </c>
      <c r="K53" s="93" t="s">
        <v>148</v>
      </c>
      <c r="L53" s="373" t="s">
        <v>29</v>
      </c>
      <c r="M53" s="374"/>
      <c r="N53" s="94" t="s">
        <v>86</v>
      </c>
      <c r="O53" s="93" t="s">
        <v>148</v>
      </c>
      <c r="P53" s="373" t="s">
        <v>29</v>
      </c>
      <c r="Q53" s="374"/>
      <c r="R53" s="94" t="s">
        <v>86</v>
      </c>
      <c r="S53" s="93" t="s">
        <v>148</v>
      </c>
      <c r="T53" s="373" t="s">
        <v>29</v>
      </c>
      <c r="U53" s="374"/>
      <c r="V53" s="94" t="s">
        <v>86</v>
      </c>
      <c r="W53" s="93" t="s">
        <v>148</v>
      </c>
      <c r="X53" s="373" t="s">
        <v>29</v>
      </c>
      <c r="Y53" s="374"/>
      <c r="Z53" s="94" t="s">
        <v>86</v>
      </c>
      <c r="AA53" s="93" t="s">
        <v>148</v>
      </c>
      <c r="AB53" s="373" t="s">
        <v>29</v>
      </c>
      <c r="AC53" s="374"/>
      <c r="AD53" s="94" t="s">
        <v>86</v>
      </c>
      <c r="AE53" s="93" t="s">
        <v>148</v>
      </c>
      <c r="AF53" s="373" t="s">
        <v>29</v>
      </c>
      <c r="AG53" s="374"/>
      <c r="AH53" s="94" t="s">
        <v>86</v>
      </c>
      <c r="AI53" s="93" t="s">
        <v>148</v>
      </c>
      <c r="AJ53" s="373" t="s">
        <v>29</v>
      </c>
      <c r="AK53" s="374"/>
      <c r="AL53" s="94" t="s">
        <v>86</v>
      </c>
      <c r="AM53" s="93" t="s">
        <v>148</v>
      </c>
      <c r="AN53" s="373" t="s">
        <v>29</v>
      </c>
      <c r="AO53" s="374"/>
      <c r="AP53" s="94" t="s">
        <v>86</v>
      </c>
      <c r="AQ53" s="93" t="s">
        <v>148</v>
      </c>
      <c r="AR53" s="373" t="s">
        <v>29</v>
      </c>
      <c r="AS53" s="374"/>
      <c r="AT53" s="94" t="s">
        <v>86</v>
      </c>
      <c r="AU53" s="93" t="s">
        <v>148</v>
      </c>
      <c r="AV53" s="373" t="s">
        <v>29</v>
      </c>
      <c r="AW53" s="374"/>
      <c r="AX53" s="94" t="s">
        <v>86</v>
      </c>
    </row>
    <row r="54" spans="2:62">
      <c r="C54" s="95">
        <v>43832</v>
      </c>
      <c r="D54" s="375" t="s">
        <v>785</v>
      </c>
      <c r="E54" s="376"/>
      <c r="F54" s="98"/>
      <c r="G54" s="95">
        <v>43862</v>
      </c>
      <c r="H54" s="375" t="s">
        <v>815</v>
      </c>
      <c r="I54" s="376"/>
      <c r="J54" s="100">
        <v>1200</v>
      </c>
      <c r="K54" s="95"/>
      <c r="L54" s="381"/>
      <c r="M54" s="382"/>
      <c r="N54" s="100"/>
      <c r="O54" s="95"/>
      <c r="P54" s="386"/>
      <c r="Q54" s="387"/>
      <c r="R54" s="102"/>
      <c r="S54" s="95"/>
      <c r="T54" s="381"/>
      <c r="U54" s="382"/>
      <c r="V54" s="103"/>
      <c r="W54" s="95"/>
      <c r="X54" s="381"/>
      <c r="Y54" s="382"/>
      <c r="Z54" s="104"/>
      <c r="AA54" s="95"/>
      <c r="AB54" s="388"/>
      <c r="AC54" s="389"/>
      <c r="AD54" s="239"/>
      <c r="AE54" s="95"/>
      <c r="AF54" s="388"/>
      <c r="AG54" s="389"/>
      <c r="AH54" s="239"/>
      <c r="AI54" s="95"/>
      <c r="AJ54" s="388"/>
      <c r="AK54" s="389"/>
      <c r="AL54" s="239"/>
      <c r="AM54" s="95"/>
      <c r="AN54" s="388"/>
      <c r="AO54" s="389"/>
      <c r="AP54" s="239"/>
      <c r="AQ54" s="95"/>
      <c r="AR54" s="388"/>
      <c r="AS54" s="389"/>
      <c r="AT54" s="239"/>
      <c r="AU54" s="95"/>
      <c r="AV54" s="375"/>
      <c r="AW54" s="376"/>
      <c r="AX54" s="100"/>
    </row>
    <row r="55" spans="2:62">
      <c r="C55" s="96"/>
      <c r="D55" s="379"/>
      <c r="E55" s="380"/>
      <c r="F55" s="98"/>
      <c r="G55" s="96">
        <v>43862</v>
      </c>
      <c r="H55" s="379" t="s">
        <v>816</v>
      </c>
      <c r="I55" s="380"/>
      <c r="J55" s="100"/>
      <c r="K55" s="96"/>
      <c r="L55" s="379"/>
      <c r="M55" s="380"/>
      <c r="N55" s="100"/>
      <c r="O55" s="96"/>
      <c r="P55" s="379"/>
      <c r="Q55" s="380"/>
      <c r="R55" s="100"/>
      <c r="S55" s="96"/>
      <c r="T55" s="379"/>
      <c r="U55" s="380"/>
      <c r="V55" s="100"/>
      <c r="W55" s="96"/>
      <c r="X55" s="379"/>
      <c r="Y55" s="380"/>
      <c r="Z55" s="100"/>
      <c r="AA55" s="96"/>
      <c r="AB55" s="379"/>
      <c r="AC55" s="380"/>
      <c r="AD55" s="100"/>
      <c r="AE55" s="96"/>
      <c r="AF55" s="379"/>
      <c r="AG55" s="380"/>
      <c r="AH55" s="100"/>
      <c r="AI55" s="96"/>
      <c r="AJ55" s="379"/>
      <c r="AK55" s="380"/>
      <c r="AL55" s="100"/>
      <c r="AM55" s="96"/>
      <c r="AN55" s="390"/>
      <c r="AO55" s="391"/>
      <c r="AP55" s="100"/>
      <c r="AQ55" s="96"/>
      <c r="AR55" s="379"/>
      <c r="AS55" s="380"/>
      <c r="AT55" s="100"/>
      <c r="AU55" s="96"/>
      <c r="AV55" s="379"/>
      <c r="AW55" s="380"/>
      <c r="AX55" s="100"/>
    </row>
    <row r="56" spans="2:62">
      <c r="B56" s="119"/>
      <c r="C56" s="96">
        <v>43860</v>
      </c>
      <c r="D56" s="379" t="s">
        <v>151</v>
      </c>
      <c r="E56" s="380"/>
      <c r="F56" s="98"/>
      <c r="G56" s="96"/>
      <c r="H56" s="379"/>
      <c r="I56" s="380"/>
      <c r="J56" s="100"/>
      <c r="K56" s="96"/>
      <c r="L56" s="379"/>
      <c r="M56" s="380"/>
      <c r="N56" s="100"/>
      <c r="O56" s="96"/>
      <c r="P56" s="388"/>
      <c r="Q56" s="389"/>
      <c r="R56" s="102"/>
      <c r="S56" s="96"/>
      <c r="T56" s="379"/>
      <c r="U56" s="380"/>
      <c r="V56" s="100"/>
      <c r="W56" s="96"/>
      <c r="X56" s="379"/>
      <c r="Y56" s="380"/>
      <c r="Z56" s="100"/>
      <c r="AA56" s="96"/>
      <c r="AB56" s="379"/>
      <c r="AC56" s="380"/>
      <c r="AD56" s="100"/>
      <c r="AE56" s="96"/>
      <c r="AF56" s="379"/>
      <c r="AG56" s="380"/>
      <c r="AH56" s="100"/>
      <c r="AI56" s="96"/>
      <c r="AJ56" s="390"/>
      <c r="AK56" s="391"/>
      <c r="AL56" s="100"/>
      <c r="AM56" s="96"/>
      <c r="AN56" s="390"/>
      <c r="AO56" s="391"/>
      <c r="AP56" s="100"/>
      <c r="AQ56" s="96"/>
      <c r="AR56" s="379"/>
      <c r="AS56" s="380"/>
      <c r="AT56" s="100"/>
      <c r="AU56" s="96"/>
      <c r="AV56" s="379"/>
      <c r="AW56" s="380"/>
      <c r="AX56" s="100"/>
    </row>
    <row r="57" spans="2:62">
      <c r="C57" s="96"/>
      <c r="D57" s="379"/>
      <c r="E57" s="380"/>
      <c r="F57" s="98"/>
      <c r="G57" s="96"/>
      <c r="H57" s="379"/>
      <c r="I57" s="380"/>
      <c r="J57" s="100"/>
      <c r="K57" s="96"/>
      <c r="L57" s="379"/>
      <c r="M57" s="380"/>
      <c r="N57" s="100"/>
      <c r="O57" s="96"/>
      <c r="P57" s="383"/>
      <c r="Q57" s="384"/>
      <c r="R57" s="100"/>
      <c r="S57" s="96"/>
      <c r="T57" s="379"/>
      <c r="U57" s="380"/>
      <c r="V57" s="100"/>
      <c r="W57" s="96"/>
      <c r="X57" s="379"/>
      <c r="Y57" s="380"/>
      <c r="Z57" s="100"/>
      <c r="AA57" s="96"/>
      <c r="AB57" s="396"/>
      <c r="AC57" s="397"/>
      <c r="AD57" s="100"/>
      <c r="AE57" s="96"/>
      <c r="AF57" s="379"/>
      <c r="AG57" s="380"/>
      <c r="AH57" s="100"/>
      <c r="AI57" s="96"/>
      <c r="AJ57" s="390"/>
      <c r="AK57" s="391"/>
      <c r="AL57" s="100"/>
      <c r="AM57" s="96"/>
      <c r="AN57" s="390"/>
      <c r="AO57" s="391"/>
      <c r="AP57" s="100"/>
      <c r="AQ57" s="96"/>
      <c r="AR57" s="379"/>
      <c r="AS57" s="380"/>
      <c r="AT57" s="100"/>
      <c r="AU57" s="96"/>
      <c r="AV57" s="379"/>
      <c r="AW57" s="380"/>
      <c r="AX57" s="100"/>
    </row>
    <row r="58" spans="2:62">
      <c r="C58" s="96"/>
      <c r="D58" s="379"/>
      <c r="E58" s="380"/>
      <c r="F58" s="98"/>
      <c r="G58" s="96"/>
      <c r="H58" s="379"/>
      <c r="I58" s="380"/>
      <c r="J58" s="100"/>
      <c r="K58" s="96"/>
      <c r="L58" s="379"/>
      <c r="M58" s="380"/>
      <c r="N58" s="100"/>
      <c r="O58" s="96"/>
      <c r="P58" s="379"/>
      <c r="Q58" s="380"/>
      <c r="R58" s="100"/>
      <c r="S58" s="96"/>
      <c r="T58" s="379"/>
      <c r="U58" s="380"/>
      <c r="V58" s="100"/>
      <c r="W58" s="96"/>
      <c r="X58" s="379"/>
      <c r="Y58" s="380"/>
      <c r="Z58" s="100"/>
      <c r="AA58" s="96"/>
      <c r="AB58" s="396"/>
      <c r="AC58" s="397"/>
      <c r="AD58" s="100"/>
      <c r="AE58" s="96"/>
      <c r="AF58" s="379"/>
      <c r="AG58" s="380"/>
      <c r="AH58" s="100"/>
      <c r="AI58" s="96"/>
      <c r="AJ58" s="392"/>
      <c r="AK58" s="393"/>
      <c r="AL58" s="100"/>
      <c r="AM58" s="96"/>
      <c r="AN58" s="390"/>
      <c r="AO58" s="391"/>
      <c r="AP58" s="100"/>
      <c r="AQ58" s="96"/>
      <c r="AR58" s="379"/>
      <c r="AS58" s="380"/>
      <c r="AT58" s="100"/>
      <c r="AU58" s="96"/>
      <c r="AV58" s="379"/>
      <c r="AW58" s="380"/>
      <c r="AX58" s="100"/>
    </row>
    <row r="59" spans="2:62">
      <c r="C59" s="96"/>
      <c r="D59" s="379"/>
      <c r="E59" s="380"/>
      <c r="F59" s="98"/>
      <c r="G59" s="96"/>
      <c r="H59" s="379"/>
      <c r="I59" s="380"/>
      <c r="J59" s="100"/>
      <c r="K59" s="96"/>
      <c r="L59" s="379"/>
      <c r="M59" s="380"/>
      <c r="N59" s="100"/>
      <c r="O59" s="96"/>
      <c r="P59" s="379"/>
      <c r="Q59" s="380"/>
      <c r="R59" s="100"/>
      <c r="S59" s="96"/>
      <c r="T59" s="390"/>
      <c r="U59" s="391"/>
      <c r="V59" s="100"/>
      <c r="W59" s="96"/>
      <c r="X59" s="390"/>
      <c r="Y59" s="391"/>
      <c r="Z59" s="100"/>
      <c r="AA59" s="96"/>
      <c r="AB59" s="390"/>
      <c r="AC59" s="391"/>
      <c r="AD59" s="100"/>
      <c r="AE59" s="96"/>
      <c r="AF59" s="379"/>
      <c r="AG59" s="380"/>
      <c r="AH59" s="100"/>
      <c r="AI59" s="96"/>
      <c r="AJ59" s="392"/>
      <c r="AK59" s="393"/>
      <c r="AL59" s="100"/>
      <c r="AM59" s="96"/>
      <c r="AN59" s="400"/>
      <c r="AO59" s="401"/>
      <c r="AP59" s="100"/>
      <c r="AQ59" s="96"/>
      <c r="AR59" s="379"/>
      <c r="AS59" s="380"/>
      <c r="AT59" s="100"/>
      <c r="AU59" s="96"/>
      <c r="AV59" s="379"/>
      <c r="AW59" s="380"/>
      <c r="AX59" s="100"/>
    </row>
    <row r="60" spans="2:62">
      <c r="C60" s="96"/>
      <c r="D60" s="379"/>
      <c r="E60" s="380"/>
      <c r="F60" s="98"/>
      <c r="G60" s="96"/>
      <c r="H60" s="379"/>
      <c r="I60" s="380"/>
      <c r="J60" s="100"/>
      <c r="K60" s="235"/>
      <c r="L60" s="383"/>
      <c r="M60" s="384"/>
      <c r="N60" s="236"/>
      <c r="O60" s="96"/>
      <c r="P60" s="379"/>
      <c r="Q60" s="380"/>
      <c r="R60" s="100"/>
      <c r="S60" s="96"/>
      <c r="T60" s="390"/>
      <c r="U60" s="391"/>
      <c r="V60" s="100"/>
      <c r="W60" s="96"/>
      <c r="X60" s="392"/>
      <c r="Y60" s="393"/>
      <c r="Z60" s="100"/>
      <c r="AA60" s="96"/>
      <c r="AB60" s="392"/>
      <c r="AC60" s="393"/>
      <c r="AD60" s="100"/>
      <c r="AE60" s="96"/>
      <c r="AF60" s="390"/>
      <c r="AG60" s="391"/>
      <c r="AH60" s="100"/>
      <c r="AI60" s="96"/>
      <c r="AJ60" s="392"/>
      <c r="AK60" s="393"/>
      <c r="AL60" s="100"/>
      <c r="AM60" s="96"/>
      <c r="AN60" s="392"/>
      <c r="AO60" s="393"/>
      <c r="AP60" s="100"/>
      <c r="AQ60" s="96"/>
      <c r="AR60" s="379"/>
      <c r="AS60" s="380"/>
      <c r="AT60" s="100"/>
      <c r="AU60" s="96"/>
      <c r="AV60" s="379"/>
      <c r="AW60" s="380"/>
      <c r="AX60" s="100"/>
    </row>
    <row r="61" spans="2:62">
      <c r="C61" s="96"/>
      <c r="D61" s="379"/>
      <c r="E61" s="380"/>
      <c r="F61" s="98"/>
      <c r="G61" s="96"/>
      <c r="H61" s="379"/>
      <c r="I61" s="380"/>
      <c r="J61" s="100"/>
      <c r="K61" s="96"/>
      <c r="L61" s="385"/>
      <c r="M61" s="380"/>
      <c r="N61" s="100"/>
      <c r="O61" s="96"/>
      <c r="P61" s="379"/>
      <c r="Q61" s="380"/>
      <c r="R61" s="100"/>
      <c r="S61" s="96"/>
      <c r="T61" s="390"/>
      <c r="U61" s="391"/>
      <c r="V61" s="100"/>
      <c r="W61" s="96"/>
      <c r="X61" s="392"/>
      <c r="Y61" s="393"/>
      <c r="Z61" s="100"/>
      <c r="AA61" s="96"/>
      <c r="AB61" s="392"/>
      <c r="AC61" s="393"/>
      <c r="AD61" s="100"/>
      <c r="AE61" s="96"/>
      <c r="AF61" s="392"/>
      <c r="AG61" s="393"/>
      <c r="AH61" s="100"/>
      <c r="AI61" s="96"/>
      <c r="AJ61" s="392"/>
      <c r="AK61" s="393"/>
      <c r="AL61" s="100"/>
      <c r="AM61" s="96"/>
      <c r="AN61" s="392"/>
      <c r="AO61" s="393"/>
      <c r="AP61" s="100"/>
      <c r="AQ61" s="96"/>
      <c r="AR61" s="379"/>
      <c r="AS61" s="380"/>
      <c r="AT61" s="100"/>
      <c r="AU61" s="96"/>
      <c r="AV61" s="379"/>
      <c r="AW61" s="380"/>
      <c r="AX61" s="100"/>
    </row>
    <row r="62" spans="2:62">
      <c r="C62" s="96"/>
      <c r="D62" s="379"/>
      <c r="E62" s="380"/>
      <c r="F62" s="98"/>
      <c r="G62" s="96"/>
      <c r="H62" s="379"/>
      <c r="I62" s="380"/>
      <c r="J62" s="100"/>
      <c r="K62" s="96"/>
      <c r="L62" s="379"/>
      <c r="M62" s="380"/>
      <c r="N62" s="100"/>
      <c r="O62" s="96"/>
      <c r="P62" s="379"/>
      <c r="Q62" s="380"/>
      <c r="R62" s="100"/>
      <c r="S62" s="96"/>
      <c r="T62" s="390"/>
      <c r="U62" s="391"/>
      <c r="V62" s="100"/>
      <c r="W62" s="96"/>
      <c r="X62" s="392"/>
      <c r="Y62" s="393"/>
      <c r="Z62" s="100"/>
      <c r="AA62" s="96"/>
      <c r="AB62" s="392"/>
      <c r="AC62" s="393"/>
      <c r="AD62" s="100"/>
      <c r="AE62" s="96"/>
      <c r="AF62" s="392"/>
      <c r="AG62" s="393"/>
      <c r="AH62" s="100"/>
      <c r="AI62" s="96"/>
      <c r="AJ62" s="392"/>
      <c r="AK62" s="393"/>
      <c r="AL62" s="100"/>
      <c r="AM62" s="96"/>
      <c r="AN62" s="392"/>
      <c r="AO62" s="393"/>
      <c r="AP62" s="100"/>
      <c r="AQ62" s="96"/>
      <c r="AR62" s="379"/>
      <c r="AS62" s="380"/>
      <c r="AT62" s="100"/>
      <c r="AU62" s="96"/>
      <c r="AV62" s="379"/>
      <c r="AW62" s="380"/>
      <c r="AX62" s="100"/>
    </row>
    <row r="63" spans="2:62">
      <c r="C63" s="96"/>
      <c r="D63" s="379"/>
      <c r="E63" s="380"/>
      <c r="F63" s="98"/>
      <c r="G63" s="96"/>
      <c r="H63" s="379"/>
      <c r="I63" s="380"/>
      <c r="J63" s="100"/>
      <c r="K63" s="96"/>
      <c r="L63" s="379"/>
      <c r="M63" s="380"/>
      <c r="N63" s="100"/>
      <c r="O63" s="96"/>
      <c r="P63" s="379"/>
      <c r="Q63" s="380"/>
      <c r="R63" s="100"/>
      <c r="S63" s="96"/>
      <c r="T63" s="390"/>
      <c r="U63" s="391"/>
      <c r="V63" s="100"/>
      <c r="W63" s="96"/>
      <c r="X63" s="392"/>
      <c r="Y63" s="393"/>
      <c r="Z63" s="100"/>
      <c r="AA63" s="96"/>
      <c r="AB63" s="392"/>
      <c r="AC63" s="393"/>
      <c r="AD63" s="100"/>
      <c r="AE63" s="96"/>
      <c r="AF63" s="392"/>
      <c r="AG63" s="393"/>
      <c r="AH63" s="100"/>
      <c r="AI63" s="96"/>
      <c r="AJ63" s="392"/>
      <c r="AK63" s="393"/>
      <c r="AL63" s="100"/>
      <c r="AM63" s="96"/>
      <c r="AN63" s="392"/>
      <c r="AO63" s="393"/>
      <c r="AP63" s="100"/>
      <c r="AQ63" s="96"/>
      <c r="AR63" s="379"/>
      <c r="AS63" s="380"/>
      <c r="AT63" s="100"/>
      <c r="AU63" s="96"/>
      <c r="AV63" s="379"/>
      <c r="AW63" s="380"/>
      <c r="AX63" s="100"/>
    </row>
    <row r="64" spans="2:62">
      <c r="C64" s="96"/>
      <c r="D64" s="379"/>
      <c r="E64" s="380"/>
      <c r="F64" s="98"/>
      <c r="G64" s="96"/>
      <c r="H64" s="379"/>
      <c r="I64" s="380"/>
      <c r="J64" s="100"/>
      <c r="K64" s="96"/>
      <c r="L64" s="379"/>
      <c r="M64" s="380"/>
      <c r="N64" s="100"/>
      <c r="O64" s="96"/>
      <c r="P64" s="379"/>
      <c r="Q64" s="380"/>
      <c r="R64" s="100"/>
      <c r="S64" s="96"/>
      <c r="T64" s="390"/>
      <c r="U64" s="391"/>
      <c r="V64" s="100"/>
      <c r="W64" s="96"/>
      <c r="X64" s="392"/>
      <c r="Y64" s="393"/>
      <c r="Z64" s="100"/>
      <c r="AA64" s="96"/>
      <c r="AB64" s="392"/>
      <c r="AC64" s="393"/>
      <c r="AD64" s="100"/>
      <c r="AE64" s="96"/>
      <c r="AF64" s="392"/>
      <c r="AG64" s="393"/>
      <c r="AH64" s="100"/>
      <c r="AI64" s="96"/>
      <c r="AJ64" s="392"/>
      <c r="AK64" s="393"/>
      <c r="AL64" s="100"/>
      <c r="AM64" s="96"/>
      <c r="AN64" s="392"/>
      <c r="AO64" s="393"/>
      <c r="AP64" s="100"/>
      <c r="AQ64" s="96"/>
      <c r="AR64" s="379"/>
      <c r="AS64" s="380"/>
      <c r="AT64" s="100"/>
      <c r="AU64" s="96"/>
      <c r="AV64" s="379"/>
      <c r="AW64" s="380"/>
      <c r="AX64" s="100"/>
    </row>
    <row r="65" spans="1:50">
      <c r="C65" s="96"/>
      <c r="D65" s="379"/>
      <c r="E65" s="380"/>
      <c r="F65" s="98"/>
      <c r="G65" s="96"/>
      <c r="H65" s="379"/>
      <c r="I65" s="380"/>
      <c r="J65" s="100"/>
      <c r="K65" s="96"/>
      <c r="L65" s="379"/>
      <c r="M65" s="380"/>
      <c r="N65" s="100"/>
      <c r="O65" s="96"/>
      <c r="P65" s="379"/>
      <c r="Q65" s="380"/>
      <c r="R65" s="100"/>
      <c r="S65" s="96"/>
      <c r="T65" s="390"/>
      <c r="U65" s="391"/>
      <c r="V65" s="100"/>
      <c r="W65" s="96"/>
      <c r="X65" s="392"/>
      <c r="Y65" s="393"/>
      <c r="Z65" s="100"/>
      <c r="AA65" s="96"/>
      <c r="AB65" s="392"/>
      <c r="AC65" s="393"/>
      <c r="AD65" s="100"/>
      <c r="AE65" s="96"/>
      <c r="AF65" s="392"/>
      <c r="AG65" s="393"/>
      <c r="AH65" s="100"/>
      <c r="AI65" s="96"/>
      <c r="AJ65" s="392"/>
      <c r="AK65" s="393"/>
      <c r="AL65" s="100"/>
      <c r="AM65" s="96"/>
      <c r="AN65" s="392"/>
      <c r="AO65" s="393"/>
      <c r="AP65" s="100"/>
      <c r="AQ65" s="96"/>
      <c r="AR65" s="379"/>
      <c r="AS65" s="380"/>
      <c r="AT65" s="100"/>
      <c r="AU65" s="96"/>
      <c r="AV65" s="379"/>
      <c r="AW65" s="380"/>
      <c r="AX65" s="100"/>
    </row>
    <row r="66" spans="1:50">
      <c r="C66" s="96"/>
      <c r="D66" s="379"/>
      <c r="E66" s="380"/>
      <c r="F66" s="98"/>
      <c r="G66" s="96"/>
      <c r="H66" s="379"/>
      <c r="I66" s="380"/>
      <c r="J66" s="100"/>
      <c r="K66" s="96"/>
      <c r="L66" s="379"/>
      <c r="M66" s="380"/>
      <c r="N66" s="100"/>
      <c r="O66" s="96"/>
      <c r="P66" s="379"/>
      <c r="Q66" s="380"/>
      <c r="R66" s="100"/>
      <c r="S66" s="96"/>
      <c r="T66" s="392"/>
      <c r="U66" s="393"/>
      <c r="V66" s="100"/>
      <c r="W66" s="96"/>
      <c r="X66" s="392"/>
      <c r="Y66" s="393"/>
      <c r="Z66" s="100"/>
      <c r="AA66" s="96"/>
      <c r="AB66" s="392"/>
      <c r="AC66" s="393"/>
      <c r="AD66" s="100"/>
      <c r="AE66" s="96"/>
      <c r="AF66" s="392"/>
      <c r="AG66" s="393"/>
      <c r="AH66" s="100"/>
      <c r="AI66" s="96"/>
      <c r="AJ66" s="392"/>
      <c r="AK66" s="393"/>
      <c r="AL66" s="100"/>
      <c r="AM66" s="96"/>
      <c r="AN66" s="392"/>
      <c r="AO66" s="393"/>
      <c r="AP66" s="100"/>
      <c r="AQ66" s="96"/>
      <c r="AR66" s="379"/>
      <c r="AS66" s="380"/>
      <c r="AT66" s="100"/>
      <c r="AU66" s="96"/>
      <c r="AV66" s="379"/>
      <c r="AW66" s="380"/>
      <c r="AX66" s="100"/>
    </row>
    <row r="67" spans="1:50">
      <c r="C67" s="96"/>
      <c r="D67" s="379"/>
      <c r="E67" s="380"/>
      <c r="F67" s="98"/>
      <c r="G67" s="96"/>
      <c r="H67" s="379"/>
      <c r="I67" s="380"/>
      <c r="J67" s="100"/>
      <c r="K67" s="96"/>
      <c r="L67" s="379"/>
      <c r="M67" s="380"/>
      <c r="N67" s="100"/>
      <c r="O67" s="96"/>
      <c r="P67" s="379"/>
      <c r="Q67" s="380"/>
      <c r="R67" s="100"/>
      <c r="S67" s="96"/>
      <c r="T67" s="392"/>
      <c r="U67" s="393"/>
      <c r="V67" s="100"/>
      <c r="W67" s="96"/>
      <c r="X67" s="392"/>
      <c r="Y67" s="393"/>
      <c r="Z67" s="100"/>
      <c r="AA67" s="96"/>
      <c r="AB67" s="392"/>
      <c r="AC67" s="393"/>
      <c r="AD67" s="100"/>
      <c r="AE67" s="96"/>
      <c r="AF67" s="392"/>
      <c r="AG67" s="393"/>
      <c r="AH67" s="100"/>
      <c r="AI67" s="96"/>
      <c r="AJ67" s="392"/>
      <c r="AK67" s="393"/>
      <c r="AL67" s="100"/>
      <c r="AM67" s="96"/>
      <c r="AN67" s="392"/>
      <c r="AO67" s="393"/>
      <c r="AP67" s="100"/>
      <c r="AQ67" s="96"/>
      <c r="AR67" s="379"/>
      <c r="AS67" s="380"/>
      <c r="AT67" s="100"/>
      <c r="AU67" s="96"/>
      <c r="AV67" s="379"/>
      <c r="AW67" s="380"/>
      <c r="AX67" s="100"/>
    </row>
    <row r="68" spans="1:50">
      <c r="C68" s="96"/>
      <c r="D68" s="379"/>
      <c r="E68" s="380"/>
      <c r="F68" s="98"/>
      <c r="G68" s="96"/>
      <c r="H68" s="379"/>
      <c r="I68" s="380"/>
      <c r="J68" s="100"/>
      <c r="K68" s="96"/>
      <c r="L68" s="379"/>
      <c r="M68" s="380"/>
      <c r="N68" s="100"/>
      <c r="O68" s="96"/>
      <c r="P68" s="379"/>
      <c r="Q68" s="380"/>
      <c r="R68" s="100"/>
      <c r="S68" s="96"/>
      <c r="T68" s="392"/>
      <c r="U68" s="393"/>
      <c r="V68" s="100"/>
      <c r="W68" s="96"/>
      <c r="X68" s="392"/>
      <c r="Y68" s="393"/>
      <c r="Z68" s="100"/>
      <c r="AA68" s="96"/>
      <c r="AB68" s="392"/>
      <c r="AC68" s="393"/>
      <c r="AD68" s="100"/>
      <c r="AE68" s="96"/>
      <c r="AF68" s="392"/>
      <c r="AG68" s="393"/>
      <c r="AH68" s="100"/>
      <c r="AI68" s="96"/>
      <c r="AJ68" s="392"/>
      <c r="AK68" s="393"/>
      <c r="AL68" s="100"/>
      <c r="AM68" s="96"/>
      <c r="AN68" s="392"/>
      <c r="AO68" s="393"/>
      <c r="AP68" s="100"/>
      <c r="AQ68" s="96"/>
      <c r="AR68" s="379"/>
      <c r="AS68" s="380"/>
      <c r="AT68" s="100"/>
      <c r="AU68" s="96"/>
      <c r="AV68" s="379"/>
      <c r="AW68" s="380"/>
      <c r="AX68" s="100"/>
    </row>
    <row r="69" spans="1:50">
      <c r="C69" s="96"/>
      <c r="D69" s="379"/>
      <c r="E69" s="380"/>
      <c r="F69" s="98"/>
      <c r="G69" s="96"/>
      <c r="H69" s="379"/>
      <c r="I69" s="380"/>
      <c r="J69" s="100"/>
      <c r="K69" s="96"/>
      <c r="L69" s="379"/>
      <c r="M69" s="380"/>
      <c r="N69" s="100"/>
      <c r="O69" s="96"/>
      <c r="P69" s="379"/>
      <c r="Q69" s="380"/>
      <c r="R69" s="100"/>
      <c r="S69" s="96"/>
      <c r="T69" s="392"/>
      <c r="U69" s="393"/>
      <c r="V69" s="100"/>
      <c r="W69" s="96"/>
      <c r="X69" s="392"/>
      <c r="Y69" s="393"/>
      <c r="Z69" s="100"/>
      <c r="AA69" s="96"/>
      <c r="AB69" s="392"/>
      <c r="AC69" s="393"/>
      <c r="AD69" s="100"/>
      <c r="AE69" s="96"/>
      <c r="AF69" s="392"/>
      <c r="AG69" s="393"/>
      <c r="AH69" s="100"/>
      <c r="AI69" s="96"/>
      <c r="AJ69" s="392"/>
      <c r="AK69" s="393"/>
      <c r="AL69" s="100"/>
      <c r="AM69" s="96"/>
      <c r="AN69" s="392"/>
      <c r="AO69" s="393"/>
      <c r="AP69" s="100"/>
      <c r="AQ69" s="96"/>
      <c r="AR69" s="379"/>
      <c r="AS69" s="380"/>
      <c r="AT69" s="100"/>
      <c r="AU69" s="96"/>
      <c r="AV69" s="379"/>
      <c r="AW69" s="380"/>
      <c r="AX69" s="100"/>
    </row>
    <row r="70" spans="1:50">
      <c r="C70" s="96"/>
      <c r="D70" s="379"/>
      <c r="E70" s="380"/>
      <c r="F70" s="98"/>
      <c r="G70" s="96"/>
      <c r="H70" s="379"/>
      <c r="I70" s="380"/>
      <c r="J70" s="100"/>
      <c r="K70" s="96"/>
      <c r="L70" s="379"/>
      <c r="M70" s="380"/>
      <c r="N70" s="100"/>
      <c r="O70" s="96"/>
      <c r="P70" s="379"/>
      <c r="Q70" s="380"/>
      <c r="R70" s="100"/>
      <c r="S70" s="96"/>
      <c r="T70" s="379"/>
      <c r="U70" s="380"/>
      <c r="V70" s="100"/>
      <c r="W70" s="96"/>
      <c r="X70" s="379"/>
      <c r="Y70" s="380"/>
      <c r="Z70" s="100"/>
      <c r="AA70" s="96"/>
      <c r="AB70" s="392"/>
      <c r="AC70" s="393"/>
      <c r="AD70" s="100"/>
      <c r="AE70" s="96"/>
      <c r="AF70" s="392"/>
      <c r="AG70" s="393"/>
      <c r="AH70" s="100"/>
      <c r="AI70" s="96"/>
      <c r="AJ70" s="392"/>
      <c r="AK70" s="393"/>
      <c r="AL70" s="100"/>
      <c r="AM70" s="96"/>
      <c r="AN70" s="392"/>
      <c r="AO70" s="393"/>
      <c r="AP70" s="100"/>
      <c r="AQ70" s="96"/>
      <c r="AR70" s="379"/>
      <c r="AS70" s="380"/>
      <c r="AT70" s="100"/>
      <c r="AU70" s="96"/>
      <c r="AV70" s="379"/>
      <c r="AW70" s="380"/>
      <c r="AX70" s="100"/>
    </row>
    <row r="71" spans="1:50" ht="15.75" thickBot="1">
      <c r="C71" s="97"/>
      <c r="D71" s="377"/>
      <c r="E71" s="378"/>
      <c r="F71" s="99"/>
      <c r="G71" s="97"/>
      <c r="H71" s="377"/>
      <c r="I71" s="378"/>
      <c r="J71" s="101"/>
      <c r="K71" s="97"/>
      <c r="L71" s="377"/>
      <c r="M71" s="378"/>
      <c r="N71" s="101"/>
      <c r="O71" s="97"/>
      <c r="P71" s="377"/>
      <c r="Q71" s="378"/>
      <c r="R71" s="101"/>
      <c r="S71" s="97"/>
      <c r="T71" s="394"/>
      <c r="U71" s="395"/>
      <c r="V71" s="101"/>
      <c r="W71" s="97"/>
      <c r="X71" s="394"/>
      <c r="Y71" s="395"/>
      <c r="Z71" s="101"/>
      <c r="AA71" s="97"/>
      <c r="AB71" s="398"/>
      <c r="AC71" s="399"/>
      <c r="AD71" s="101"/>
      <c r="AE71" s="97"/>
      <c r="AF71" s="398"/>
      <c r="AG71" s="399"/>
      <c r="AH71" s="101"/>
      <c r="AI71" s="97"/>
      <c r="AJ71" s="398"/>
      <c r="AK71" s="399"/>
      <c r="AL71" s="101"/>
      <c r="AM71" s="97"/>
      <c r="AN71" s="398"/>
      <c r="AO71" s="399"/>
      <c r="AP71" s="101"/>
      <c r="AQ71" s="97"/>
      <c r="AR71" s="377"/>
      <c r="AS71" s="378"/>
      <c r="AT71" s="101"/>
      <c r="AU71" s="97"/>
      <c r="AV71" s="377"/>
      <c r="AW71" s="378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3839.35</v>
      </c>
      <c r="L5" s="433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'08'!A7+(B7-SUM(D7:F7))</f>
        <v>1110.5700000000004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7236.18</v>
      </c>
      <c r="L7" s="417"/>
      <c r="M7" s="1"/>
      <c r="N7" s="1"/>
      <c r="R7" s="3"/>
    </row>
    <row r="8" spans="1:22" ht="15.75">
      <c r="A8" s="112">
        <f>'08'!A8+(B8-SUM(D8:F8))</f>
        <v>-112.30999999999996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16">
        <v>163.63</v>
      </c>
      <c r="L9" s="417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'08'!A11+(B11-SUM(D11:F11))</f>
        <v>90.72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105+50</f>
        <v>155</v>
      </c>
      <c r="L11" s="417"/>
      <c r="M11" s="1"/>
      <c r="N11" s="1"/>
      <c r="R11" s="3"/>
    </row>
    <row r="12" spans="1:22" ht="15.75">
      <c r="A12" s="112">
        <f>'08'!A12+(B12-SUM(D12:F12))</f>
        <v>233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'08'!A13+(B13-SUM(D13:F13))</f>
        <v>589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5" thickBot="1">
      <c r="A20" s="112">
        <f>SUM(A6:A15)</f>
        <v>2731.5000000000005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238</v>
      </c>
      <c r="K25" s="425"/>
      <c r="L25" s="231">
        <v>2573.7399999999998</v>
      </c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'08'!A27+(B27-SUM(D27:F27))</f>
        <v>462.15999999999985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'08'!A28+(B28-SUM(D28:F28))</f>
        <v>133.72000000000003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'08'!A29+(B29-SUM(D29:F29))</f>
        <v>39.11999999999999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'08'!A30+(B30-SUM(D30:F30))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226</v>
      </c>
      <c r="K30" s="42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204</v>
      </c>
      <c r="J35" s="424" t="s">
        <v>600</v>
      </c>
      <c r="K35" s="42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2511.2799999999997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590</v>
      </c>
      <c r="K45" s="42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596</v>
      </c>
      <c r="H46" s="1"/>
      <c r="I46" s="422"/>
      <c r="J46" s="426" t="s">
        <v>632</v>
      </c>
      <c r="K46" s="427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601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587</v>
      </c>
      <c r="D48" s="137">
        <v>67.47</v>
      </c>
      <c r="E48" s="138"/>
      <c r="F48" s="138"/>
      <c r="G48" s="16" t="s">
        <v>605</v>
      </c>
      <c r="H48" s="1">
        <f>21*8</f>
        <v>168</v>
      </c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606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607</v>
      </c>
      <c r="H50" s="1"/>
      <c r="I50" s="421" t="str">
        <f>AÑO!A13</f>
        <v>Gubernamental</v>
      </c>
      <c r="J50" s="424" t="s">
        <v>598</v>
      </c>
      <c r="K50" s="42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615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616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624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599</v>
      </c>
      <c r="K60" s="42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'08'!A66+(B66-SUM(D66:F78))</f>
        <v>24.700000000000045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584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585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594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608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611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623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32.049999999999997</v>
      </c>
      <c r="B79" s="233">
        <f>5+100</f>
        <v>105</v>
      </c>
      <c r="C79" s="17" t="s">
        <v>631</v>
      </c>
      <c r="D79" s="135">
        <v>122.95</v>
      </c>
      <c r="E79" s="139"/>
      <c r="F79" s="139"/>
      <c r="G79" s="17" t="s">
        <v>625</v>
      </c>
      <c r="H79" s="1"/>
      <c r="M79" s="1"/>
      <c r="R79" s="3"/>
    </row>
    <row r="80" spans="1:18" ht="16.5" thickBot="1">
      <c r="A80" s="112">
        <f>SUM(A66:A79)</f>
        <v>56.750000000000043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51.07</v>
      </c>
      <c r="E86" s="138"/>
      <c r="F86" s="138"/>
      <c r="G86" s="16" t="s">
        <v>595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602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621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4500.9815974244993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143.20000000000007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616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1591.8199999999997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5260.1815974244992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85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676</v>
      </c>
      <c r="I127" s="113">
        <f>D127+D128+'08'!I127</f>
        <v>100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24.149999999999984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493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586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201</v>
      </c>
      <c r="D187" s="137">
        <v>20.98</v>
      </c>
      <c r="E187" s="138"/>
      <c r="F187" s="138"/>
      <c r="G187" s="16" t="s">
        <v>591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613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622</v>
      </c>
      <c r="H189" s="89">
        <f>9.99+8.99+6.99+3.99+7.99</f>
        <v>37.950000000000003</v>
      </c>
      <c r="I189" s="1" t="s">
        <v>620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626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627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630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494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9" ht="15" customHeight="1" thickBot="1">
      <c r="B243" s="413"/>
      <c r="C243" s="414"/>
      <c r="D243" s="414"/>
      <c r="E243" s="414"/>
      <c r="F243" s="414"/>
      <c r="G243" s="415"/>
    </row>
    <row r="244" spans="1:9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9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84.949999999999932</v>
      </c>
      <c r="B246" s="134">
        <v>50</v>
      </c>
      <c r="C246" s="27" t="s">
        <v>239</v>
      </c>
      <c r="D246" s="137">
        <v>105.14</v>
      </c>
      <c r="E246" s="138"/>
      <c r="F246" s="138"/>
      <c r="G246" s="16" t="s">
        <v>588</v>
      </c>
    </row>
    <row r="247" spans="1:9" ht="15" customHeight="1">
      <c r="A247" s="112"/>
      <c r="B247" s="134">
        <v>343.08</v>
      </c>
      <c r="C247" s="16" t="s">
        <v>201</v>
      </c>
      <c r="D247" s="137">
        <v>203.92</v>
      </c>
      <c r="E247" s="138"/>
      <c r="F247" s="138"/>
      <c r="G247" s="16" t="s">
        <v>612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628</v>
      </c>
      <c r="H248" s="89">
        <f>33.98+1.99</f>
        <v>35.97</v>
      </c>
      <c r="I248" s="89" t="s">
        <v>620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630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100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'08'!A257+(B257-SUM(D257:F257))</f>
        <v>686.88</v>
      </c>
      <c r="B257" s="134">
        <v>40</v>
      </c>
      <c r="C257" s="16" t="s">
        <v>537</v>
      </c>
      <c r="D257" s="137"/>
      <c r="E257" s="138">
        <f>100.67+100.67</f>
        <v>201.34</v>
      </c>
      <c r="F257" s="138"/>
      <c r="G257" s="16" t="s">
        <v>242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871.82999999999993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583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109.11999999999975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493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610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629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567</v>
      </c>
      <c r="D299" s="135"/>
      <c r="E299" s="139"/>
      <c r="F299" s="139"/>
      <c r="G299" s="17"/>
    </row>
    <row r="300" spans="1:8" ht="16.5" thickBot="1">
      <c r="A300" s="112">
        <f>SUM(A286:A299)</f>
        <v>169.11999999999975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524</v>
      </c>
      <c r="D306" s="137"/>
      <c r="E306" s="138"/>
      <c r="F306" s="138">
        <v>60</v>
      </c>
      <c r="G306" s="16" t="s">
        <v>603</v>
      </c>
    </row>
    <row r="307" spans="2:7">
      <c r="B307" s="134"/>
      <c r="C307" s="27"/>
      <c r="D307" s="137">
        <v>35.96</v>
      </c>
      <c r="E307" s="138"/>
      <c r="F307" s="138"/>
      <c r="G307" s="16" t="s">
        <v>604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609</v>
      </c>
    </row>
    <row r="309" spans="2:7">
      <c r="B309" s="134"/>
      <c r="C309" s="16"/>
      <c r="D309" s="137"/>
      <c r="E309" s="138"/>
      <c r="F309" s="138">
        <v>60</v>
      </c>
      <c r="G309" s="16" t="s">
        <v>633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9" ht="15" customHeight="1" thickBot="1">
      <c r="B323" s="407"/>
      <c r="C323" s="408"/>
      <c r="D323" s="408"/>
      <c r="E323" s="408"/>
      <c r="F323" s="408"/>
      <c r="G323" s="409"/>
    </row>
    <row r="324" spans="2:9">
      <c r="B324" s="402" t="s">
        <v>8</v>
      </c>
      <c r="C324" s="403"/>
      <c r="D324" s="402" t="s">
        <v>9</v>
      </c>
      <c r="E324" s="410"/>
      <c r="F324" s="410"/>
      <c r="G324" s="403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589</v>
      </c>
    </row>
    <row r="327" spans="2:9">
      <c r="B327" s="134">
        <v>100</v>
      </c>
      <c r="C327" s="16" t="s">
        <v>590</v>
      </c>
      <c r="D327" s="137">
        <v>15</v>
      </c>
      <c r="E327" s="138"/>
      <c r="F327" s="138"/>
      <c r="G327" s="16" t="s">
        <v>617</v>
      </c>
    </row>
    <row r="328" spans="2:9">
      <c r="B328" s="134">
        <v>155.97</v>
      </c>
      <c r="C328" s="16" t="s">
        <v>201</v>
      </c>
      <c r="D328" s="137"/>
      <c r="E328" s="138">
        <v>46.98</v>
      </c>
      <c r="F328" s="138"/>
      <c r="G328" s="16" t="s">
        <v>630</v>
      </c>
      <c r="H328" s="89">
        <f>9.99+34.99+2</f>
        <v>46.980000000000004</v>
      </c>
      <c r="I328" s="89" t="s">
        <v>620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534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533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592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219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'08'!A467+(B467-SUM(D467:F467))</f>
        <v>-200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'08'!A468+(B468-SUM(D468:F468))</f>
        <v>128.19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-121.81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6">
        <v>3984.38</v>
      </c>
      <c r="L5" s="417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634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'09'!A7+(B7-SUM(D7:F7))</f>
        <v>1177.7500000000005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8003.5599999999995</v>
      </c>
      <c r="L7" s="417"/>
      <c r="M7" s="1"/>
      <c r="N7" s="1"/>
      <c r="R7" s="3"/>
    </row>
    <row r="8" spans="1:22" ht="15.75">
      <c r="A8" s="112">
        <f>'09'!A8+(B8-SUM(D8:F8))</f>
        <v>-210.18999999999994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157.43</v>
      </c>
      <c r="L9" s="417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'09'!A11+(B11-SUM(D11:F11))</f>
        <v>90.72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60+20</f>
        <v>80</v>
      </c>
      <c r="L11" s="417"/>
      <c r="M11" s="1"/>
      <c r="N11" s="1"/>
      <c r="R11" s="3"/>
    </row>
    <row r="12" spans="1:22" ht="15.75">
      <c r="A12" s="112">
        <f>'09'!A12+(B12-SUM(D12:F12))</f>
        <v>233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'09'!A13+(B13-SUM(D13:F13))</f>
        <v>595.5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30089.47</v>
      </c>
      <c r="L19" s="441"/>
      <c r="M19" s="1"/>
      <c r="N19" s="1"/>
      <c r="R19" s="3"/>
    </row>
    <row r="20" spans="1:18" ht="16.5" thickBot="1">
      <c r="A20" s="112">
        <f>SUM(A6:A15)</f>
        <v>2707.3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/>
      <c r="K25" s="425"/>
      <c r="L25" s="231">
        <v>2617.69</v>
      </c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'09'!A27+(B27-SUM(D27:F27))</f>
        <v>466.16999999999985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'09'!A28+(B28-SUM(D28:F28))</f>
        <v>69.53000000000003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'09'!A29+(B29-SUM(D29:F29))</f>
        <v>39.169999999999987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'09'!A30+(B30-SUM(D30:F30))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252</v>
      </c>
      <c r="K30" s="42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429</v>
      </c>
      <c r="K31" s="427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660</v>
      </c>
      <c r="K32" s="427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 t="s">
        <v>226</v>
      </c>
      <c r="K33" s="427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204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2451.1500000000005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246</v>
      </c>
      <c r="K40" s="42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58</v>
      </c>
      <c r="K41" s="427"/>
      <c r="L41" s="229">
        <v>0.02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 t="s">
        <v>663</v>
      </c>
      <c r="K42" s="427"/>
      <c r="L42" s="229">
        <v>52.06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638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641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642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649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656</v>
      </c>
      <c r="H50" s="1"/>
      <c r="I50" s="421" t="str">
        <f>AÑO!A13</f>
        <v>Gubernamental</v>
      </c>
      <c r="J50" s="424" t="s">
        <v>598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657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658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659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661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669</v>
      </c>
      <c r="H55" s="1"/>
      <c r="I55" s="421" t="str">
        <f>AÑO!A14</f>
        <v>Mutualite/DKV</v>
      </c>
      <c r="J55" s="424" t="s">
        <v>288</v>
      </c>
      <c r="K55" s="425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670</v>
      </c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'09'!A66+(B66-SUM(D66:F78))+B67</f>
        <v>79.55000000000004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640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650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655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687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-6.1800000000000068</v>
      </c>
      <c r="B79" s="233">
        <v>10</v>
      </c>
      <c r="C79" s="17" t="s">
        <v>220</v>
      </c>
      <c r="D79" s="135">
        <f>22.3+25.93</f>
        <v>48.230000000000004</v>
      </c>
      <c r="E79" s="139"/>
      <c r="F79" s="139"/>
      <c r="G79" s="17" t="s">
        <v>682</v>
      </c>
      <c r="H79" s="1"/>
      <c r="M79" s="1"/>
      <c r="R79" s="3"/>
    </row>
    <row r="80" spans="1:18" ht="16.5" thickBot="1">
      <c r="A80" s="112">
        <f>SUM(A66:A79)</f>
        <v>73.370000000000033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1</v>
      </c>
      <c r="E86" s="138"/>
      <c r="F86" s="138"/>
      <c r="G86" s="16" t="s">
        <v>637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646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648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667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668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671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691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693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4500.9815974244993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143.29000000000008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1975.6815974244976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663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5310.2715974244993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85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57.5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676</v>
      </c>
      <c r="I127" s="113">
        <f>D127+D128+'09'!I127</f>
        <v>110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24.159999999999982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685</v>
      </c>
      <c r="D130" s="137">
        <v>65</v>
      </c>
      <c r="E130" s="138"/>
      <c r="F130" s="138"/>
      <c r="G130" s="16" t="s">
        <v>686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638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643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651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678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679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683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63.419999999999931</v>
      </c>
      <c r="B246" s="134">
        <v>50</v>
      </c>
      <c r="C246" s="27" t="s">
        <v>239</v>
      </c>
      <c r="D246" s="137">
        <f>2.99+15.99-2.4</f>
        <v>16.580000000000002</v>
      </c>
      <c r="E246" s="138"/>
      <c r="F246" s="138"/>
      <c r="G246" s="16" t="s">
        <v>638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659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666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680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105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'09'!A257+(B257-SUM(D257:F257))</f>
        <v>626.21</v>
      </c>
      <c r="B257" s="134">
        <v>40</v>
      </c>
      <c r="C257" s="16" t="s">
        <v>597</v>
      </c>
      <c r="D257" s="137"/>
      <c r="E257" s="138">
        <v>100.67</v>
      </c>
      <c r="F257" s="138"/>
      <c r="G257" s="16" t="s">
        <v>242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794.63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02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636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113.21999999999974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644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645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681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684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567</v>
      </c>
      <c r="D299" s="135"/>
      <c r="E299" s="139"/>
      <c r="F299" s="139"/>
      <c r="G299" s="17"/>
    </row>
    <row r="300" spans="1:8" ht="16.5" thickBot="1">
      <c r="A300" s="112">
        <f>SUM(A286:A299)</f>
        <v>213.21999999999974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524</v>
      </c>
      <c r="D306" s="137">
        <f>37.5+37.5</f>
        <v>75</v>
      </c>
      <c r="E306" s="138"/>
      <c r="F306" s="138"/>
      <c r="G306" s="16" t="s">
        <v>647</v>
      </c>
    </row>
    <row r="307" spans="2:7">
      <c r="B307" s="134">
        <f>28.54*2</f>
        <v>57.08</v>
      </c>
      <c r="C307" s="27" t="s">
        <v>288</v>
      </c>
      <c r="D307" s="137"/>
      <c r="E307" s="138"/>
      <c r="F307" s="138">
        <v>50</v>
      </c>
      <c r="G307" s="16" t="s">
        <v>652</v>
      </c>
    </row>
    <row r="308" spans="2:7">
      <c r="B308" s="134"/>
      <c r="C308" s="27"/>
      <c r="D308" s="137">
        <v>35.96</v>
      </c>
      <c r="E308" s="138"/>
      <c r="F308" s="138"/>
      <c r="G308" s="16" t="s">
        <v>653</v>
      </c>
    </row>
    <row r="309" spans="2:7">
      <c r="B309" s="134"/>
      <c r="C309" s="16"/>
      <c r="D309" s="137">
        <v>16.21</v>
      </c>
      <c r="E309" s="138"/>
      <c r="F309" s="138"/>
      <c r="G309" s="16" t="s">
        <v>673</v>
      </c>
    </row>
    <row r="310" spans="2:7">
      <c r="B310" s="134"/>
      <c r="C310" s="16"/>
      <c r="D310" s="137"/>
      <c r="E310" s="138"/>
      <c r="F310" s="138">
        <v>50</v>
      </c>
      <c r="G310" s="16" t="s">
        <v>672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674</v>
      </c>
    </row>
    <row r="312" spans="2:7">
      <c r="B312" s="134"/>
      <c r="C312" s="16"/>
      <c r="D312" s="137"/>
      <c r="E312" s="138"/>
      <c r="F312" s="138">
        <v>60</v>
      </c>
      <c r="G312" s="16" t="s">
        <v>675</v>
      </c>
    </row>
    <row r="313" spans="2:7">
      <c r="B313" s="134"/>
      <c r="C313" s="16"/>
      <c r="D313" s="137">
        <v>5.3</v>
      </c>
      <c r="E313" s="138"/>
      <c r="F313" s="138"/>
      <c r="G313" s="16" t="s">
        <v>677</v>
      </c>
    </row>
    <row r="314" spans="2:7">
      <c r="B314" s="134"/>
      <c r="C314" s="16"/>
      <c r="D314" s="137">
        <v>12.95</v>
      </c>
      <c r="E314" s="138"/>
      <c r="F314" s="138"/>
      <c r="G314" s="16" t="s">
        <v>690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688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689</v>
      </c>
    </row>
    <row r="317" spans="2:7">
      <c r="B317" s="134"/>
      <c r="C317" s="16"/>
      <c r="D317" s="137"/>
      <c r="E317" s="138"/>
      <c r="F317" s="138">
        <v>4.5</v>
      </c>
      <c r="G317" s="16" t="s">
        <v>694</v>
      </c>
    </row>
    <row r="318" spans="2:7">
      <c r="B318" s="134"/>
      <c r="C318" s="16"/>
      <c r="D318" s="137"/>
      <c r="E318" s="138"/>
      <c r="F318" s="138">
        <v>84.93</v>
      </c>
      <c r="G318" s="16" t="s">
        <v>695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639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534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533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244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663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635</v>
      </c>
    </row>
    <row r="407" spans="2:7">
      <c r="B407" s="134">
        <v>0.89</v>
      </c>
      <c r="C407" s="16" t="s">
        <v>246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244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663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219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435.50919055649229</v>
      </c>
      <c r="B467" s="134">
        <v>71.349999999999994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'09'!A468+(B468-SUM(D468:F468))</f>
        <v>143.19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1100</v>
      </c>
      <c r="C469" s="16" t="s">
        <v>244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663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1078.6991905564923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692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4501.8900000000003</v>
      </c>
      <c r="L5" s="433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634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>'10'!A7+(B7-SUM(D7:F7))</f>
        <v>1244.9300000000005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7374.65</f>
        <v>7374.65</v>
      </c>
      <c r="L7" s="417"/>
      <c r="M7" s="1"/>
      <c r="N7" s="1"/>
      <c r="R7" s="3"/>
    </row>
    <row r="8" spans="1:22" ht="15.75">
      <c r="A8" s="112">
        <f>'10'!A8+(B8-SUM(D8:F8))</f>
        <v>-112.30999999999995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6307.51</v>
      </c>
      <c r="L8" s="41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f>4292.78+2.31</f>
        <v>4295.09</v>
      </c>
      <c r="L9" s="417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'10'!A11+(B11-SUM(D11:F11))</f>
        <v>90.72999999999999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40+70</f>
        <v>110</v>
      </c>
      <c r="L11" s="417"/>
      <c r="M11" s="1"/>
      <c r="N11" s="1"/>
      <c r="R11" s="3"/>
    </row>
    <row r="12" spans="1:22" ht="15.75">
      <c r="A12" s="112">
        <f>'10'!A12+(B12-SUM(D12:F12))</f>
        <v>233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</f>
        <v>5092.08</v>
      </c>
      <c r="L12" s="417"/>
      <c r="M12" s="92"/>
      <c r="N12" s="1"/>
      <c r="R12" s="3"/>
    </row>
    <row r="13" spans="1:22" ht="15.75">
      <c r="A13" s="112">
        <f>'10'!A13+(B13-SUM(D13:F13))</f>
        <v>602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3268.1300000000006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238</v>
      </c>
      <c r="K25" s="425"/>
      <c r="L25" s="231">
        <v>2588.0700000000002</v>
      </c>
      <c r="M25" s="1"/>
      <c r="R25" s="3"/>
    </row>
    <row r="26" spans="1:18" ht="15.75">
      <c r="A26" s="112">
        <f>'10'!A26+(B26-SUM(D26:F26))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'10'!A27+(B27-SUM(D27:F27))</f>
        <v>470.17999999999984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'10'!A28+(B28-SUM(D28:F28))</f>
        <v>109.53000000000003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'10'!A29+(B29-SUM(D29:F29))</f>
        <v>38.549999999999983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'10'!A30+(B30-SUM(D30:F30))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252</v>
      </c>
      <c r="K30" s="425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490</v>
      </c>
      <c r="K31" s="427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204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2494.54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698</v>
      </c>
      <c r="K40" s="425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704</v>
      </c>
      <c r="K45" s="425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703</v>
      </c>
      <c r="H46" s="1"/>
      <c r="I46" s="422"/>
      <c r="J46" s="426" t="s">
        <v>718</v>
      </c>
      <c r="K46" s="427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714</v>
      </c>
      <c r="H47" s="1"/>
      <c r="I47" s="422"/>
      <c r="J47" s="426" t="s">
        <v>719</v>
      </c>
      <c r="K47" s="427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716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722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727</v>
      </c>
      <c r="H50" s="1"/>
      <c r="I50" s="421" t="str">
        <f>AÑO!A13</f>
        <v>Gubernamental</v>
      </c>
      <c r="J50" s="424" t="s">
        <v>709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731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733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735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 t="s">
        <v>708</v>
      </c>
      <c r="K55" s="425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 t="s">
        <v>491</v>
      </c>
      <c r="K56" s="427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701</v>
      </c>
      <c r="K60" s="425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'10'!A66+(B66-SUM(D66:F78))+B67</f>
        <v>101.35000000000005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702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717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721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729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728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736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3.8199999999999932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105.17000000000004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43.28</v>
      </c>
      <c r="E86" s="138"/>
      <c r="F86" s="138"/>
      <c r="G86" s="16" t="s">
        <v>737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4500.9815974244993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143.38000000000008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716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2055.6815974244973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5360.3615974244995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85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62.5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676</v>
      </c>
      <c r="I127" s="113">
        <f>D127+D128+'10'!I127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24.16999999999998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685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724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730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113.41999999999993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110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'10'!A257+(B257-SUM(D257:F257))</f>
        <v>666.21</v>
      </c>
      <c r="B257" s="134">
        <v>40</v>
      </c>
      <c r="C257" s="16" t="s">
        <v>665</v>
      </c>
      <c r="D257" s="137"/>
      <c r="E257" s="138"/>
      <c r="F257" s="138"/>
      <c r="G257" s="16" t="s">
        <v>242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889.63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02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163.21999999999974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567</v>
      </c>
      <c r="D299" s="135"/>
      <c r="E299" s="139"/>
      <c r="F299" s="139"/>
      <c r="G299" s="17"/>
    </row>
    <row r="300" spans="1:8" ht="16.5" thickBot="1">
      <c r="A300" s="112">
        <f>SUM(A286:A299)</f>
        <v>303.21999999999974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524</v>
      </c>
      <c r="D306" s="137"/>
      <c r="E306" s="138"/>
      <c r="F306" s="138">
        <v>80</v>
      </c>
      <c r="G306" s="16" t="s">
        <v>707</v>
      </c>
    </row>
    <row r="307" spans="2:8">
      <c r="B307" s="134">
        <v>300</v>
      </c>
      <c r="C307" s="27" t="s">
        <v>711</v>
      </c>
      <c r="D307" s="137">
        <v>82.87</v>
      </c>
      <c r="E307" s="138"/>
      <c r="F307" s="138"/>
      <c r="G307" s="16" t="s">
        <v>710</v>
      </c>
    </row>
    <row r="308" spans="2:8">
      <c r="B308" s="134">
        <f>L56</f>
        <v>93.02</v>
      </c>
      <c r="C308" s="27" t="s">
        <v>288</v>
      </c>
      <c r="D308" s="137">
        <v>33</v>
      </c>
      <c r="E308" s="138"/>
      <c r="F308" s="138"/>
      <c r="G308" s="16" t="s">
        <v>713</v>
      </c>
    </row>
    <row r="309" spans="2:8">
      <c r="B309" s="134"/>
      <c r="C309" s="16"/>
      <c r="D309" s="137">
        <v>40.18</v>
      </c>
      <c r="E309" s="138"/>
      <c r="F309" s="138"/>
      <c r="G309" s="16" t="s">
        <v>715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720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723</v>
      </c>
    </row>
    <row r="312" spans="2:8">
      <c r="B312" s="134"/>
      <c r="C312" s="16"/>
      <c r="D312" s="137">
        <v>50</v>
      </c>
      <c r="E312" s="138"/>
      <c r="F312" s="138"/>
      <c r="G312" s="16" t="s">
        <v>726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706</v>
      </c>
    </row>
    <row r="327" spans="2:7">
      <c r="B327" s="134">
        <v>30</v>
      </c>
      <c r="C327" s="16" t="s">
        <v>705</v>
      </c>
      <c r="D327" s="137"/>
      <c r="E327" s="138"/>
      <c r="F327" s="138"/>
      <c r="G327" s="16"/>
    </row>
    <row r="328" spans="2:7">
      <c r="B328" s="134">
        <v>250</v>
      </c>
      <c r="C328" s="16" t="s">
        <v>718</v>
      </c>
      <c r="D328" s="137"/>
      <c r="E328" s="138"/>
      <c r="F328" s="138"/>
      <c r="G328" s="16"/>
    </row>
    <row r="329" spans="2:7">
      <c r="B329" s="134">
        <v>150</v>
      </c>
      <c r="C329" s="16" t="s">
        <v>719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534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664</v>
      </c>
      <c r="D359" s="135">
        <v>65</v>
      </c>
      <c r="E359" s="139"/>
      <c r="F359" s="139"/>
      <c r="G359" s="17" t="s">
        <v>697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725</v>
      </c>
    </row>
    <row r="368" spans="1:7">
      <c r="B368" s="134"/>
      <c r="C368" s="16"/>
      <c r="D368" s="137">
        <v>34</v>
      </c>
      <c r="E368" s="138"/>
      <c r="F368" s="138"/>
      <c r="G368" s="16" t="s">
        <v>732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696</v>
      </c>
    </row>
    <row r="407" spans="2:7">
      <c r="B407" s="134">
        <v>42.84</v>
      </c>
      <c r="C407" s="16" t="s">
        <v>698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219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'10'!A467+(B467-SUM(D467:F467))</f>
        <v>506.85919055649231</v>
      </c>
      <c r="B467" s="134">
        <v>71.349999999999994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'10'!A468+(B468-SUM(D468:F468))</f>
        <v>158.19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1165.0491905564922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734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4501.8900000000003</v>
      </c>
      <c r="L5" s="433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634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>'11'!A7+(B7-SUM(D7:F7))</f>
        <v>1312.1100000000006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7374.65</f>
        <v>7374.65</v>
      </c>
      <c r="L7" s="417"/>
      <c r="M7" s="1"/>
      <c r="N7" s="1"/>
      <c r="R7" s="3"/>
    </row>
    <row r="8" spans="1:22" ht="15.75">
      <c r="A8" s="112">
        <f>'11'!A8+(B8-SUM(D8:F8))</f>
        <v>-112.30999999999995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6307.51</v>
      </c>
      <c r="L8" s="41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f>4292.78+2.31</f>
        <v>4295.09</v>
      </c>
      <c r="L9" s="417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'11'!A11+(B11-SUM(D11:F11))</f>
        <v>120.96999999999998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6">
        <f>40+70</f>
        <v>110</v>
      </c>
      <c r="L11" s="417"/>
      <c r="M11" s="1"/>
      <c r="N11" s="1"/>
      <c r="R11" s="3"/>
    </row>
    <row r="12" spans="1:22" ht="15.75">
      <c r="A12" s="112">
        <f>'11'!A12+(B12-SUM(D12:F12))</f>
        <v>-30.04000000000002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</f>
        <v>5092.08</v>
      </c>
      <c r="L12" s="417"/>
      <c r="M12" s="92"/>
      <c r="N12" s="1"/>
      <c r="R12" s="3"/>
    </row>
    <row r="13" spans="1:22" ht="15.75">
      <c r="A13" s="112">
        <f>'11'!A13+(B13-SUM(D13:F13))</f>
        <v>608.5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3510.2700000000004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238</v>
      </c>
      <c r="K25" s="425"/>
      <c r="L25" s="231"/>
      <c r="M25" s="1"/>
      <c r="R25" s="3"/>
    </row>
    <row r="26" spans="1:18" ht="15.75">
      <c r="A26" s="112">
        <f>'11'!A26+(B26-SUM(D26:F26))</f>
        <v>2700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'11'!A27+(B27-SUM(D27:F27))</f>
        <v>660.17999999999984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'11'!A28+(B28-SUM(D28:F28))</f>
        <v>149.53000000000003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'11'!A29+(B29-SUM(D29:F29))</f>
        <v>56.549999999999983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'11'!A30+(B30-SUM(D30:F30))</f>
        <v>81.279999999999973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252</v>
      </c>
      <c r="K30" s="42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204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3647.54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 t="s">
        <v>709</v>
      </c>
      <c r="K50" s="42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'11'!A66+(B66-SUM(D66:F78))+B67</f>
        <v>276.35000000000002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13.819999999999993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290.17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4759.4515974244996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212.38000000000008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2135.6815974244973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5737.8315974244997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112.5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77.5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676</v>
      </c>
      <c r="I127" s="113">
        <f>D127+D128+'11'!I127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32.16999999999998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685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190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753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739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163.41999999999993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130</v>
      </c>
      <c r="B256" s="134">
        <f>5+15</f>
        <v>20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'11'!A257+(B257-SUM(D257:F257))</f>
        <v>846.21</v>
      </c>
      <c r="B257" s="134">
        <f>40+140</f>
        <v>180</v>
      </c>
      <c r="C257" s="16" t="s">
        <v>712</v>
      </c>
      <c r="D257" s="137"/>
      <c r="E257" s="138"/>
      <c r="F257" s="138"/>
      <c r="G257" s="16" t="s">
        <v>242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1139.6300000000001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213.21999999999974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567</v>
      </c>
      <c r="D299" s="135"/>
      <c r="E299" s="139"/>
      <c r="F299" s="139"/>
      <c r="G299" s="17"/>
    </row>
    <row r="300" spans="1:8" ht="16.5" thickBot="1">
      <c r="A300" s="112">
        <f>SUM(A286:A299)</f>
        <v>398.21999999999974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524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534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664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219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'11'!A467+(B467-SUM(D467:F467))</f>
        <v>641.24919055649229</v>
      </c>
      <c r="B467" s="134">
        <f>71.35+63.04</f>
        <v>134.38999999999999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'11'!A468+(B468-SUM(D468:F468))</f>
        <v>168.19</v>
      </c>
      <c r="B468" s="134">
        <v>10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1309.4391905564923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738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4"/>
  <sheetViews>
    <sheetView topLeftCell="A16" workbookViewId="0">
      <selection activeCell="D31" sqref="D31"/>
    </sheetView>
  </sheetViews>
  <sheetFormatPr defaultColWidth="11" defaultRowHeight="15"/>
  <cols>
    <col min="2" max="2" width="12" bestFit="1" customWidth="1"/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  <c r="B1" s="341" t="s">
        <v>778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E28" t="s">
        <v>146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2:7">
      <c r="B65" s="341" t="s">
        <v>779</v>
      </c>
    </row>
    <row r="66" spans="2:7">
      <c r="C66" t="s">
        <v>758</v>
      </c>
      <c r="D66">
        <v>16420</v>
      </c>
    </row>
    <row r="67" spans="2:7">
      <c r="C67" t="s">
        <v>757</v>
      </c>
      <c r="D67">
        <f>D66*0.2</f>
        <v>3284</v>
      </c>
    </row>
    <row r="68" spans="2:7">
      <c r="B68" t="s">
        <v>749</v>
      </c>
      <c r="C68" t="s">
        <v>750</v>
      </c>
      <c r="D68" t="s">
        <v>752</v>
      </c>
      <c r="E68" t="s">
        <v>751</v>
      </c>
      <c r="F68" t="s">
        <v>93</v>
      </c>
      <c r="G68" t="s">
        <v>754</v>
      </c>
    </row>
    <row r="69" spans="2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2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2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2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2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2:7">
      <c r="E74">
        <f>(D69+G74)/C69</f>
        <v>285.74160000000001</v>
      </c>
      <c r="G74">
        <f>SUM(G70:G73)</f>
        <v>144.49600000000001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topLeftCell="B1" workbookViewId="0">
      <selection activeCell="I23" sqref="I2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565</v>
      </c>
    </row>
    <row r="6" spans="1:14" ht="12.75" customHeight="1">
      <c r="A6" t="s">
        <v>92</v>
      </c>
      <c r="B6" s="48">
        <f>E19</f>
        <v>-0.27800000000000002</v>
      </c>
      <c r="C6" s="44" t="s">
        <v>93</v>
      </c>
      <c r="D6" s="43" t="s">
        <v>94</v>
      </c>
      <c r="E6" s="42"/>
      <c r="J6" t="s">
        <v>95</v>
      </c>
      <c r="K6" s="49">
        <f>B4-B15</f>
        <v>127436.40350229072</v>
      </c>
      <c r="L6" s="39">
        <f>B4*(E8/100)</f>
        <v>23.644156249999998</v>
      </c>
      <c r="M6" s="49">
        <f>B13-L6</f>
        <v>369.84649770927825</v>
      </c>
      <c r="N6" s="59">
        <f>L6/SUM(L6:M6)</f>
        <v>6.0088228302486946E-2</v>
      </c>
    </row>
    <row r="7" spans="1:14" ht="12.75" customHeight="1">
      <c r="E7" s="42"/>
      <c r="J7" t="s">
        <v>96</v>
      </c>
      <c r="K7" s="49">
        <f>K6-(B13-L7)</f>
        <v>127066.48858297936</v>
      </c>
      <c r="L7" s="39">
        <f>(K6*(E8/100))</f>
        <v>23.575734647923781</v>
      </c>
      <c r="M7" s="49">
        <f>B13-L7</f>
        <v>369.91491931135442</v>
      </c>
      <c r="N7" s="59">
        <f t="shared" ref="N7:N13" si="0">L7/SUM(L7:M7)</f>
        <v>5.99143446247229E-2</v>
      </c>
    </row>
    <row r="8" spans="1:14" ht="12.75" customHeight="1">
      <c r="B8" s="42"/>
      <c r="D8" t="s">
        <v>177</v>
      </c>
      <c r="E8" s="50">
        <f>(B6+0.5)/12</f>
        <v>1.8499999999999999E-2</v>
      </c>
      <c r="J8" t="s">
        <v>97</v>
      </c>
      <c r="K8" s="49">
        <f>K7-(B13-L8)</f>
        <v>126696.50522940794</v>
      </c>
      <c r="L8" s="39">
        <f>(K7*(E8/100))</f>
        <v>23.507300387851181</v>
      </c>
      <c r="M8" s="49">
        <f>B13-L8</f>
        <v>369.98335357142707</v>
      </c>
      <c r="N8" s="59">
        <f t="shared" si="0"/>
        <v>5.9740428778478474E-2</v>
      </c>
    </row>
    <row r="9" spans="1:14" ht="12.75" customHeight="1">
      <c r="A9" t="s">
        <v>222</v>
      </c>
      <c r="B9" s="114">
        <v>54117</v>
      </c>
      <c r="D9" t="s">
        <v>98</v>
      </c>
      <c r="E9" s="50">
        <f>1+(E8/100)</f>
        <v>1.0001850000000001</v>
      </c>
      <c r="J9" t="s">
        <v>99</v>
      </c>
      <c r="K9" s="49">
        <f>K8-(B13-L9)</f>
        <v>126326.45342891609</v>
      </c>
      <c r="L9" s="39">
        <f>(K8*(E8/100))</f>
        <v>23.438853467440467</v>
      </c>
      <c r="M9" s="49">
        <f>B13-L9</f>
        <v>370.05180049183775</v>
      </c>
      <c r="N9" s="59">
        <f t="shared" si="0"/>
        <v>5.9566480757802492E-2</v>
      </c>
    </row>
    <row r="10" spans="1:14" ht="12.75" customHeight="1">
      <c r="B10" s="42"/>
      <c r="D10" t="s">
        <v>100</v>
      </c>
      <c r="E10" s="50">
        <f>E9^-B5</f>
        <v>0.93991177169751305</v>
      </c>
      <c r="J10" t="s">
        <v>101</v>
      </c>
      <c r="K10" s="49">
        <f>K9-(B13-L10)</f>
        <v>125956.33316884117</v>
      </c>
      <c r="L10" s="39">
        <f>(K9*(E8/100))</f>
        <v>23.370393884349479</v>
      </c>
      <c r="M10" s="49">
        <f>B13-L10</f>
        <v>370.12026007492875</v>
      </c>
      <c r="N10" s="59">
        <f t="shared" si="0"/>
        <v>5.9392500556742694E-2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6.008822830248695</v>
      </c>
      <c r="J11" t="s">
        <v>104</v>
      </c>
      <c r="K11" s="51">
        <f>K10-(B13-L11)</f>
        <v>125586.14443651812</v>
      </c>
      <c r="L11" s="39">
        <f>(K10*(E8/100))</f>
        <v>23.301921636235615</v>
      </c>
      <c r="M11" s="49">
        <f>B13-L11</f>
        <v>370.18873232304264</v>
      </c>
      <c r="N11" s="59">
        <f t="shared" si="0"/>
        <v>5.9218488169345683E-2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393.49065395927823</v>
      </c>
      <c r="E13" s="42"/>
      <c r="F13" s="44"/>
      <c r="G13" s="53"/>
      <c r="L13" s="54">
        <f>SUM(L6:L11)</f>
        <v>140.8383602738005</v>
      </c>
      <c r="M13" s="54">
        <f>SUM(M6:M11)</f>
        <v>2220.105563481869</v>
      </c>
      <c r="N13" s="59">
        <f t="shared" si="0"/>
        <v>5.965341186492986E-2</v>
      </c>
    </row>
    <row r="14" spans="1:14" ht="12.75" customHeight="1">
      <c r="A14" t="s">
        <v>106</v>
      </c>
      <c r="B14" s="55">
        <f>B4*(E8/100)</f>
        <v>23.644156249999998</v>
      </c>
      <c r="E14" s="42"/>
    </row>
    <row r="15" spans="1:14" ht="12.75" customHeight="1">
      <c r="A15" t="s">
        <v>107</v>
      </c>
      <c r="B15" s="55">
        <f>B13-B14</f>
        <v>369.84649770927825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393.49221395927822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-0.27800000000000002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-0.27800000000000002</v>
      </c>
    </row>
    <row r="21" spans="1:9" ht="12.75" customHeight="1">
      <c r="E21" s="42">
        <v>-0.27800000000000002</v>
      </c>
      <c r="F21">
        <v>3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2220.105563481869</v>
      </c>
      <c r="C22" s="58">
        <f>B22/170000</f>
        <v>1.3059444491069818E-2</v>
      </c>
      <c r="E22" s="42"/>
      <c r="F22">
        <v>4</v>
      </c>
      <c r="G22" s="57">
        <v>0</v>
      </c>
    </row>
    <row r="23" spans="1:9" ht="12.75" customHeight="1">
      <c r="A23" t="s">
        <v>113</v>
      </c>
      <c r="B23" s="53">
        <f>K11</f>
        <v>125586.14443651812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10</v>
      </c>
      <c r="G26" s="57">
        <v>0</v>
      </c>
    </row>
    <row r="27" spans="1:9" ht="12.75" customHeight="1">
      <c r="E27" s="42"/>
      <c r="F27">
        <v>11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17</v>
      </c>
      <c r="G31" s="57">
        <v>0</v>
      </c>
    </row>
    <row r="32" spans="1:9" ht="12.75" customHeight="1">
      <c r="C32" s="58"/>
      <c r="E32" s="42"/>
      <c r="F32">
        <v>18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24</v>
      </c>
      <c r="G36" s="57">
        <v>0</v>
      </c>
    </row>
    <row r="37" spans="2:7" ht="12.75" customHeight="1">
      <c r="E37" s="42"/>
      <c r="F37">
        <v>25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G41" s="57">
        <v>0</v>
      </c>
    </row>
    <row r="42" spans="2:7" ht="12.75" customHeight="1">
      <c r="E42" s="42"/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H81" sqref="H81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176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-2.7800000000000004E-3</v>
      </c>
      <c r="D26" s="73">
        <f>Hipoteca!B$13</f>
        <v>393.49065395927823</v>
      </c>
      <c r="E26" s="72">
        <f t="shared" ref="E26" si="12">D26-D25</f>
        <v>4.2306539592782428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>
        <f>B26+Coches!D31</f>
        <v>145305.73999999996</v>
      </c>
      <c r="K26" s="127">
        <v>0</v>
      </c>
      <c r="L26" s="127">
        <f t="shared" ref="L26" si="13">K26-J26</f>
        <v>-145305.73999999996</v>
      </c>
      <c r="M26" s="72">
        <f t="shared" ref="M26" si="14">L26-L25</f>
        <v>-26037.589999999997</v>
      </c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5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6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5"/>
        <v>6</v>
      </c>
      <c r="I28" s="79">
        <f t="shared" si="4"/>
        <v>44287</v>
      </c>
      <c r="J28" s="128"/>
      <c r="K28" s="127"/>
      <c r="L28" s="127"/>
      <c r="M28" s="72"/>
      <c r="O28">
        <f t="shared" si="16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5"/>
        <v>6</v>
      </c>
      <c r="I29" s="79">
        <f t="shared" si="4"/>
        <v>44470</v>
      </c>
      <c r="J29" s="128"/>
      <c r="K29" s="127"/>
      <c r="L29" s="127"/>
      <c r="M29" s="72"/>
      <c r="O29">
        <f t="shared" si="16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5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5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5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5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5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5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5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5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5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5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5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5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5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5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5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5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5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5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5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5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5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5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5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5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5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5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5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5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5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5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5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5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5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5"/>
        <v>6</v>
      </c>
      <c r="I63" s="79">
        <f t="shared" ref="I63:I81" si="17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5"/>
        <v>6</v>
      </c>
      <c r="I64" s="79">
        <f t="shared" si="17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5"/>
        <v>6</v>
      </c>
      <c r="I65" s="79">
        <f t="shared" si="17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5"/>
        <v>6</v>
      </c>
      <c r="I66" s="79">
        <f t="shared" si="17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5"/>
        <v>6</v>
      </c>
      <c r="I67" s="79">
        <f t="shared" si="17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5"/>
        <v>6</v>
      </c>
      <c r="I68" s="79">
        <f t="shared" si="17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5"/>
        <v>6</v>
      </c>
      <c r="I69" s="79">
        <f t="shared" si="17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5"/>
        <v>6</v>
      </c>
      <c r="I70" s="79">
        <f t="shared" si="17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5"/>
        <v>6</v>
      </c>
      <c r="I71" s="79">
        <f t="shared" si="17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5"/>
        <v>6</v>
      </c>
      <c r="I72" s="79">
        <f t="shared" si="17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5"/>
        <v>6</v>
      </c>
      <c r="I73" s="79">
        <f t="shared" si="17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5"/>
        <v>6</v>
      </c>
      <c r="I74" s="79">
        <f t="shared" si="17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5"/>
        <v>6</v>
      </c>
      <c r="I75" s="79">
        <f t="shared" si="17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5"/>
        <v>6</v>
      </c>
      <c r="I76" s="79">
        <f t="shared" si="17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5"/>
        <v>6</v>
      </c>
      <c r="I77" s="79">
        <f t="shared" si="17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5"/>
        <v>6</v>
      </c>
      <c r="I78" s="79">
        <f t="shared" si="17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5"/>
        <v>6</v>
      </c>
      <c r="I79" s="79">
        <f t="shared" si="17"/>
        <v>53601</v>
      </c>
      <c r="J79" s="128"/>
      <c r="K79" s="127"/>
      <c r="L79" s="127"/>
      <c r="M79" s="72"/>
    </row>
    <row r="80" spans="1:13" ht="12.75" customHeight="1">
      <c r="A80" s="120">
        <f t="shared" ref="A80:A81" si="18">EDATE(A79,6)</f>
        <v>53724</v>
      </c>
      <c r="B80" s="116"/>
      <c r="C80" s="71"/>
      <c r="D80" s="73"/>
      <c r="E80" s="72"/>
      <c r="H80">
        <f t="shared" si="15"/>
        <v>6</v>
      </c>
      <c r="I80" s="79">
        <f t="shared" si="17"/>
        <v>53783</v>
      </c>
      <c r="J80" s="128"/>
      <c r="K80" s="127"/>
      <c r="L80" s="127"/>
      <c r="M80" s="72"/>
    </row>
    <row r="81" spans="1:13" ht="12.75" customHeight="1">
      <c r="A81" s="120">
        <f t="shared" si="18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7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7.8974409271284247E-3</v>
      </c>
      <c r="D83" s="85">
        <f>AVERAGE(D2:D82)</f>
        <v>488.29025986229595</v>
      </c>
      <c r="E83" s="86">
        <f>AVERAGE(E3:E82)</f>
        <v>-18.93997275169674</v>
      </c>
      <c r="H83">
        <f>SUM(H25:H82)</f>
        <v>335</v>
      </c>
      <c r="M83" s="86">
        <f>AVERAGE(M3:M82)</f>
        <v>-6054.4058333333314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1"/>
  <sheetViews>
    <sheetView topLeftCell="A49" workbookViewId="0">
      <selection activeCell="M68" sqref="M6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322</v>
      </c>
      <c r="B1" s="240"/>
      <c r="C1" s="241"/>
      <c r="D1" s="319"/>
      <c r="E1" s="242"/>
      <c r="F1" s="243" t="s">
        <v>323</v>
      </c>
      <c r="G1" s="244"/>
      <c r="H1" s="244"/>
      <c r="I1" s="244"/>
      <c r="J1" s="244"/>
      <c r="K1" s="245" t="s">
        <v>324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325</v>
      </c>
      <c r="B2" s="252" t="s">
        <v>326</v>
      </c>
      <c r="C2" s="252" t="s">
        <v>327</v>
      </c>
      <c r="D2" s="320" t="s">
        <v>369</v>
      </c>
      <c r="E2" s="252" t="s">
        <v>328</v>
      </c>
      <c r="F2" s="253" t="s">
        <v>329</v>
      </c>
      <c r="G2" s="254" t="s">
        <v>330</v>
      </c>
      <c r="H2" s="254" t="s">
        <v>331</v>
      </c>
      <c r="I2" s="254" t="s">
        <v>332</v>
      </c>
      <c r="J2" s="254" t="s">
        <v>7</v>
      </c>
      <c r="K2" s="255" t="s">
        <v>329</v>
      </c>
      <c r="L2" s="256" t="s">
        <v>330</v>
      </c>
      <c r="M2" s="256" t="s">
        <v>332</v>
      </c>
      <c r="N2" s="257" t="s">
        <v>7</v>
      </c>
      <c r="O2" s="258" t="s">
        <v>7</v>
      </c>
      <c r="P2" s="259" t="s">
        <v>333</v>
      </c>
      <c r="Q2" s="259" t="s">
        <v>662</v>
      </c>
      <c r="R2" s="259" t="s">
        <v>93</v>
      </c>
      <c r="S2" s="260" t="s">
        <v>334</v>
      </c>
      <c r="T2" s="261"/>
    </row>
    <row r="3" spans="1:27">
      <c r="A3" s="262" t="s">
        <v>335</v>
      </c>
      <c r="B3" s="262" t="s">
        <v>336</v>
      </c>
      <c r="C3" s="263">
        <v>5600</v>
      </c>
      <c r="D3" s="321">
        <f ca="1">_xlfn.DAYS(K3,F3)</f>
        <v>1652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43861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356</v>
      </c>
    </row>
    <row r="4" spans="1:27">
      <c r="A4" s="262" t="s">
        <v>337</v>
      </c>
      <c r="B4" s="262" t="s">
        <v>244</v>
      </c>
      <c r="C4" s="263">
        <v>4090</v>
      </c>
      <c r="D4" s="321">
        <f ca="1">_xlfn.DAYS(K4,F4)</f>
        <v>256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43861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356</v>
      </c>
      <c r="T4" s="339"/>
    </row>
    <row r="5" spans="1:27">
      <c r="A5" s="262" t="s">
        <v>337</v>
      </c>
      <c r="B5" s="262" t="s">
        <v>338</v>
      </c>
      <c r="C5" s="263">
        <v>5100</v>
      </c>
      <c r="D5" s="321">
        <f ca="1">_xlfn.DAYS(K5,F5)</f>
        <v>707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43861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356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</row>
    <row r="11" spans="1:27">
      <c r="A11" s="447" t="s">
        <v>339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</row>
    <row r="12" spans="1:27">
      <c r="A12" s="290" t="s">
        <v>325</v>
      </c>
      <c r="B12" s="290" t="s">
        <v>326</v>
      </c>
      <c r="C12" s="290" t="s">
        <v>327</v>
      </c>
      <c r="D12" s="323" t="s">
        <v>369</v>
      </c>
      <c r="E12" s="290" t="s">
        <v>328</v>
      </c>
      <c r="F12" s="291" t="s">
        <v>329</v>
      </c>
      <c r="G12" s="292" t="s">
        <v>330</v>
      </c>
      <c r="H12" s="292" t="s">
        <v>331</v>
      </c>
      <c r="I12" s="292" t="s">
        <v>332</v>
      </c>
      <c r="J12" s="292" t="s">
        <v>7</v>
      </c>
      <c r="K12" s="293" t="s">
        <v>329</v>
      </c>
      <c r="L12" s="294" t="s">
        <v>330</v>
      </c>
      <c r="M12" s="294" t="s">
        <v>332</v>
      </c>
      <c r="N12" s="295" t="s">
        <v>7</v>
      </c>
      <c r="O12" s="296" t="s">
        <v>7</v>
      </c>
      <c r="P12" s="297" t="s">
        <v>333</v>
      </c>
      <c r="Q12" s="297" t="s">
        <v>662</v>
      </c>
      <c r="R12" s="297" t="s">
        <v>93</v>
      </c>
      <c r="S12" s="298" t="s">
        <v>334</v>
      </c>
      <c r="T12" s="338" t="s">
        <v>408</v>
      </c>
      <c r="U12" s="338" t="s">
        <v>581</v>
      </c>
      <c r="X12" s="329" t="s">
        <v>352</v>
      </c>
      <c r="Y12" s="329" t="s">
        <v>353</v>
      </c>
      <c r="Z12" s="329" t="s">
        <v>354</v>
      </c>
      <c r="AA12" s="329" t="s">
        <v>355</v>
      </c>
    </row>
    <row r="13" spans="1:27">
      <c r="A13" s="262" t="s">
        <v>335</v>
      </c>
      <c r="B13" s="262" t="s">
        <v>340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340</v>
      </c>
      <c r="T13" s="59">
        <f>R13+R14</f>
        <v>-4.7120556421087471E-2</v>
      </c>
      <c r="X13" s="39">
        <f t="shared" ref="X13:X41" ca="1" si="1">D13/D$43</f>
        <v>3.469501958589815E-2</v>
      </c>
      <c r="Y13" s="119">
        <f ca="1">X13*E13</f>
        <v>139.44861494124228</v>
      </c>
      <c r="Z13" s="38"/>
    </row>
    <row r="14" spans="1:27">
      <c r="A14" s="262" t="s">
        <v>335</v>
      </c>
      <c r="B14" s="262" t="s">
        <v>340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341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335</v>
      </c>
      <c r="B15" s="262" t="s">
        <v>342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342</v>
      </c>
      <c r="X15" s="39">
        <f t="shared" ca="1" si="1"/>
        <v>3.0777839955232231E-2</v>
      </c>
      <c r="Y15" s="119">
        <f t="shared" ca="1" si="3"/>
        <v>0</v>
      </c>
    </row>
    <row r="16" spans="1:27">
      <c r="A16" s="262" t="s">
        <v>335</v>
      </c>
      <c r="B16" s="262" t="s">
        <v>343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343</v>
      </c>
      <c r="X16" s="39">
        <f t="shared" ca="1" si="1"/>
        <v>7.8343592613318407E-3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344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345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335</v>
      </c>
      <c r="B19" s="262" t="s">
        <v>343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343</v>
      </c>
      <c r="T19" s="59">
        <f>R19+R21+R24</f>
        <v>0.24013324659263452</v>
      </c>
      <c r="X19" s="39">
        <f t="shared" ca="1" si="1"/>
        <v>0.48628987129266926</v>
      </c>
      <c r="Y19" s="119">
        <f t="shared" ca="1" si="3"/>
        <v>2151.0545777728039</v>
      </c>
    </row>
    <row r="20" spans="1:25">
      <c r="A20" s="262" t="s">
        <v>335</v>
      </c>
      <c r="B20" s="262" t="s">
        <v>343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370</v>
      </c>
      <c r="X20" s="39">
        <f t="shared" ca="1" si="1"/>
        <v>0.35366536094012313</v>
      </c>
      <c r="Y20" s="119">
        <f t="shared" ca="1" si="3"/>
        <v>212.41141578063795</v>
      </c>
    </row>
    <row r="21" spans="1:25">
      <c r="A21" s="262" t="s">
        <v>335</v>
      </c>
      <c r="B21" s="262" t="s">
        <v>343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346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344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347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335</v>
      </c>
      <c r="B24" s="262" t="s">
        <v>343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348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335</v>
      </c>
      <c r="B25" s="262" t="s">
        <v>343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343</v>
      </c>
      <c r="X25" s="39">
        <f t="shared" ca="1" si="1"/>
        <v>0.16116396194739788</v>
      </c>
      <c r="Y25" s="119">
        <f t="shared" ca="1" si="3"/>
        <v>97.981762220481244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349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349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337</v>
      </c>
      <c r="B28" s="262" t="s">
        <v>338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338</v>
      </c>
      <c r="T28" s="59">
        <f>R28+R29+R30+R34</f>
        <v>0.15363527784681297</v>
      </c>
      <c r="U28" s="59">
        <f>(L28/L5)-1</f>
        <v>0</v>
      </c>
      <c r="X28" s="39">
        <f t="shared" ca="1" si="1"/>
        <v>0.36709569110240625</v>
      </c>
      <c r="Y28" s="119">
        <f t="shared" ca="1" si="3"/>
        <v>1889.8427136429771</v>
      </c>
    </row>
    <row r="29" spans="1:25">
      <c r="A29" s="262" t="s">
        <v>337</v>
      </c>
      <c r="B29" s="262" t="s">
        <v>338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294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337</v>
      </c>
      <c r="B30" s="262" t="s">
        <v>338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294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337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350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337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351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337</v>
      </c>
      <c r="B33" s="262" t="s">
        <v>244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244</v>
      </c>
      <c r="X33" s="39">
        <f t="shared" ca="1" si="1"/>
        <v>1.2311135982092894E-2</v>
      </c>
      <c r="Y33" s="119">
        <f t="shared" ca="1" si="3"/>
        <v>50.834234135422498</v>
      </c>
    </row>
    <row r="34" spans="1:27">
      <c r="A34" s="262" t="s">
        <v>337</v>
      </c>
      <c r="B34" s="262" t="s">
        <v>338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294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337</v>
      </c>
      <c r="B35" s="262" t="s">
        <v>244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244</v>
      </c>
      <c r="U35" s="59"/>
      <c r="X35" s="39">
        <f t="shared" ca="1" si="1"/>
        <v>8.3379966424174598E-2</v>
      </c>
      <c r="Y35" s="119">
        <f t="shared" ca="1" si="3"/>
        <v>340.91957590374932</v>
      </c>
    </row>
    <row r="36" spans="1:27">
      <c r="A36" s="262" t="s">
        <v>337</v>
      </c>
      <c r="B36" s="262" t="s">
        <v>338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294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777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1.5372132064913262</v>
      </c>
      <c r="Y42" s="327">
        <f ca="1">SUM(Y13:Y41)</f>
        <v>4882.4928943973146</v>
      </c>
      <c r="Z42" s="328">
        <f ca="1">P42/Y42</f>
        <v>0.90095063692724331</v>
      </c>
      <c r="AA42" s="328">
        <f ca="1">Z42/(D$43/365)</f>
        <v>0.18402181448150187</v>
      </c>
    </row>
    <row r="43" spans="1:27">
      <c r="C43" s="119" t="s">
        <v>372</v>
      </c>
      <c r="D43" s="46">
        <f ca="1">_xlfn.DAYS(TODAY(),F13)</f>
        <v>1787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357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358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359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360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361</v>
      </c>
      <c r="U62" s="41" t="s">
        <v>362</v>
      </c>
      <c r="V62" s="38"/>
    </row>
    <row r="63" spans="3:29" ht="15.75">
      <c r="G63" s="38"/>
      <c r="S63" t="s">
        <v>363</v>
      </c>
      <c r="T63" s="308" t="s">
        <v>364</v>
      </c>
      <c r="U63" s="309"/>
      <c r="V63" s="38"/>
    </row>
    <row r="64" spans="3:29">
      <c r="F64" s="38"/>
      <c r="G64" s="38"/>
      <c r="S64" t="s">
        <v>365</v>
      </c>
      <c r="T64" s="308" t="s">
        <v>366</v>
      </c>
      <c r="U64" t="s">
        <v>367</v>
      </c>
    </row>
    <row r="65" spans="6:22">
      <c r="F65" s="38"/>
      <c r="G65" s="38"/>
      <c r="H65" s="38"/>
      <c r="T65" s="38"/>
      <c r="U65" t="s">
        <v>368</v>
      </c>
      <c r="V65" s="38"/>
    </row>
    <row r="66" spans="6:22">
      <c r="K66" s="310"/>
      <c r="T66" s="305"/>
    </row>
    <row r="67" spans="6:22">
      <c r="T67" s="311"/>
    </row>
    <row r="68" spans="6:22">
      <c r="T68" s="308"/>
      <c r="U68">
        <f>5000/12</f>
        <v>416.66666666666669</v>
      </c>
    </row>
    <row r="69" spans="6:22">
      <c r="U69">
        <f>2.2/U68</f>
        <v>5.28E-3</v>
      </c>
    </row>
    <row r="70" spans="6:22">
      <c r="U70">
        <f>100*U69</f>
        <v>0.52800000000000002</v>
      </c>
    </row>
    <row r="71" spans="6:22">
      <c r="U71">
        <f>2.2*12</f>
        <v>26.400000000000002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28" workbookViewId="0">
      <selection activeCell="H26" sqref="H26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378</v>
      </c>
      <c r="B1" s="449"/>
      <c r="C1" s="449"/>
      <c r="D1" s="449"/>
      <c r="E1" s="449"/>
    </row>
    <row r="2" spans="1:5">
      <c r="A2" s="331" t="s">
        <v>374</v>
      </c>
      <c r="B2" s="332" t="s">
        <v>86</v>
      </c>
      <c r="C2" s="332" t="s">
        <v>375</v>
      </c>
      <c r="D2" s="332" t="s">
        <v>376</v>
      </c>
      <c r="E2" s="270"/>
    </row>
    <row r="3" spans="1:5">
      <c r="A3" s="333" t="s">
        <v>50</v>
      </c>
      <c r="B3" s="334">
        <v>7350</v>
      </c>
      <c r="C3" s="304">
        <f>B3/B$7</f>
        <v>0.78191489361702127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0.15957446808510639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5.8510638297872342E-2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9400</v>
      </c>
      <c r="C7" s="304">
        <f>SUM(C3:C6)</f>
        <v>1</v>
      </c>
      <c r="D7" s="276">
        <f>0</f>
        <v>0</v>
      </c>
      <c r="E7" s="275" t="s">
        <v>377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7" t="s">
        <v>407</v>
      </c>
      <c r="B15" s="447"/>
      <c r="C15" s="447"/>
      <c r="D15" s="447"/>
      <c r="E15" s="447"/>
    </row>
    <row r="17" spans="1:4">
      <c r="A17" s="330" t="s">
        <v>379</v>
      </c>
    </row>
    <row r="19" spans="1:4">
      <c r="A19" t="s">
        <v>380</v>
      </c>
    </row>
    <row r="20" spans="1:4">
      <c r="A20" t="s">
        <v>381</v>
      </c>
    </row>
    <row r="21" spans="1:4">
      <c r="A21" t="s">
        <v>382</v>
      </c>
    </row>
    <row r="22" spans="1:4">
      <c r="A22" t="s">
        <v>383</v>
      </c>
    </row>
    <row r="23" spans="1:4">
      <c r="A23" t="s">
        <v>384</v>
      </c>
    </row>
    <row r="24" spans="1:4">
      <c r="A24" t="s">
        <v>385</v>
      </c>
    </row>
    <row r="25" spans="1:4">
      <c r="A25" t="s">
        <v>386</v>
      </c>
    </row>
    <row r="26" spans="1:4">
      <c r="A26" t="s">
        <v>747</v>
      </c>
    </row>
    <row r="27" spans="1:4">
      <c r="A27" t="s">
        <v>748</v>
      </c>
    </row>
    <row r="30" spans="1:4">
      <c r="A30" s="330" t="s">
        <v>387</v>
      </c>
      <c r="B30" s="330" t="s">
        <v>388</v>
      </c>
      <c r="C30" s="330" t="s">
        <v>389</v>
      </c>
      <c r="D30" s="330" t="s">
        <v>390</v>
      </c>
    </row>
    <row r="32" spans="1:4">
      <c r="A32" t="s">
        <v>391</v>
      </c>
      <c r="B32" t="s">
        <v>392</v>
      </c>
      <c r="C32" t="s">
        <v>393</v>
      </c>
      <c r="D32" t="s">
        <v>394</v>
      </c>
    </row>
    <row r="33" spans="1:4">
      <c r="A33" t="s">
        <v>395</v>
      </c>
      <c r="B33" t="s">
        <v>396</v>
      </c>
      <c r="C33" t="s">
        <v>397</v>
      </c>
      <c r="D33" t="s">
        <v>392</v>
      </c>
    </row>
    <row r="34" spans="1:4">
      <c r="A34" t="s">
        <v>398</v>
      </c>
      <c r="B34" t="s">
        <v>399</v>
      </c>
      <c r="C34" t="s">
        <v>400</v>
      </c>
      <c r="D34" t="s">
        <v>394</v>
      </c>
    </row>
    <row r="35" spans="1:4">
      <c r="A35" t="s">
        <v>401</v>
      </c>
      <c r="B35" t="s">
        <v>392</v>
      </c>
      <c r="C35" t="s">
        <v>397</v>
      </c>
      <c r="D35" t="s">
        <v>402</v>
      </c>
    </row>
    <row r="36" spans="1:4">
      <c r="A36" t="s">
        <v>246</v>
      </c>
      <c r="B36" t="s">
        <v>392</v>
      </c>
      <c r="C36" t="s">
        <v>393</v>
      </c>
      <c r="D36" t="s">
        <v>402</v>
      </c>
    </row>
    <row r="37" spans="1:4">
      <c r="A37" t="s">
        <v>403</v>
      </c>
      <c r="B37" t="s">
        <v>394</v>
      </c>
      <c r="C37" t="s">
        <v>400</v>
      </c>
      <c r="D37" t="s">
        <v>399</v>
      </c>
    </row>
    <row r="38" spans="1:4">
      <c r="A38" t="s">
        <v>404</v>
      </c>
      <c r="B38" t="s">
        <v>392</v>
      </c>
      <c r="C38" t="s">
        <v>400</v>
      </c>
      <c r="D38" t="s">
        <v>392</v>
      </c>
    </row>
    <row r="39" spans="1:4">
      <c r="A39" t="s">
        <v>405</v>
      </c>
      <c r="B39" t="s">
        <v>394</v>
      </c>
      <c r="C39" t="s">
        <v>393</v>
      </c>
      <c r="D39" t="s">
        <v>392</v>
      </c>
    </row>
    <row r="40" spans="1:4">
      <c r="A40" t="s">
        <v>406</v>
      </c>
      <c r="B40" t="s">
        <v>394</v>
      </c>
      <c r="C40" t="s">
        <v>393</v>
      </c>
      <c r="D40" t="s">
        <v>399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topLeftCell="A40" workbookViewId="0">
      <selection activeCell="N12" sqref="N12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227</v>
      </c>
      <c r="I7" t="s">
        <v>228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230</v>
      </c>
      <c r="I10" t="s">
        <v>231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186</v>
      </c>
      <c r="B51" t="s">
        <v>165</v>
      </c>
    </row>
    <row r="52" spans="1:3">
      <c r="A52" t="s">
        <v>193</v>
      </c>
      <c r="B52" t="s">
        <v>831</v>
      </c>
    </row>
    <row r="53" spans="1:3">
      <c r="A53" t="s">
        <v>195</v>
      </c>
      <c r="B53" t="s">
        <v>196</v>
      </c>
    </row>
    <row r="54" spans="1:3">
      <c r="A54" t="s">
        <v>33</v>
      </c>
      <c r="B54" t="s">
        <v>166</v>
      </c>
    </row>
    <row r="55" spans="1:3">
      <c r="A55" t="s">
        <v>618</v>
      </c>
      <c r="B55" t="s">
        <v>619</v>
      </c>
    </row>
    <row r="56" spans="1:3">
      <c r="A56" t="s">
        <v>746</v>
      </c>
      <c r="B56" t="s">
        <v>166</v>
      </c>
    </row>
    <row r="58" spans="1:3">
      <c r="A58" t="s">
        <v>699</v>
      </c>
      <c r="B58" t="s">
        <v>700</v>
      </c>
    </row>
    <row r="59" spans="1:3">
      <c r="A59" t="s">
        <v>781</v>
      </c>
      <c r="B59" t="s">
        <v>783</v>
      </c>
      <c r="C59" t="s">
        <v>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416" workbookViewId="0">
      <selection activeCell="B422" sqref="B422:G42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>
        <v>2019</v>
      </c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178</v>
      </c>
      <c r="I5" s="106" t="s">
        <v>58</v>
      </c>
      <c r="J5" s="107" t="s">
        <v>59</v>
      </c>
      <c r="K5" s="432">
        <f>6296.48-M5</f>
        <v>5725.0499999999993</v>
      </c>
      <c r="L5" s="433"/>
      <c r="M5" s="1">
        <f>571.43</f>
        <v>571.42999999999995</v>
      </c>
      <c r="N5" s="1" t="s">
        <v>157</v>
      </c>
      <c r="R5" s="3"/>
    </row>
    <row r="6" spans="1:22" ht="15.75">
      <c r="A6" s="112">
        <f>H6+(B6-SUM(D6:F6))</f>
        <v>6</v>
      </c>
      <c r="B6" s="133">
        <v>389.26</v>
      </c>
      <c r="C6" s="19" t="s">
        <v>634</v>
      </c>
      <c r="D6" s="137"/>
      <c r="E6" s="138">
        <v>389.26</v>
      </c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16">
        <v>9189.0300000000007</v>
      </c>
      <c r="L7" s="417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16">
        <f>6954.14-0.63</f>
        <v>6953.51</v>
      </c>
      <c r="L8" s="41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16">
        <f>9496.23+4.45</f>
        <v>9500.68</v>
      </c>
      <c r="L9" s="417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16">
        <f>1804-1.98</f>
        <v>1802.02</v>
      </c>
      <c r="L10" s="417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16">
        <v>360</v>
      </c>
      <c r="L11" s="417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225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16">
        <v>0</v>
      </c>
      <c r="L12" s="417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229</v>
      </c>
      <c r="D13" s="137"/>
      <c r="E13" s="138"/>
      <c r="F13" s="138"/>
      <c r="G13" s="16"/>
      <c r="H13" s="112">
        <v>550</v>
      </c>
      <c r="I13" s="108"/>
      <c r="J13" s="107"/>
      <c r="K13" s="416"/>
      <c r="L13" s="417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275</v>
      </c>
      <c r="D14" s="137"/>
      <c r="E14" s="138"/>
      <c r="F14" s="138"/>
      <c r="G14" s="16"/>
      <c r="H14" s="112">
        <v>1129.9991905564923</v>
      </c>
      <c r="I14" s="108"/>
      <c r="J14" s="107"/>
      <c r="K14" s="416"/>
      <c r="L14" s="417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179</v>
      </c>
      <c r="D15" s="137"/>
      <c r="E15" s="138"/>
      <c r="F15" s="138"/>
      <c r="G15" s="16"/>
      <c r="H15" s="112">
        <v>298.39999999999998</v>
      </c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18">
        <f>SUM(K5:K18)</f>
        <v>34150.43</v>
      </c>
      <c r="L19" s="419"/>
      <c r="M19" s="1"/>
      <c r="N19" s="1"/>
      <c r="R19" s="3"/>
    </row>
    <row r="20" spans="1:18" ht="16.5" thickBot="1">
      <c r="A20" s="112">
        <f>SUM(A6:A15)</f>
        <v>2629.039190556492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431.5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32348.41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12"/>
      <c r="I22" s="420" t="s">
        <v>6</v>
      </c>
      <c r="J22" s="411"/>
      <c r="K22" s="411"/>
      <c r="L22" s="412"/>
      <c r="M22" s="1"/>
      <c r="N22" s="113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12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12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178</v>
      </c>
      <c r="I25" s="421" t="str">
        <f>AÑO!A8</f>
        <v>Manolo Salario</v>
      </c>
      <c r="J25" s="424" t="s">
        <v>238</v>
      </c>
      <c r="K25" s="425"/>
      <c r="L25" s="198">
        <f>2581.81+1.8</f>
        <v>2583.61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22"/>
      <c r="J26" s="426"/>
      <c r="K26" s="427"/>
      <c r="L26" s="229"/>
      <c r="M26" s="1"/>
      <c r="R26" s="3"/>
    </row>
    <row r="27" spans="1:18" ht="15.75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22"/>
      <c r="J27" s="426"/>
      <c r="K27" s="427"/>
      <c r="L27" s="229"/>
      <c r="M27" s="1"/>
      <c r="R27" s="3"/>
    </row>
    <row r="28" spans="1:18" ht="15.75">
      <c r="A28" s="112">
        <f t="shared" si="1"/>
        <v>85.730000000000018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12">
        <v>149.92000000000002</v>
      </c>
      <c r="I28" s="422"/>
      <c r="J28" s="426"/>
      <c r="K28" s="427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23"/>
      <c r="J29" s="428"/>
      <c r="K29" s="429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21" t="str">
        <f>AÑO!A9</f>
        <v>Rocío Salario</v>
      </c>
      <c r="J30" s="424" t="s">
        <v>252</v>
      </c>
      <c r="K30" s="425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664</v>
      </c>
      <c r="D31" s="137"/>
      <c r="E31" s="138"/>
      <c r="F31" s="138"/>
      <c r="G31" s="16"/>
      <c r="H31" s="112">
        <v>35</v>
      </c>
      <c r="I31" s="422"/>
      <c r="J31" s="426"/>
      <c r="K31" s="427"/>
      <c r="L31" s="229">
        <v>52.95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2"/>
      <c r="J32" s="426"/>
      <c r="K32" s="427"/>
      <c r="L32" s="229"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1" t="s">
        <v>204</v>
      </c>
      <c r="J35" s="424" t="s">
        <v>233</v>
      </c>
      <c r="K35" s="425"/>
      <c r="L35" s="231">
        <v>133.97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255.92999999999989</v>
      </c>
      <c r="B40" s="135">
        <f>SUM(B26:B39)</f>
        <v>1164</v>
      </c>
      <c r="C40" s="17" t="s">
        <v>51</v>
      </c>
      <c r="D40" s="135">
        <f>SUM(D26:D39)</f>
        <v>1208.8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21" t="str">
        <f>AÑO!A11</f>
        <v>Finanazas</v>
      </c>
      <c r="J40" s="424" t="s">
        <v>246</v>
      </c>
      <c r="K40" s="425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2"/>
      <c r="J41" s="426" t="s">
        <v>761</v>
      </c>
      <c r="K41" s="427"/>
      <c r="L41" s="229">
        <v>1.98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12"/>
      <c r="I42" s="422"/>
      <c r="J42" s="426" t="s">
        <v>812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12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12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21" t="str">
        <f>AÑO!A12</f>
        <v>Regalos</v>
      </c>
      <c r="J45" s="424" t="s">
        <v>780</v>
      </c>
      <c r="K45" s="425"/>
      <c r="L45" s="231">
        <v>1142.8599999999999</v>
      </c>
      <c r="M45" s="112" t="s">
        <v>791</v>
      </c>
      <c r="N45" s="113">
        <f>L45-B187-B112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789</v>
      </c>
      <c r="H46" s="112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800</v>
      </c>
      <c r="H47" s="112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803</v>
      </c>
      <c r="H48" s="112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804</v>
      </c>
      <c r="H49" s="112"/>
      <c r="I49" s="423"/>
      <c r="J49" s="428"/>
      <c r="K49" s="429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805</v>
      </c>
      <c r="H50" s="112"/>
      <c r="I50" s="421" t="str">
        <f>AÑO!A13</f>
        <v>Gubernamental</v>
      </c>
      <c r="J50" s="424" t="s">
        <v>709</v>
      </c>
      <c r="K50" s="425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28.47</v>
      </c>
      <c r="E51" s="138"/>
      <c r="F51" s="138"/>
      <c r="G51" s="16" t="s">
        <v>819</v>
      </c>
      <c r="H51" s="112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78.069999999999993</v>
      </c>
      <c r="E52" s="138"/>
      <c r="F52" s="138"/>
      <c r="G52" s="16" t="s">
        <v>820</v>
      </c>
      <c r="H52" s="112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52.47</v>
      </c>
      <c r="E53" s="138"/>
      <c r="F53" s="138"/>
      <c r="G53" s="16" t="s">
        <v>825</v>
      </c>
      <c r="H53" s="112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>
        <v>64.41</v>
      </c>
      <c r="F54" s="138"/>
      <c r="G54" s="16"/>
      <c r="H54" s="112"/>
      <c r="I54" s="423"/>
      <c r="J54" s="428"/>
      <c r="K54" s="429"/>
      <c r="L54" s="230"/>
      <c r="M54" s="1"/>
      <c r="R54" s="3"/>
    </row>
    <row r="55" spans="1:18" ht="15.75">
      <c r="A55" s="1"/>
      <c r="B55" s="134"/>
      <c r="C55" s="16"/>
      <c r="D55" s="137">
        <v>7.49</v>
      </c>
      <c r="E55" s="138"/>
      <c r="F55" s="138"/>
      <c r="G55" s="16" t="s">
        <v>837</v>
      </c>
      <c r="H55" s="112"/>
      <c r="I55" s="421" t="str">
        <f>AÑO!A14</f>
        <v>Mutualite/DKV</v>
      </c>
      <c r="J55" s="424" t="s">
        <v>801</v>
      </c>
      <c r="K55" s="425"/>
      <c r="L55" s="231">
        <f>146.94+151.49+438.33</f>
        <v>736.76</v>
      </c>
      <c r="M55" s="1"/>
      <c r="R55" s="3"/>
    </row>
    <row r="56" spans="1:18" ht="15.75">
      <c r="A56" s="1"/>
      <c r="B56" s="134"/>
      <c r="C56" s="16"/>
      <c r="D56" s="137">
        <f>47.04-D290-D312</f>
        <v>19.97</v>
      </c>
      <c r="E56" s="138"/>
      <c r="F56" s="138"/>
      <c r="G56" s="16" t="s">
        <v>843</v>
      </c>
      <c r="H56" s="112"/>
      <c r="I56" s="422"/>
      <c r="J56" s="426" t="s">
        <v>288</v>
      </c>
      <c r="K56" s="427"/>
      <c r="L56" s="229">
        <f>21.94+14.78+3.03</f>
        <v>39.75</v>
      </c>
      <c r="M56" s="1"/>
      <c r="R56" s="3"/>
    </row>
    <row r="57" spans="1:18" ht="15.75">
      <c r="A57" s="1"/>
      <c r="B57" s="134"/>
      <c r="C57" s="16"/>
      <c r="D57" s="137">
        <v>2.39</v>
      </c>
      <c r="E57" s="138"/>
      <c r="F57" s="138"/>
      <c r="G57" s="16" t="s">
        <v>845</v>
      </c>
      <c r="H57" s="112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3"/>
      <c r="J59" s="428"/>
      <c r="K59" s="429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380.68000000000006</v>
      </c>
      <c r="E60" s="135">
        <f>SUM(E46:E59)</f>
        <v>64.41</v>
      </c>
      <c r="F60" s="135">
        <f>SUM(F46:F59)</f>
        <v>0</v>
      </c>
      <c r="G60" s="17" t="s">
        <v>51</v>
      </c>
      <c r="H60" s="112"/>
      <c r="I60" s="421" t="str">
        <f>AÑO!A15</f>
        <v>Alquiler Cartama</v>
      </c>
      <c r="J60" s="424" t="s">
        <v>37</v>
      </c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12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12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12"/>
      <c r="I64" s="423"/>
      <c r="J64" s="428"/>
      <c r="K64" s="429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21" t="str">
        <f>AÑO!A16</f>
        <v>Otros</v>
      </c>
      <c r="J65" s="424" t="s">
        <v>797</v>
      </c>
      <c r="K65" s="425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786</v>
      </c>
      <c r="H66" s="112"/>
      <c r="I66" s="422"/>
      <c r="J66" s="426"/>
      <c r="K66" s="427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788</v>
      </c>
      <c r="H67" s="112"/>
      <c r="I67" s="422"/>
      <c r="J67" s="426"/>
      <c r="K67" s="427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 t="s">
        <v>823</v>
      </c>
      <c r="H68" s="112"/>
      <c r="I68" s="422"/>
      <c r="J68" s="426"/>
      <c r="K68" s="427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 t="s">
        <v>822</v>
      </c>
      <c r="H69" s="112"/>
      <c r="I69" s="436"/>
      <c r="J69" s="437"/>
      <c r="K69" s="438"/>
      <c r="L69" s="232"/>
      <c r="M69" s="1"/>
      <c r="R69" s="3"/>
    </row>
    <row r="70" spans="1:18" ht="15.75">
      <c r="A70" s="112"/>
      <c r="B70" s="134"/>
      <c r="C70" s="16"/>
      <c r="D70" s="137">
        <v>32</v>
      </c>
      <c r="E70" s="138"/>
      <c r="F70" s="138"/>
      <c r="G70" s="16" t="s">
        <v>821</v>
      </c>
      <c r="H70" s="112"/>
      <c r="M70" s="1"/>
      <c r="R70" s="3"/>
    </row>
    <row r="71" spans="1:18" ht="15.75">
      <c r="A71" s="112"/>
      <c r="B71" s="134"/>
      <c r="C71" s="16"/>
      <c r="D71" s="137">
        <v>21.8</v>
      </c>
      <c r="E71" s="138"/>
      <c r="F71" s="138"/>
      <c r="G71" s="16" t="s">
        <v>829</v>
      </c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>
        <v>40.5</v>
      </c>
      <c r="E72" s="138"/>
      <c r="F72" s="138"/>
      <c r="G72" s="16" t="s">
        <v>848</v>
      </c>
      <c r="H72" s="112"/>
      <c r="I72" s="208"/>
      <c r="J72"/>
      <c r="K72"/>
      <c r="L72">
        <v>83</v>
      </c>
      <c r="M72" s="1" t="s">
        <v>773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776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775</v>
      </c>
      <c r="K74">
        <f ca="1">DAY(TODAY())</f>
        <v>31</v>
      </c>
      <c r="L74">
        <f ca="1">K74*L73</f>
        <v>100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17</v>
      </c>
      <c r="M75" s="1" t="s">
        <v>774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154.05000000000001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12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12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764</v>
      </c>
      <c r="D86" s="137"/>
      <c r="E86" s="138">
        <v>4.9000000000000004</v>
      </c>
      <c r="F86" s="138"/>
      <c r="G86" s="16" t="s">
        <v>795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795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802</v>
      </c>
      <c r="H88" s="112"/>
      <c r="M88" s="1"/>
      <c r="R88" s="3"/>
    </row>
    <row r="89" spans="1:18" ht="15.75">
      <c r="A89" s="1"/>
      <c r="B89" s="134"/>
      <c r="C89" s="16"/>
      <c r="D89" s="137">
        <v>44.45</v>
      </c>
      <c r="E89" s="138"/>
      <c r="F89" s="138"/>
      <c r="G89" s="16" t="s">
        <v>824</v>
      </c>
      <c r="H89" s="112"/>
      <c r="M89" s="1"/>
      <c r="R89" s="3"/>
    </row>
    <row r="90" spans="1:18" ht="15.75">
      <c r="A90" s="1"/>
      <c r="B90" s="134"/>
      <c r="C90" s="16"/>
      <c r="D90" s="137">
        <v>58.57</v>
      </c>
      <c r="E90" s="138"/>
      <c r="F90" s="138"/>
      <c r="G90" s="16" t="s">
        <v>833</v>
      </c>
      <c r="H90" s="112"/>
      <c r="M90" s="1"/>
      <c r="R90" s="3"/>
    </row>
    <row r="91" spans="1:18" ht="15.75">
      <c r="A91" s="1"/>
      <c r="B91" s="134"/>
      <c r="C91" s="16"/>
      <c r="D91" s="137">
        <v>2</v>
      </c>
      <c r="E91" s="138"/>
      <c r="F91" s="138"/>
      <c r="G91" s="16" t="s">
        <v>846</v>
      </c>
      <c r="H91" s="112"/>
      <c r="M91" s="1"/>
      <c r="R91" s="3"/>
    </row>
    <row r="92" spans="1:18" ht="15.75">
      <c r="A92" s="1"/>
      <c r="B92" s="134"/>
      <c r="C92" s="16"/>
      <c r="D92" s="137">
        <v>46.46</v>
      </c>
      <c r="E92" s="138"/>
      <c r="F92" s="138"/>
      <c r="G92" s="16" t="s">
        <v>847</v>
      </c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198.5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12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12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12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178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767</v>
      </c>
      <c r="D106" s="137">
        <v>258.47000000000003</v>
      </c>
      <c r="E106" s="138"/>
      <c r="F106" s="138"/>
      <c r="G106" s="31" t="s">
        <v>765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766</v>
      </c>
      <c r="D107" s="137">
        <v>70.36</v>
      </c>
      <c r="E107" s="138"/>
      <c r="F107" s="138"/>
      <c r="G107" s="31" t="s">
        <v>766</v>
      </c>
      <c r="H107" s="112">
        <v>1.0200000000000529</v>
      </c>
      <c r="M107" s="1"/>
      <c r="R107" s="3"/>
    </row>
    <row r="108" spans="1:18" ht="15.75">
      <c r="A108" s="112">
        <f t="shared" si="2"/>
        <v>200</v>
      </c>
      <c r="B108" s="134">
        <v>0</v>
      </c>
      <c r="C108" s="18" t="s">
        <v>768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0.28999999999999915</v>
      </c>
      <c r="B109" s="134">
        <v>39</v>
      </c>
      <c r="C109" s="18" t="s">
        <v>769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H110+(B110-SUM(D110:F115))</f>
        <v>352.58</v>
      </c>
      <c r="B110" s="134">
        <v>100</v>
      </c>
      <c r="C110" s="18" t="s">
        <v>180</v>
      </c>
      <c r="D110" s="137">
        <v>5.95</v>
      </c>
      <c r="E110" s="138"/>
      <c r="F110" s="138"/>
      <c r="G110" s="31" t="s">
        <v>817</v>
      </c>
      <c r="H110" s="112">
        <v>288.52999999999997</v>
      </c>
      <c r="M110" s="1"/>
      <c r="R110" s="3"/>
    </row>
    <row r="111" spans="1:18" ht="15.75">
      <c r="A111" s="112"/>
      <c r="B111" s="134"/>
      <c r="C111" s="27"/>
      <c r="D111" s="137">
        <v>30</v>
      </c>
      <c r="E111" s="138"/>
      <c r="F111" s="138"/>
      <c r="G111" s="34" t="s">
        <v>830</v>
      </c>
      <c r="H111" s="112"/>
      <c r="M111" s="1"/>
      <c r="R111" s="3"/>
    </row>
    <row r="112" spans="1:18" ht="15.75">
      <c r="A112" s="112"/>
      <c r="B112" s="134"/>
      <c r="C112" s="27"/>
      <c r="D112" s="137"/>
      <c r="E112" s="138"/>
      <c r="F112" s="138"/>
      <c r="G112" s="31"/>
      <c r="H112" s="112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A116" s="112">
        <f>H116+(B116-SUM(D116:F117))</f>
        <v>594.98999999999978</v>
      </c>
      <c r="B116" s="134">
        <f>469+608.91</f>
        <v>1077.9099999999999</v>
      </c>
      <c r="C116" s="27" t="s">
        <v>832</v>
      </c>
      <c r="D116" s="137"/>
      <c r="E116" s="138">
        <v>469</v>
      </c>
      <c r="F116" s="138"/>
      <c r="G116" s="16" t="s">
        <v>838</v>
      </c>
      <c r="H116" s="112"/>
      <c r="M116" s="1"/>
      <c r="R116" s="3"/>
    </row>
    <row r="117" spans="1:18" ht="15.75">
      <c r="B117" s="134"/>
      <c r="C117" s="18"/>
      <c r="D117" s="137"/>
      <c r="E117" s="138">
        <v>13.92</v>
      </c>
      <c r="F117" s="138"/>
      <c r="G117" s="16" t="s">
        <v>844</v>
      </c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770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5530.4915974244996</v>
      </c>
      <c r="B120" s="135">
        <f>SUM(B106:B119)</f>
        <v>1665.3799999999999</v>
      </c>
      <c r="C120" s="17" t="s">
        <v>51</v>
      </c>
      <c r="D120" s="135">
        <f>SUM(D106:D119)</f>
        <v>403.49</v>
      </c>
      <c r="E120" s="135">
        <f>SUM(E106:E119)</f>
        <v>482.92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12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12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12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178</v>
      </c>
      <c r="M125" s="1"/>
      <c r="R125" s="3"/>
    </row>
    <row r="126" spans="1:18" ht="15.75">
      <c r="A126" s="112">
        <f>H126+(B126-SUM(D126:F126))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12">
        <v>15</v>
      </c>
      <c r="I126" s="89" t="s">
        <v>676</v>
      </c>
      <c r="M126" s="1"/>
      <c r="R126" s="3"/>
    </row>
    <row r="127" spans="1:18" ht="15.75">
      <c r="A127" s="112">
        <f>H127+(B127-SUM(D127:F128))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>
        <v>17.5</v>
      </c>
      <c r="I127" s="113">
        <f>D127+D128</f>
        <v>20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771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38.089999999999996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12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12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772</v>
      </c>
      <c r="D146" s="137">
        <v>24.87</v>
      </c>
      <c r="E146" s="138"/>
      <c r="F146" s="138"/>
      <c r="G146" s="16" t="s">
        <v>811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810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743</v>
      </c>
      <c r="D186" s="137">
        <v>64.95</v>
      </c>
      <c r="E186" s="138"/>
      <c r="F186" s="138"/>
      <c r="G186" s="16" t="s">
        <v>787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790</v>
      </c>
      <c r="D187" s="137">
        <v>25.99</v>
      </c>
      <c r="E187" s="138"/>
      <c r="F187" s="138"/>
      <c r="G187" s="16" t="s">
        <v>793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794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>
        <v>49.99</v>
      </c>
      <c r="E189" s="138"/>
      <c r="F189" s="138"/>
      <c r="G189" s="16" t="s">
        <v>839</v>
      </c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160.91999999999999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  <c r="H202" s="112"/>
    </row>
    <row r="203" spans="2:12" ht="15" customHeight="1" thickBot="1">
      <c r="B203" s="413"/>
      <c r="C203" s="414"/>
      <c r="D203" s="414"/>
      <c r="E203" s="414"/>
      <c r="F203" s="414"/>
      <c r="G203" s="415"/>
      <c r="H203" s="112"/>
    </row>
    <row r="204" spans="2:12" ht="15.75">
      <c r="B204" s="402" t="s">
        <v>8</v>
      </c>
      <c r="C204" s="403"/>
      <c r="D204" s="410" t="s">
        <v>9</v>
      </c>
      <c r="E204" s="410"/>
      <c r="F204" s="410"/>
      <c r="G204" s="403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808</v>
      </c>
      <c r="H206" s="112"/>
    </row>
    <row r="207" spans="2:12" ht="15.75">
      <c r="B207" s="134"/>
      <c r="C207" s="16"/>
      <c r="D207" s="137"/>
      <c r="E207" s="138"/>
      <c r="F207" s="138">
        <v>39</v>
      </c>
      <c r="G207" s="16" t="s">
        <v>835</v>
      </c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39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4" t="str">
        <f>AÑO!A31</f>
        <v>Deportes</v>
      </c>
      <c r="C222" s="411"/>
      <c r="D222" s="411"/>
      <c r="E222" s="411"/>
      <c r="F222" s="411"/>
      <c r="G222" s="412"/>
      <c r="H222" s="112"/>
    </row>
    <row r="223" spans="2:8" ht="15" customHeight="1" thickBot="1">
      <c r="B223" s="413"/>
      <c r="C223" s="414"/>
      <c r="D223" s="414"/>
      <c r="E223" s="414"/>
      <c r="F223" s="414"/>
      <c r="G223" s="415"/>
      <c r="H223" s="112"/>
    </row>
    <row r="224" spans="2:8" ht="15.75">
      <c r="B224" s="402" t="s">
        <v>8</v>
      </c>
      <c r="C224" s="403"/>
      <c r="D224" s="410" t="s">
        <v>9</v>
      </c>
      <c r="E224" s="410"/>
      <c r="F224" s="410"/>
      <c r="G224" s="403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>
        <v>21.66</v>
      </c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  <c r="H242" s="112"/>
    </row>
    <row r="243" spans="1:8" ht="15" customHeight="1" thickBot="1">
      <c r="B243" s="413"/>
      <c r="C243" s="414"/>
      <c r="D243" s="414"/>
      <c r="E243" s="414"/>
      <c r="F243" s="414"/>
      <c r="G243" s="415"/>
      <c r="H243" s="112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  <c r="H244" s="112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178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239</v>
      </c>
      <c r="D246" s="137">
        <v>24.46</v>
      </c>
      <c r="E246" s="138"/>
      <c r="F246" s="138"/>
      <c r="G246" s="16" t="s">
        <v>827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302.10000000000002</v>
      </c>
      <c r="B257" s="134">
        <f>0</f>
        <v>0</v>
      </c>
      <c r="C257" s="16" t="s">
        <v>744</v>
      </c>
      <c r="D257" s="137"/>
      <c r="E257" s="138">
        <v>100.67</v>
      </c>
      <c r="F257" s="138"/>
      <c r="G257" s="16" t="s">
        <v>242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401.77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100.67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  <c r="H262" s="112"/>
    </row>
    <row r="263" spans="1:9" ht="15" customHeight="1" thickBot="1">
      <c r="B263" s="413"/>
      <c r="C263" s="414"/>
      <c r="D263" s="414"/>
      <c r="E263" s="414"/>
      <c r="F263" s="414"/>
      <c r="G263" s="415"/>
      <c r="H263" s="112"/>
    </row>
    <row r="264" spans="1:9" ht="15.75">
      <c r="B264" s="402" t="s">
        <v>8</v>
      </c>
      <c r="C264" s="403"/>
      <c r="D264" s="410" t="s">
        <v>9</v>
      </c>
      <c r="E264" s="410"/>
      <c r="F264" s="410"/>
      <c r="G264" s="403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  <c r="H282" s="112"/>
    </row>
    <row r="283" spans="1:8" ht="15" customHeight="1" thickBot="1">
      <c r="B283" s="413"/>
      <c r="C283" s="414"/>
      <c r="D283" s="414"/>
      <c r="E283" s="414"/>
      <c r="F283" s="414"/>
      <c r="G283" s="415"/>
      <c r="H283" s="112"/>
    </row>
    <row r="284" spans="1:8" ht="15.75">
      <c r="B284" s="402" t="s">
        <v>8</v>
      </c>
      <c r="C284" s="403"/>
      <c r="D284" s="410" t="s">
        <v>9</v>
      </c>
      <c r="E284" s="410"/>
      <c r="F284" s="410"/>
      <c r="G284" s="403"/>
      <c r="H284" s="11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178</v>
      </c>
    </row>
    <row r="286" spans="1:8" ht="15.75">
      <c r="A286" s="112">
        <f>H286+(SUM(B286:B298)-SUM(D286:F298))</f>
        <v>17.309999999999775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796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797</v>
      </c>
      <c r="D287" s="137"/>
      <c r="E287" s="138">
        <v>34.369999999999997</v>
      </c>
      <c r="F287" s="138"/>
      <c r="G287" s="16" t="s">
        <v>818</v>
      </c>
      <c r="H287" s="112"/>
    </row>
    <row r="288" spans="1:8" ht="15.75">
      <c r="A288" s="112"/>
      <c r="B288" s="134"/>
      <c r="C288" s="16"/>
      <c r="D288" s="137"/>
      <c r="E288" s="138"/>
      <c r="F288" s="138">
        <v>7</v>
      </c>
      <c r="G288" s="16" t="s">
        <v>834</v>
      </c>
      <c r="H288" s="112"/>
    </row>
    <row r="289" spans="1:8" ht="15.75">
      <c r="A289" s="112"/>
      <c r="B289" s="134"/>
      <c r="C289" s="16"/>
      <c r="D289" s="137">
        <v>21.9</v>
      </c>
      <c r="E289" s="138"/>
      <c r="F289" s="138"/>
      <c r="G289" s="16" t="s">
        <v>836</v>
      </c>
      <c r="H289" s="112"/>
    </row>
    <row r="290" spans="1:8" ht="15.75">
      <c r="A290" s="112"/>
      <c r="B290" s="134">
        <v>17.07</v>
      </c>
      <c r="C290" s="16" t="s">
        <v>840</v>
      </c>
      <c r="D290" s="137">
        <v>17.07</v>
      </c>
      <c r="E290" s="138"/>
      <c r="F290" s="138"/>
      <c r="G290" s="16" t="s">
        <v>841</v>
      </c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20</v>
      </c>
      <c r="B299" s="135">
        <v>50</v>
      </c>
      <c r="C299" s="17" t="s">
        <v>745</v>
      </c>
      <c r="D299" s="135">
        <v>30</v>
      </c>
      <c r="E299" s="139"/>
      <c r="F299" s="139"/>
      <c r="G299" s="17"/>
      <c r="H299" s="112">
        <v>0</v>
      </c>
    </row>
    <row r="300" spans="1:8" ht="16.5" thickBot="1">
      <c r="A300" s="112">
        <f>SUM(A286:A299)</f>
        <v>37.309999999999775</v>
      </c>
      <c r="B300" s="135">
        <f>SUM(B286:B299)</f>
        <v>215.01999999999998</v>
      </c>
      <c r="C300" s="17" t="s">
        <v>51</v>
      </c>
      <c r="D300" s="135">
        <f>SUM(D286:D299)</f>
        <v>151.16999999999999</v>
      </c>
      <c r="E300" s="135">
        <f>SUM(E286:E299)</f>
        <v>34.369999999999997</v>
      </c>
      <c r="F300" s="135">
        <f>SUM(F286:F299)</f>
        <v>7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  <c r="H302" s="112"/>
    </row>
    <row r="303" spans="1:8" ht="15" customHeight="1" thickBot="1">
      <c r="B303" s="413"/>
      <c r="C303" s="414"/>
      <c r="D303" s="414"/>
      <c r="E303" s="414"/>
      <c r="F303" s="414"/>
      <c r="G303" s="415"/>
      <c r="H303" s="112"/>
    </row>
    <row r="304" spans="1:8" ht="15.75">
      <c r="B304" s="402" t="s">
        <v>8</v>
      </c>
      <c r="C304" s="403"/>
      <c r="D304" s="410" t="s">
        <v>9</v>
      </c>
      <c r="E304" s="410"/>
      <c r="F304" s="410"/>
      <c r="G304" s="403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218</v>
      </c>
      <c r="D306" s="137">
        <v>170.25</v>
      </c>
      <c r="E306" s="138"/>
      <c r="F306" s="138"/>
      <c r="G306" s="16" t="s">
        <v>784</v>
      </c>
      <c r="H306" s="112"/>
    </row>
    <row r="307" spans="2:8" ht="15.75">
      <c r="B307" s="134">
        <f>L55-B290</f>
        <v>719.68999999999994</v>
      </c>
      <c r="C307" s="27" t="s">
        <v>801</v>
      </c>
      <c r="D307" s="137">
        <v>32.369999999999997</v>
      </c>
      <c r="E307" s="138"/>
      <c r="F307" s="138"/>
      <c r="G307" s="16" t="s">
        <v>792</v>
      </c>
      <c r="H307" s="112"/>
    </row>
    <row r="308" spans="2:8" ht="15.75">
      <c r="B308" s="134">
        <f>L56</f>
        <v>39.75</v>
      </c>
      <c r="C308" s="27" t="s">
        <v>288</v>
      </c>
      <c r="D308" s="137"/>
      <c r="E308" s="138"/>
      <c r="F308" s="138">
        <v>80</v>
      </c>
      <c r="G308" s="16" t="s">
        <v>798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799</v>
      </c>
      <c r="H309" s="112"/>
    </row>
    <row r="310" spans="2:8" ht="15.75">
      <c r="B310" s="134"/>
      <c r="C310" s="16"/>
      <c r="D310" s="137">
        <v>25</v>
      </c>
      <c r="E310" s="138"/>
      <c r="F310" s="138"/>
      <c r="G310" s="16" t="s">
        <v>814</v>
      </c>
      <c r="H310" s="112"/>
    </row>
    <row r="311" spans="2:8" ht="15.75">
      <c r="B311" s="134"/>
      <c r="C311" s="16"/>
      <c r="D311" s="137"/>
      <c r="E311" s="138">
        <v>29.15</v>
      </c>
      <c r="F311" s="138"/>
      <c r="G311" s="16" t="s">
        <v>828</v>
      </c>
      <c r="H311" s="112"/>
    </row>
    <row r="312" spans="2:8" ht="15.75">
      <c r="B312" s="134"/>
      <c r="C312" s="16"/>
      <c r="D312" s="137">
        <v>10</v>
      </c>
      <c r="E312" s="138"/>
      <c r="F312" s="138"/>
      <c r="G312" s="16" t="s">
        <v>842</v>
      </c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889.43999999999994</v>
      </c>
      <c r="C320" s="17" t="s">
        <v>51</v>
      </c>
      <c r="D320" s="135">
        <f>SUM(D306:D319)</f>
        <v>312.62</v>
      </c>
      <c r="E320" s="135">
        <f>SUM(E306:E319)</f>
        <v>29.15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4" t="str">
        <f>AÑO!A36</f>
        <v>Nenas</v>
      </c>
      <c r="C322" s="411"/>
      <c r="D322" s="411"/>
      <c r="E322" s="411"/>
      <c r="F322" s="411"/>
      <c r="G322" s="412"/>
      <c r="H322" s="112"/>
    </row>
    <row r="323" spans="2:8" ht="15" customHeight="1" thickBot="1">
      <c r="B323" s="413"/>
      <c r="C323" s="414"/>
      <c r="D323" s="414"/>
      <c r="E323" s="414"/>
      <c r="F323" s="414"/>
      <c r="G323" s="415"/>
      <c r="H323" s="112"/>
    </row>
    <row r="324" spans="2:8" ht="15.75">
      <c r="B324" s="402" t="s">
        <v>8</v>
      </c>
      <c r="C324" s="403"/>
      <c r="D324" s="410" t="s">
        <v>9</v>
      </c>
      <c r="E324" s="410"/>
      <c r="F324" s="410"/>
      <c r="G324" s="403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>
        <v>15</v>
      </c>
      <c r="E326" s="138"/>
      <c r="F326" s="138"/>
      <c r="G326" s="16" t="s">
        <v>826</v>
      </c>
      <c r="H326" s="112"/>
    </row>
    <row r="327" spans="2:8" ht="15.75">
      <c r="B327" s="134">
        <v>0.02</v>
      </c>
      <c r="C327" s="16" t="s">
        <v>813</v>
      </c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4" t="str">
        <f>AÑO!A37</f>
        <v>Imprevistos</v>
      </c>
      <c r="C342" s="411"/>
      <c r="D342" s="411"/>
      <c r="E342" s="411"/>
      <c r="F342" s="411"/>
      <c r="G342" s="412"/>
      <c r="H342" s="112"/>
    </row>
    <row r="343" spans="2:8" ht="15" customHeight="1" thickBot="1">
      <c r="B343" s="413"/>
      <c r="C343" s="414"/>
      <c r="D343" s="414"/>
      <c r="E343" s="414"/>
      <c r="F343" s="414"/>
      <c r="G343" s="415"/>
      <c r="H343" s="112"/>
    </row>
    <row r="344" spans="2:8" ht="15.75">
      <c r="B344" s="402" t="s">
        <v>8</v>
      </c>
      <c r="C344" s="403"/>
      <c r="D344" s="410" t="s">
        <v>9</v>
      </c>
      <c r="E344" s="410"/>
      <c r="F344" s="410"/>
      <c r="G344" s="403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4" t="str">
        <f>AÑO!A38</f>
        <v>Gastos Curros</v>
      </c>
      <c r="C362" s="411"/>
      <c r="D362" s="411"/>
      <c r="E362" s="411"/>
      <c r="F362" s="411"/>
      <c r="G362" s="412"/>
      <c r="H362" s="112"/>
    </row>
    <row r="363" spans="2:8" ht="15" customHeight="1" thickBot="1">
      <c r="B363" s="413"/>
      <c r="C363" s="414"/>
      <c r="D363" s="414"/>
      <c r="E363" s="414"/>
      <c r="F363" s="414"/>
      <c r="G363" s="415"/>
      <c r="H363" s="112"/>
    </row>
    <row r="364" spans="2:8" ht="15.75">
      <c r="B364" s="402" t="s">
        <v>8</v>
      </c>
      <c r="C364" s="403"/>
      <c r="D364" s="410" t="s">
        <v>9</v>
      </c>
      <c r="E364" s="410"/>
      <c r="F364" s="410"/>
      <c r="G364" s="403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>
        <f>4.5+3.5+4.5+4.5</f>
        <v>17</v>
      </c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809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17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4" t="str">
        <f>AÑO!A39</f>
        <v>Dreamed Holidays</v>
      </c>
      <c r="C382" s="411"/>
      <c r="D382" s="411"/>
      <c r="E382" s="411"/>
      <c r="F382" s="411"/>
      <c r="G382" s="412"/>
      <c r="H382" s="112"/>
    </row>
    <row r="383" spans="2:8" ht="15" customHeight="1" thickBot="1">
      <c r="B383" s="413"/>
      <c r="C383" s="414"/>
      <c r="D383" s="414"/>
      <c r="E383" s="414"/>
      <c r="F383" s="414"/>
      <c r="G383" s="415"/>
      <c r="H383" s="112"/>
    </row>
    <row r="384" spans="2:8" ht="15.75">
      <c r="B384" s="402" t="s">
        <v>8</v>
      </c>
      <c r="C384" s="403"/>
      <c r="D384" s="410" t="s">
        <v>9</v>
      </c>
      <c r="E384" s="410"/>
      <c r="F384" s="410"/>
      <c r="G384" s="403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4" t="str">
        <f>AÑO!A40</f>
        <v>Financieros</v>
      </c>
      <c r="C402" s="411"/>
      <c r="D402" s="411"/>
      <c r="E402" s="411"/>
      <c r="F402" s="411"/>
      <c r="G402" s="412"/>
      <c r="H402" s="112"/>
    </row>
    <row r="403" spans="2:8" ht="15" customHeight="1" thickBot="1">
      <c r="B403" s="413"/>
      <c r="C403" s="414"/>
      <c r="D403" s="414"/>
      <c r="E403" s="414"/>
      <c r="F403" s="414"/>
      <c r="G403" s="415"/>
      <c r="H403" s="112"/>
    </row>
    <row r="404" spans="2:8" ht="15.75">
      <c r="B404" s="402" t="s">
        <v>8</v>
      </c>
      <c r="C404" s="403"/>
      <c r="D404" s="410" t="s">
        <v>9</v>
      </c>
      <c r="E404" s="410"/>
      <c r="F404" s="410"/>
      <c r="G404" s="403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759</v>
      </c>
      <c r="H406" s="112"/>
    </row>
    <row r="407" spans="2:8" ht="15.75">
      <c r="B407" s="134">
        <v>0.63</v>
      </c>
      <c r="C407" s="16" t="s">
        <v>762</v>
      </c>
      <c r="D407" s="137">
        <v>4.45</v>
      </c>
      <c r="E407" s="138"/>
      <c r="F407" s="138"/>
      <c r="G407" s="16" t="s">
        <v>763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  <c r="H422" s="112"/>
    </row>
    <row r="423" spans="1:8" ht="15" customHeight="1" thickBot="1">
      <c r="B423" s="407"/>
      <c r="C423" s="408"/>
      <c r="D423" s="408"/>
      <c r="E423" s="408"/>
      <c r="F423" s="408"/>
      <c r="G423" s="409"/>
      <c r="H423" s="112"/>
    </row>
    <row r="424" spans="1:8" ht="15.75">
      <c r="B424" s="402" t="s">
        <v>8</v>
      </c>
      <c r="C424" s="403"/>
      <c r="D424" s="410" t="s">
        <v>9</v>
      </c>
      <c r="E424" s="410"/>
      <c r="F424" s="410"/>
      <c r="G424" s="403"/>
      <c r="H424" s="112"/>
    </row>
    <row r="425" spans="1:8" ht="15.75">
      <c r="A425" s="113">
        <f>AÑO!C17</f>
        <v>5134.54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f>4300-268.61-4.5</f>
        <v>4026.89</v>
      </c>
      <c r="B426" s="134">
        <f>A425-SUM(A426:A439)</f>
        <v>-902.30000000000018</v>
      </c>
      <c r="C426" s="19" t="s">
        <v>219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39.75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736.76</v>
      </c>
      <c r="B431" s="134"/>
      <c r="C431" s="16"/>
      <c r="D431" s="137"/>
      <c r="E431" s="138"/>
      <c r="F431" s="138"/>
      <c r="G431" s="16"/>
      <c r="H431" s="112"/>
    </row>
    <row r="432" spans="1:8" ht="15.75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-902.30000000000018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4" t="str">
        <f>AÑO!A42</f>
        <v>Dinero Bloqueado</v>
      </c>
      <c r="C442" s="405"/>
      <c r="D442" s="405"/>
      <c r="E442" s="405"/>
      <c r="F442" s="405"/>
      <c r="G442" s="406"/>
      <c r="H442" s="112"/>
    </row>
    <row r="443" spans="2:8" ht="15" customHeight="1" thickBot="1">
      <c r="B443" s="407"/>
      <c r="C443" s="408"/>
      <c r="D443" s="408"/>
      <c r="E443" s="408"/>
      <c r="F443" s="408"/>
      <c r="G443" s="409"/>
      <c r="H443" s="112"/>
    </row>
    <row r="444" spans="2:8" ht="15.75">
      <c r="B444" s="402" t="s">
        <v>8</v>
      </c>
      <c r="C444" s="403"/>
      <c r="D444" s="410" t="s">
        <v>9</v>
      </c>
      <c r="E444" s="410"/>
      <c r="F444" s="410"/>
      <c r="G444" s="403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760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4" t="str">
        <f>AÑO!A43</f>
        <v>NULO</v>
      </c>
      <c r="C462" s="405"/>
      <c r="D462" s="405"/>
      <c r="E462" s="405"/>
      <c r="F462" s="405"/>
      <c r="G462" s="406"/>
      <c r="H462" s="112"/>
    </row>
    <row r="463" spans="2:8" ht="15" customHeight="1" thickBot="1">
      <c r="B463" s="407"/>
      <c r="C463" s="408"/>
      <c r="D463" s="408"/>
      <c r="E463" s="408"/>
      <c r="F463" s="408"/>
      <c r="G463" s="409"/>
      <c r="H463" s="112"/>
    </row>
    <row r="464" spans="2:8" ht="15.75">
      <c r="B464" s="402" t="s">
        <v>8</v>
      </c>
      <c r="C464" s="403"/>
      <c r="D464" s="410" t="s">
        <v>9</v>
      </c>
      <c r="E464" s="410"/>
      <c r="F464" s="410"/>
      <c r="G464" s="403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4" t="str">
        <f>AÑO!A44</f>
        <v>NULO</v>
      </c>
      <c r="C482" s="405"/>
      <c r="D482" s="405"/>
      <c r="E482" s="405"/>
      <c r="F482" s="405"/>
      <c r="G482" s="406"/>
      <c r="H482" s="112"/>
    </row>
    <row r="483" spans="2:8" ht="15" customHeight="1" thickBot="1">
      <c r="B483" s="407"/>
      <c r="C483" s="408"/>
      <c r="D483" s="408"/>
      <c r="E483" s="408"/>
      <c r="F483" s="408"/>
      <c r="G483" s="409"/>
      <c r="H483" s="112"/>
    </row>
    <row r="484" spans="2:8" ht="15.75">
      <c r="B484" s="402" t="s">
        <v>8</v>
      </c>
      <c r="C484" s="403"/>
      <c r="D484" s="410" t="s">
        <v>9</v>
      </c>
      <c r="E484" s="410"/>
      <c r="F484" s="410"/>
      <c r="G484" s="403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4" t="str">
        <f>AÑO!A45</f>
        <v>OTROS</v>
      </c>
      <c r="C502" s="405"/>
      <c r="D502" s="405"/>
      <c r="E502" s="405"/>
      <c r="F502" s="405"/>
      <c r="G502" s="406"/>
      <c r="H502" s="112"/>
    </row>
    <row r="503" spans="2:8" ht="15" customHeight="1" thickBot="1">
      <c r="B503" s="407"/>
      <c r="C503" s="408"/>
      <c r="D503" s="408"/>
      <c r="E503" s="408"/>
      <c r="F503" s="408"/>
      <c r="G503" s="409"/>
      <c r="H503" s="112"/>
    </row>
    <row r="504" spans="2:8" ht="15.75">
      <c r="B504" s="402" t="s">
        <v>8</v>
      </c>
      <c r="C504" s="403"/>
      <c r="D504" s="410" t="s">
        <v>9</v>
      </c>
      <c r="E504" s="410"/>
      <c r="F504" s="410"/>
      <c r="G504" s="403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738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49" zoomScaleNormal="100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206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6035.06</v>
      </c>
      <c r="L5" s="433"/>
      <c r="M5" s="1"/>
      <c r="N5" s="1"/>
      <c r="R5" s="3"/>
    </row>
    <row r="6" spans="1:22" ht="15.75">
      <c r="A6" s="112">
        <f>'01'!A6+(B6-SUM(D6:F6))</f>
        <v>395.26</v>
      </c>
      <c r="B6" s="133">
        <v>389.26</v>
      </c>
      <c r="C6" s="19" t="s">
        <v>634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620.16</v>
      </c>
      <c r="L6" s="417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6">
        <v>8564.5</v>
      </c>
      <c r="L7" s="417"/>
      <c r="M7" s="1"/>
      <c r="N7" s="1"/>
      <c r="R7" s="3"/>
    </row>
    <row r="8" spans="1:22" ht="15.75">
      <c r="A8" s="112">
        <f>'01'!A8+(B8-SUM(D8:F8))</f>
        <v>-112.31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6954.14</v>
      </c>
      <c r="L8" s="41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6">
        <v>9496.23</v>
      </c>
      <c r="L9" s="417"/>
      <c r="M9" s="1"/>
      <c r="N9" s="1"/>
      <c r="R9" s="3"/>
    </row>
    <row r="10" spans="1:22" ht="15.75">
      <c r="A10" s="112">
        <f>'01'!A10+(B10-SUM(D10:F10))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v>1804</v>
      </c>
      <c r="L10" s="417"/>
      <c r="M10" s="1" t="s">
        <v>153</v>
      </c>
      <c r="N10" s="1"/>
      <c r="R10" s="3"/>
    </row>
    <row r="11" spans="1:22" ht="15.75">
      <c r="A11" s="112">
        <f>'01'!A11+(B11-SUM(D11:F11))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6">
        <f>315+50</f>
        <v>365</v>
      </c>
      <c r="L11" s="417"/>
      <c r="M11" s="1"/>
      <c r="N11" s="1"/>
      <c r="R11" s="3"/>
    </row>
    <row r="12" spans="1:22" ht="15.75">
      <c r="A12" s="112">
        <f>'01'!A12+(B12-SUM(D12:F12))</f>
        <v>76.5</v>
      </c>
      <c r="B12" s="134">
        <v>6.5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0</v>
      </c>
      <c r="L12" s="417"/>
      <c r="M12" s="92"/>
      <c r="N12" s="1"/>
      <c r="R12" s="3"/>
    </row>
    <row r="13" spans="1:22" ht="15.75">
      <c r="A13" s="112">
        <f>'01'!A13+(B13-SUM(D13:F13))</f>
        <v>550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>
        <f>'01'!A14+(B14-SUM(D14:F14))</f>
        <v>1269.9991905564923</v>
      </c>
      <c r="B14" s="134">
        <f>70</f>
        <v>70</v>
      </c>
      <c r="C14" s="16" t="s">
        <v>275</v>
      </c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>
        <f>'01'!A15+(B15-SUM(D15:F15))</f>
        <v>301.60000000000002</v>
      </c>
      <c r="B15" s="134">
        <v>1.6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8">
        <f>SUM(K5:K18)</f>
        <v>33839.089999999997</v>
      </c>
      <c r="L19" s="419"/>
      <c r="M19" s="1"/>
      <c r="N19" s="1"/>
      <c r="R19" s="3"/>
    </row>
    <row r="20" spans="1:18" ht="16.5" thickBot="1">
      <c r="A20" s="112">
        <f>SUM(A6:A15)</f>
        <v>3205.8191905564922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32035.089999999997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238</v>
      </c>
      <c r="K25" s="425"/>
      <c r="L25" s="198"/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'01'!A27+(B27-SUM(D27:F27))</f>
        <v>248.09999999999991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'01'!A28+(B28-SUM(D28:F28))</f>
        <v>125.73000000000002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'01'!A29+(B29-SUM(D29:F29))</f>
        <v>19.820000000000004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226</v>
      </c>
      <c r="K30" s="425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664</v>
      </c>
      <c r="D31" s="137"/>
      <c r="E31" s="138"/>
      <c r="F31" s="138"/>
      <c r="G31" s="16"/>
      <c r="H31" s="1"/>
      <c r="I31" s="422"/>
      <c r="J31" s="426" t="s">
        <v>224</v>
      </c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204</v>
      </c>
      <c r="J35" s="424" t="s">
        <v>233</v>
      </c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1419.9299999999998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849</v>
      </c>
      <c r="K45" s="425"/>
      <c r="L45" s="198">
        <v>0</v>
      </c>
      <c r="M45" s="1"/>
      <c r="R45" s="3"/>
    </row>
    <row r="46" spans="1:18" ht="15.75">
      <c r="A46" s="1"/>
      <c r="B46" s="133">
        <f>415+11.75</f>
        <v>426.75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 t="s">
        <v>709</v>
      </c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426.75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223</v>
      </c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/>
      <c r="B66" s="133">
        <v>180</v>
      </c>
      <c r="C66" s="19" t="s">
        <v>31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 t="s">
        <v>764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4192.5115974244991</v>
      </c>
      <c r="B106" s="133">
        <f>258.47+50</f>
        <v>308.47000000000003</v>
      </c>
      <c r="C106" s="18" t="s">
        <v>767</v>
      </c>
      <c r="D106" s="137"/>
      <c r="E106" s="138"/>
      <c r="F106" s="138"/>
      <c r="G106" s="31" t="s">
        <v>765</v>
      </c>
      <c r="H106" s="1"/>
      <c r="M106" s="1"/>
      <c r="R106" s="3"/>
    </row>
    <row r="107" spans="1:18" ht="15.75">
      <c r="A107" s="112">
        <f>'01'!A107+(B107-SUM(D107:F107))</f>
        <v>71.660000000000053</v>
      </c>
      <c r="B107" s="134">
        <v>71</v>
      </c>
      <c r="C107" s="18" t="s">
        <v>766</v>
      </c>
      <c r="D107" s="137"/>
      <c r="E107" s="138"/>
      <c r="F107" s="138"/>
      <c r="G107" s="31" t="s">
        <v>766</v>
      </c>
      <c r="H107" s="1"/>
      <c r="M107" s="1"/>
      <c r="R107" s="3"/>
    </row>
    <row r="108" spans="1:18" ht="15.75">
      <c r="A108" s="112">
        <f>'01'!A108+(B108-SUM(D108:F108))</f>
        <v>290</v>
      </c>
      <c r="B108" s="134">
        <f>90+L45</f>
        <v>90</v>
      </c>
      <c r="C108" s="18" t="s">
        <v>768</v>
      </c>
      <c r="D108" s="137"/>
      <c r="E108" s="138"/>
      <c r="F108" s="138"/>
      <c r="G108" s="34" t="s">
        <v>768</v>
      </c>
      <c r="H108" s="1"/>
      <c r="M108" s="1"/>
      <c r="R108" s="3"/>
    </row>
    <row r="109" spans="1:18" ht="15.75">
      <c r="A109" s="112">
        <f>'01'!A109+(B109-SUM(D109:F109))</f>
        <v>39.29</v>
      </c>
      <c r="B109" s="134">
        <v>39</v>
      </c>
      <c r="C109" s="18" t="s">
        <v>769</v>
      </c>
      <c r="D109" s="137"/>
      <c r="E109" s="138"/>
      <c r="F109" s="138"/>
      <c r="G109" s="31" t="s">
        <v>769</v>
      </c>
      <c r="H109" s="1"/>
      <c r="M109" s="1"/>
      <c r="R109" s="3"/>
    </row>
    <row r="110" spans="1:18" ht="15.75">
      <c r="A110" s="112">
        <f>'01'!A110+(B110-SUM(D110:F115))</f>
        <v>452.58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'01'!A116+(B116-SUM(D116:F117))</f>
        <v>594.98999999999978</v>
      </c>
      <c r="B116" s="134"/>
      <c r="C116" s="27" t="s">
        <v>832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567.93000000000006</v>
      </c>
      <c r="B118" s="134">
        <v>70</v>
      </c>
      <c r="C118" s="18" t="s">
        <v>770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6208.9615974244989</v>
      </c>
      <c r="B120" s="135">
        <f>SUM(B106:B119)</f>
        <v>678.47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27.5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676</v>
      </c>
      <c r="I127" s="113">
        <f>D127+D128+'01'!I127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16.089999999999996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771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91.09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743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'01'!A246+(B246-SUM(D246:F255))</f>
        <v>79.669999999999987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'01'!A257+(B257-SUM(D257:F257))</f>
        <v>302.10000000000002</v>
      </c>
      <c r="B257" s="134">
        <f>0</f>
        <v>0</v>
      </c>
      <c r="C257" s="16" t="s">
        <v>806</v>
      </c>
      <c r="D257" s="137"/>
      <c r="E257" s="138"/>
      <c r="F257" s="138"/>
      <c r="G257" s="16" t="s">
        <v>242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451.77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10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10" t="s">
        <v>9</v>
      </c>
      <c r="E284" s="410"/>
      <c r="F284" s="410"/>
      <c r="G284" s="403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77.309999999999775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70</v>
      </c>
      <c r="B299" s="135">
        <v>50</v>
      </c>
      <c r="C299" s="17" t="s">
        <v>745</v>
      </c>
      <c r="D299" s="135"/>
      <c r="E299" s="139"/>
      <c r="F299" s="139"/>
      <c r="G299" s="17"/>
    </row>
    <row r="300" spans="1:8" ht="16.5" thickBot="1">
      <c r="A300" s="112">
        <f>SUM(A286:A299)</f>
        <v>147.30999999999977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807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10" t="s">
        <v>9</v>
      </c>
      <c r="E424" s="410"/>
      <c r="F424" s="410"/>
      <c r="G424" s="403"/>
    </row>
    <row r="425" spans="1:8">
      <c r="A425" s="113">
        <f>AÑO!G17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-4300</v>
      </c>
      <c r="C426" s="19" t="s">
        <v>219</v>
      </c>
      <c r="D426" s="137"/>
      <c r="E426" s="138"/>
      <c r="F426" s="138"/>
      <c r="G426" s="16"/>
      <c r="H426" s="112">
        <v>8120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AÑO!J41-'02'!H426</f>
        <v>-4747.1799999999976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738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55" workbookViewId="0">
      <selection activeCell="G14" sqref="G14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1559.34</v>
      </c>
      <c r="L5" s="433"/>
      <c r="M5" s="1"/>
      <c r="N5" s="1"/>
      <c r="R5" s="3"/>
    </row>
    <row r="6" spans="1:22" ht="15.75">
      <c r="A6" s="112">
        <f>'02'!A6+(B6-SUM(D6:F6))</f>
        <v>784.52</v>
      </c>
      <c r="B6" s="133">
        <v>389.26</v>
      </c>
      <c r="C6" s="19" t="s">
        <v>634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620.08000000000004</v>
      </c>
      <c r="L6" s="417"/>
      <c r="M6" s="1" t="s">
        <v>162</v>
      </c>
      <c r="N6" s="1"/>
      <c r="R6" s="3"/>
    </row>
    <row r="7" spans="1:22" ht="15.75">
      <c r="A7" s="112">
        <f>'02'!A7+(B7-SUM(D7:F7))</f>
        <v>707.47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6">
        <v>8577.0300000000007</v>
      </c>
      <c r="L7" s="417"/>
      <c r="M7" s="1"/>
      <c r="N7" s="1"/>
      <c r="R7" s="3"/>
    </row>
    <row r="8" spans="1:22" ht="15.75">
      <c r="A8" s="112">
        <f>'02'!A8+(B8-SUM(D8:F8))</f>
        <v>-112.31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3501.87</v>
      </c>
      <c r="L8" s="417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6">
        <v>4167.34</v>
      </c>
      <c r="L9" s="417"/>
      <c r="M9" s="1"/>
      <c r="N9" s="1"/>
      <c r="R9" s="3"/>
    </row>
    <row r="10" spans="1:22" ht="15.75">
      <c r="A10" s="112">
        <f>'02'!A10+(B10-SUM(D10:F10))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'02'!A11+(B11-SUM(D11:F11))</f>
        <v>90.72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6">
        <v>255</v>
      </c>
      <c r="L11" s="417"/>
      <c r="M11" s="1"/>
      <c r="N11" s="1"/>
      <c r="R11" s="3"/>
    </row>
    <row r="12" spans="1:22" ht="15.75">
      <c r="A12" s="112">
        <f>'02'!A12+(B12-SUM(D12:F12))</f>
        <v>83</v>
      </c>
      <c r="B12" s="134">
        <v>6.5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5092.08</v>
      </c>
      <c r="L12" s="417"/>
      <c r="M12" s="92"/>
      <c r="N12" s="1"/>
      <c r="R12" s="3"/>
    </row>
    <row r="13" spans="1:22" ht="15.75">
      <c r="A13" s="112">
        <f>'02'!A13+(B13-SUM(D13:F13))</f>
        <v>550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>
        <f>'02'!A14+(B14-SUM(D14:F14))</f>
        <v>1339.9991905564923</v>
      </c>
      <c r="B14" s="134">
        <f>70</f>
        <v>70</v>
      </c>
      <c r="C14" s="16" t="s">
        <v>275</v>
      </c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>
        <f>'02'!A15+(B15-SUM(D15:F15))</f>
        <v>303.20000000000005</v>
      </c>
      <c r="B15" s="134">
        <v>1.6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8">
        <f>SUM(K5:K18)</f>
        <v>25574.760000000002</v>
      </c>
      <c r="L19" s="419"/>
      <c r="M19" s="1"/>
      <c r="N19" s="1"/>
      <c r="R19" s="3"/>
    </row>
    <row r="20" spans="1:18" ht="16.5" thickBot="1">
      <c r="A20" s="112">
        <f>SUM(A6:A15)</f>
        <v>3782.5991905564924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238</v>
      </c>
      <c r="K25" s="425"/>
      <c r="L25" s="198"/>
      <c r="M25" s="1"/>
      <c r="R25" s="3"/>
    </row>
    <row r="26" spans="1:18" ht="15.75">
      <c r="A26" s="112">
        <f>'02'!A26+(B26-SUM(D26:F26))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'02'!A27+(B27-SUM(D27:F27))</f>
        <v>438.09999999999991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'02'!A28+(B28-SUM(D28:F28))</f>
        <v>165.73000000000002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'02'!A29+(B29-SUM(D29:F29))</f>
        <v>38.820000000000007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'02'!A30+(B30-SUM(D30:F30))</f>
        <v>76.279999999999973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226</v>
      </c>
      <c r="K30" s="425"/>
      <c r="L30" s="198"/>
      <c r="M30" s="1"/>
      <c r="R30" s="3"/>
    </row>
    <row r="31" spans="1:18" ht="15.75">
      <c r="A31" s="112">
        <f>'02'!A31+(B31-SUM(D31:F31))</f>
        <v>65</v>
      </c>
      <c r="B31" s="134">
        <v>10</v>
      </c>
      <c r="C31" s="16" t="s">
        <v>664</v>
      </c>
      <c r="D31" s="137"/>
      <c r="E31" s="138"/>
      <c r="F31" s="138"/>
      <c r="G31" s="16"/>
      <c r="H31" s="1"/>
      <c r="I31" s="422"/>
      <c r="J31" s="426" t="s">
        <v>224</v>
      </c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204</v>
      </c>
      <c r="J35" s="424" t="s">
        <v>233</v>
      </c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2583.9300000000003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849</v>
      </c>
      <c r="K45" s="425"/>
      <c r="L45" s="198"/>
      <c r="M45" s="1"/>
      <c r="R45" s="3"/>
    </row>
    <row r="46" spans="1:18" ht="15.75">
      <c r="A46" s="1"/>
      <c r="B46" s="133">
        <f>415+11.75</f>
        <v>426.75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12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 t="s">
        <v>709</v>
      </c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426.75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850</v>
      </c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/>
      <c r="B66" s="133">
        <v>180</v>
      </c>
      <c r="C66" s="19"/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/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4500.9815974244993</v>
      </c>
      <c r="B106" s="133">
        <f>258.47+50</f>
        <v>308.47000000000003</v>
      </c>
      <c r="C106" s="18" t="s">
        <v>767</v>
      </c>
      <c r="D106" s="137"/>
      <c r="E106" s="138"/>
      <c r="F106" s="138"/>
      <c r="G106" s="31" t="s">
        <v>765</v>
      </c>
      <c r="H106" s="1"/>
      <c r="M106" s="1"/>
      <c r="R106" s="3"/>
    </row>
    <row r="107" spans="1:18" ht="15.75">
      <c r="A107" s="112">
        <f>'02'!A107+(B107-SUM(D107:F107))</f>
        <v>142.66000000000005</v>
      </c>
      <c r="B107" s="134">
        <v>71</v>
      </c>
      <c r="C107" s="18" t="s">
        <v>766</v>
      </c>
      <c r="D107" s="137"/>
      <c r="E107" s="138"/>
      <c r="F107" s="138"/>
      <c r="G107" s="31" t="s">
        <v>766</v>
      </c>
      <c r="H107" s="1"/>
      <c r="M107" s="1"/>
      <c r="R107" s="3"/>
    </row>
    <row r="108" spans="1:18" ht="15.75">
      <c r="A108" s="112">
        <f>'02'!A108+(B108-SUM(D108:F108))</f>
        <v>380</v>
      </c>
      <c r="B108" s="134">
        <f>90+L45</f>
        <v>90</v>
      </c>
      <c r="C108" s="18" t="s">
        <v>768</v>
      </c>
      <c r="D108" s="137"/>
      <c r="E108" s="138"/>
      <c r="F108" s="138"/>
      <c r="G108" s="34" t="s">
        <v>768</v>
      </c>
      <c r="H108" s="1"/>
      <c r="M108" s="1"/>
      <c r="R108" s="3"/>
    </row>
    <row r="109" spans="1:18" ht="15.75">
      <c r="A109" s="112">
        <f>'02'!A109+(B109-SUM(D109:F109))</f>
        <v>78.289999999999992</v>
      </c>
      <c r="B109" s="134">
        <v>39</v>
      </c>
      <c r="C109" s="18" t="s">
        <v>769</v>
      </c>
      <c r="D109" s="137"/>
      <c r="E109" s="138"/>
      <c r="F109" s="138"/>
      <c r="G109" s="31" t="s">
        <v>769</v>
      </c>
      <c r="H109" s="1"/>
      <c r="M109" s="1"/>
      <c r="R109" s="3"/>
    </row>
    <row r="110" spans="1:18" ht="15.75">
      <c r="A110" s="112">
        <f>'02'!A110+(B110-SUM(D110:F110))</f>
        <v>552.57999999999993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'02'!A116+(B116-SUM(D116:F116))</f>
        <v>594.98999999999978</v>
      </c>
      <c r="B116" s="134"/>
      <c r="C116" s="27" t="s">
        <v>832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'02'!A118+(B118-SUM(D118:F118))</f>
        <v>637.93000000000006</v>
      </c>
      <c r="B118" s="134">
        <v>70</v>
      </c>
      <c r="C118" s="18" t="s">
        <v>770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6887.4315974244992</v>
      </c>
      <c r="B120" s="135">
        <f>SUM(B106:B119)</f>
        <v>678.47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'02'!A126+(B126-SUM(D126:F126))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'02'!A127+(B127-SUM(D127:F128))</f>
        <v>42.5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676</v>
      </c>
      <c r="I127" s="113">
        <f>D127+D128+'02'!I127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'02'!A129+(B129-SUM(D129:F129))</f>
        <v>24.089999999999996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'02'!A130+(B130-SUM(D130:F130))</f>
        <v>7.5</v>
      </c>
      <c r="B130" s="134">
        <v>2.5</v>
      </c>
      <c r="C130" s="16" t="s">
        <v>771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144.09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/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/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8" ht="15" customHeight="1" thickBot="1">
      <c r="B243" s="413"/>
      <c r="C243" s="414"/>
      <c r="D243" s="414"/>
      <c r="E243" s="414"/>
      <c r="F243" s="414"/>
      <c r="G243" s="415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'02'!A246+(B246-SUM(D246:F255))</f>
        <v>129.66999999999999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8" ht="15" customHeight="1">
      <c r="A247" s="112"/>
      <c r="B247" s="134"/>
      <c r="C247" s="16"/>
      <c r="D247" s="137"/>
      <c r="E247" s="138"/>
      <c r="F247" s="138"/>
      <c r="G247" s="16"/>
    </row>
    <row r="248" spans="1:8" ht="15.75">
      <c r="A248" s="112"/>
      <c r="B248" s="134"/>
      <c r="C248" s="16"/>
      <c r="D248" s="137"/>
      <c r="E248" s="138"/>
      <c r="F248" s="138"/>
      <c r="G248" s="16"/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 ht="15.75">
      <c r="A250" s="112"/>
      <c r="B250" s="134"/>
      <c r="C250" s="16"/>
      <c r="D250" s="137"/>
      <c r="E250" s="138"/>
      <c r="F250" s="138"/>
      <c r="G250" s="16"/>
    </row>
    <row r="251" spans="1:8" ht="15.75">
      <c r="A251" s="112"/>
      <c r="B251" s="134"/>
      <c r="C251" s="16"/>
      <c r="D251" s="137"/>
      <c r="E251" s="138"/>
      <c r="F251" s="138"/>
      <c r="G251" s="16"/>
    </row>
    <row r="252" spans="1:8" ht="15.75">
      <c r="A252" s="112"/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 ht="15.75">
      <c r="A254" s="112"/>
      <c r="B254" s="134"/>
      <c r="C254" s="16"/>
      <c r="D254" s="137"/>
      <c r="E254" s="138"/>
      <c r="F254" s="138"/>
      <c r="G254" s="16"/>
    </row>
    <row r="255" spans="1:8" ht="15.75">
      <c r="A255" s="112"/>
      <c r="B255" s="134"/>
      <c r="C255" s="16"/>
      <c r="D255" s="137"/>
      <c r="E255" s="138"/>
      <c r="F255" s="138"/>
      <c r="G255" s="16"/>
    </row>
    <row r="256" spans="1:8" ht="15.75">
      <c r="A256" s="112">
        <f>'02'!A256+(B256-SUM(D256:F256))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  <c r="H256" s="113"/>
    </row>
    <row r="257" spans="1:9" ht="15.75">
      <c r="A257" s="112">
        <f>'02'!A257+(B257-SUM(D257:F257))</f>
        <v>302.10000000000002</v>
      </c>
      <c r="B257" s="134">
        <f>0</f>
        <v>0</v>
      </c>
      <c r="C257" s="16" t="s">
        <v>851</v>
      </c>
      <c r="D257" s="137"/>
      <c r="E257" s="138"/>
      <c r="F257" s="138"/>
      <c r="G257" s="16" t="s">
        <v>242</v>
      </c>
      <c r="I257" s="89">
        <f>1208-(100.67*10)</f>
        <v>201.29999999999995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501.77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10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/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10" t="s">
        <v>9</v>
      </c>
      <c r="E284" s="410"/>
      <c r="F284" s="410"/>
      <c r="G284" s="403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'02'!A286+(SUM(B286:B298)-SUM(D286:F298))</f>
        <v>137.30999999999977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'02'!A299+(B299-SUM(D299:F299))</f>
        <v>120</v>
      </c>
      <c r="B299" s="135">
        <v>50</v>
      </c>
      <c r="C299" s="17" t="s">
        <v>745</v>
      </c>
      <c r="D299" s="135"/>
      <c r="E299" s="139"/>
      <c r="F299" s="139"/>
      <c r="G299" s="17"/>
    </row>
    <row r="300" spans="1:8" ht="16.5" thickBot="1">
      <c r="A300" s="112">
        <f>SUM(A286:A299)</f>
        <v>257.30999999999977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 t="s">
        <v>236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10" t="s">
        <v>9</v>
      </c>
      <c r="E424" s="410"/>
      <c r="F424" s="410"/>
      <c r="G424" s="403"/>
    </row>
    <row r="425" spans="1:8">
      <c r="A425" s="113">
        <f>AÑO!K17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-4300</v>
      </c>
      <c r="C426" s="19" t="s">
        <v>219</v>
      </c>
      <c r="D426" s="137"/>
      <c r="E426" s="138"/>
      <c r="F426" s="138"/>
      <c r="G426" s="16"/>
      <c r="H426" s="112">
        <v>8120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AÑO!J41-'02'!H426</f>
        <v>-4747.1799999999976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A431" s="113"/>
      <c r="B431" s="134"/>
      <c r="C431" s="16"/>
      <c r="D431" s="137"/>
      <c r="E431" s="138"/>
      <c r="F431" s="138"/>
      <c r="G431" s="16"/>
    </row>
    <row r="432" spans="1:8">
      <c r="A432" s="113"/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9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/>
      <c r="B466" s="134"/>
      <c r="C466" s="16"/>
      <c r="D466" s="137"/>
      <c r="E466" s="138"/>
      <c r="F466" s="138"/>
      <c r="G466" s="16"/>
    </row>
    <row r="467" spans="1:9" ht="15.75">
      <c r="A467" s="112"/>
      <c r="B467" s="134"/>
      <c r="C467" s="16"/>
      <c r="D467" s="137"/>
      <c r="E467" s="138"/>
      <c r="F467" s="138"/>
      <c r="G467" s="16"/>
    </row>
    <row r="468" spans="1:9" ht="15.75">
      <c r="A468" s="112"/>
      <c r="B468" s="134"/>
      <c r="C468" s="16"/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738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861.84</v>
      </c>
      <c r="L5" s="433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620.08000000000004</v>
      </c>
      <c r="L6" s="417"/>
      <c r="M6" s="1" t="s">
        <v>162</v>
      </c>
      <c r="N6" s="1"/>
      <c r="R6" s="3"/>
    </row>
    <row r="7" spans="1:22" ht="15.75">
      <c r="A7" s="112">
        <f>'03'!A7+(B7-SUM(D7:F7))</f>
        <v>774.66000000000008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10075.709999999999</v>
      </c>
      <c r="L7" s="417"/>
      <c r="M7" s="1"/>
      <c r="N7" s="1"/>
      <c r="R7" s="3"/>
    </row>
    <row r="8" spans="1:22" ht="15.75">
      <c r="A8" s="112">
        <f>'03'!A8+(B8-SUM(D8:F8))</f>
        <v>-214.75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3501.87</v>
      </c>
      <c r="L8" s="41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35.96</v>
      </c>
      <c r="L9" s="417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'03'!A11+(B11-SUM(D11:F11))</f>
        <v>90.710000000000008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370</v>
      </c>
      <c r="L11" s="417"/>
      <c r="M11" s="1"/>
      <c r="N11" s="1"/>
      <c r="R11" s="3"/>
    </row>
    <row r="12" spans="1:22" ht="15.75">
      <c r="A12" s="112">
        <f>'03'!A12+(B12-SUM(D12:F12))</f>
        <v>108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5092.08+4084.2</f>
        <v>9176.2799999999988</v>
      </c>
      <c r="L12" s="417"/>
      <c r="M12" s="92"/>
      <c r="N12" s="1"/>
      <c r="R12" s="3"/>
    </row>
    <row r="13" spans="1:22" ht="15.75">
      <c r="A13" s="112">
        <f>'03'!A13+(B13-SUM(D13:F13))</f>
        <v>556.5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2135.6400000000003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238</v>
      </c>
      <c r="K25" s="42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'03'!A27+(B27-SUM(D27:F27))</f>
        <v>442.1099999999999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'03'!A28+(B28-SUM(D28:F28))</f>
        <v>205.73000000000002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'03'!A29+(B29-SUM(D29:F29))</f>
        <v>38.870000000000005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'03'!A30+(B30-SUM(D30:F30))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234</v>
      </c>
      <c r="K30" s="42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252</v>
      </c>
      <c r="K31" s="42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226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204</v>
      </c>
      <c r="J35" s="424"/>
      <c r="K35" s="42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2562.9899999999998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246</v>
      </c>
      <c r="K40" s="42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266</v>
      </c>
      <c r="K41" s="427"/>
      <c r="L41" s="229">
        <v>352.82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 t="s">
        <v>58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267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273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40</v>
      </c>
      <c r="C48" s="16" t="s">
        <v>251</v>
      </c>
      <c r="D48" s="137">
        <v>5.35</v>
      </c>
      <c r="E48" s="138"/>
      <c r="F48" s="138"/>
      <c r="G48" s="16" t="s">
        <v>278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 t="s">
        <v>283</v>
      </c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-146</v>
      </c>
      <c r="C50" s="16" t="s">
        <v>286</v>
      </c>
      <c r="D50" s="137"/>
      <c r="E50" s="138"/>
      <c r="F50" s="138"/>
      <c r="G50" s="16"/>
      <c r="H50" s="1"/>
      <c r="I50" s="421" t="str">
        <f>AÑO!A13</f>
        <v>Gubernamental</v>
      </c>
      <c r="J50" s="424" t="s">
        <v>255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39">
        <f>'03'!G307</f>
        <v>0</v>
      </c>
      <c r="K55" s="42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2">
        <f>'03'!G309</f>
        <v>0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270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/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'03'!A66+(B66+B67-SUM(D66:F78))</f>
        <v>59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274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-50</v>
      </c>
      <c r="C67" s="16" t="s">
        <v>286</v>
      </c>
      <c r="D67" s="137">
        <v>41</v>
      </c>
      <c r="E67" s="138"/>
      <c r="F67" s="138"/>
      <c r="G67" s="31" t="s">
        <v>280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10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69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57.56</v>
      </c>
      <c r="E86" s="138"/>
      <c r="F86" s="138"/>
      <c r="G86" s="16" t="s">
        <v>264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281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287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4500.9815974244993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142.75000000000006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366</v>
      </c>
      <c r="B108" s="134">
        <v>50</v>
      </c>
      <c r="C108" s="18" t="s">
        <v>180</v>
      </c>
      <c r="D108" s="137">
        <v>50</v>
      </c>
      <c r="E108" s="138"/>
      <c r="F108" s="138"/>
      <c r="G108" s="34" t="s">
        <v>276</v>
      </c>
      <c r="H108" s="1"/>
      <c r="M108" s="1"/>
      <c r="R108" s="3"/>
    </row>
    <row r="109" spans="1:18" ht="15.75">
      <c r="A109" s="112">
        <f>'03'!A109+(B109+B110+B111-SUM(D110:F119))</f>
        <v>1634.1699999999998</v>
      </c>
      <c r="B109" s="134">
        <v>67.53</v>
      </c>
      <c r="C109" s="18" t="s">
        <v>277</v>
      </c>
      <c r="D109" s="137">
        <v>11</v>
      </c>
      <c r="E109" s="138"/>
      <c r="F109" s="138">
        <v>3</v>
      </c>
      <c r="G109" s="31" t="s">
        <v>282</v>
      </c>
      <c r="H109" s="1"/>
      <c r="M109" s="1"/>
      <c r="R109" s="3"/>
    </row>
    <row r="110" spans="1:18" ht="15.75">
      <c r="B110" s="134">
        <v>1370</v>
      </c>
      <c r="C110" s="18" t="s">
        <v>265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266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5009.7315974244993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72.5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37.5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676</v>
      </c>
      <c r="I127" s="113">
        <f>D127+D128+'03'!I127</f>
        <v>40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24.099999999999994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248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256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259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261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268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272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285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25.99</f>
        <v>25.99</v>
      </c>
      <c r="E186" s="138"/>
      <c r="F186" s="138"/>
      <c r="G186" s="16" t="s">
        <v>258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250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257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174.67</v>
      </c>
      <c r="B246" s="134">
        <v>45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75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7" ht="15.75">
      <c r="A257" s="112">
        <f>'03'!A257+(B257-SUM(D257:F257))</f>
        <v>511.23</v>
      </c>
      <c r="B257" s="134">
        <f>40+169.13</f>
        <v>209.13</v>
      </c>
      <c r="C257" s="16" t="s">
        <v>253</v>
      </c>
      <c r="D257" s="137"/>
      <c r="E257" s="138"/>
      <c r="F257" s="138"/>
      <c r="G257" s="16"/>
    </row>
    <row r="258" spans="1:7" ht="15.75">
      <c r="A258" s="112">
        <f>'03'!A258+(B258-SUM(D258:F258))</f>
        <v>5</v>
      </c>
      <c r="B258" s="134">
        <v>5</v>
      </c>
      <c r="C258" s="16" t="s">
        <v>240</v>
      </c>
      <c r="D258" s="137"/>
      <c r="E258" s="138"/>
      <c r="F258" s="138"/>
      <c r="G258" s="16"/>
    </row>
    <row r="259" spans="1:7" ht="16.5" thickBot="1">
      <c r="A259" s="112">
        <f>'03'!A259+(B259-SUM(D259:F259))</f>
        <v>5</v>
      </c>
      <c r="B259" s="135">
        <v>5</v>
      </c>
      <c r="C259" s="17" t="s">
        <v>241</v>
      </c>
      <c r="D259" s="135"/>
      <c r="E259" s="139"/>
      <c r="F259" s="139"/>
      <c r="G259" s="17"/>
    </row>
    <row r="260" spans="1:7" ht="16.5" thickBot="1">
      <c r="A260" s="112">
        <f>SUM(A246:A259)</f>
        <v>770.9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249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254</v>
      </c>
    </row>
    <row r="287" spans="2:8">
      <c r="B287" s="134"/>
      <c r="C287" s="16"/>
      <c r="D287" s="137">
        <v>9.65</v>
      </c>
      <c r="E287" s="138"/>
      <c r="F287" s="138"/>
      <c r="G287" s="16" t="s">
        <v>260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269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f>37.5+37.5</f>
        <v>75</v>
      </c>
      <c r="E306" s="138"/>
      <c r="F306" s="138"/>
      <c r="G306" s="16" t="s">
        <v>284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263</v>
      </c>
    </row>
    <row r="308" spans="2:7">
      <c r="B308" s="134">
        <f>L55+L56+L57</f>
        <v>37.980000000000004</v>
      </c>
      <c r="C308" s="27" t="s">
        <v>288</v>
      </c>
      <c r="D308" s="137"/>
      <c r="E308" s="138"/>
      <c r="F308" s="138">
        <v>50</v>
      </c>
      <c r="G308" s="16" t="s">
        <v>270</v>
      </c>
    </row>
    <row r="309" spans="2:7">
      <c r="B309" s="134"/>
      <c r="C309" s="16"/>
      <c r="D309" s="137">
        <v>63.9</v>
      </c>
      <c r="E309" s="138"/>
      <c r="F309" s="138"/>
      <c r="G309" s="16" t="s">
        <v>290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265</v>
      </c>
      <c r="D387" s="137"/>
      <c r="E387" s="138"/>
      <c r="F387" s="138"/>
      <c r="G387" s="16"/>
    </row>
    <row r="388" spans="2:7">
      <c r="B388" s="134">
        <v>106.26</v>
      </c>
      <c r="C388" s="27" t="s">
        <v>266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247</v>
      </c>
    </row>
    <row r="407" spans="2:7">
      <c r="B407" s="134">
        <v>3.75</v>
      </c>
      <c r="C407" s="16" t="s">
        <v>246</v>
      </c>
      <c r="D407" s="137"/>
      <c r="E407" s="138">
        <f>10+10</f>
        <v>20</v>
      </c>
      <c r="F407" s="138"/>
      <c r="G407" s="16" t="s">
        <v>271</v>
      </c>
    </row>
    <row r="408" spans="2:7">
      <c r="B408" s="134">
        <v>984.2</v>
      </c>
      <c r="C408" s="18" t="s">
        <v>265</v>
      </c>
      <c r="D408" s="137"/>
      <c r="E408" s="138"/>
      <c r="F408" s="138"/>
      <c r="G408" s="16"/>
    </row>
    <row r="409" spans="2:7">
      <c r="B409" s="134">
        <v>85.02</v>
      </c>
      <c r="C409" s="27" t="s">
        <v>266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219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289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265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'03'!A467+(B467-SUM(D467:F467))</f>
        <v>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'03'!A468+(B468+B470-SUM(D468:F468))</f>
        <v>73.19</v>
      </c>
      <c r="B468" s="134">
        <f>15+15</f>
        <v>30</v>
      </c>
      <c r="C468" s="16" t="s">
        <v>179</v>
      </c>
      <c r="D468" s="137"/>
      <c r="E468" s="138"/>
      <c r="F468" s="138"/>
      <c r="G468" s="16"/>
    </row>
    <row r="469" spans="1:7">
      <c r="B469" s="134">
        <v>500</v>
      </c>
      <c r="C469" s="18" t="s">
        <v>265</v>
      </c>
      <c r="D469" s="137"/>
      <c r="E469" s="138"/>
      <c r="F469" s="138"/>
      <c r="G469" s="16"/>
    </row>
    <row r="470" spans="1:7">
      <c r="B470" s="134">
        <v>43.19</v>
      </c>
      <c r="C470" s="27" t="s">
        <v>266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623.19000000000005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1773.93</v>
      </c>
      <c r="L5" s="433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'04'!A7+(B7-SUM(D7:F7))</f>
        <v>841.85000000000014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7144.52</v>
      </c>
      <c r="L7" s="417"/>
      <c r="M7" s="1"/>
      <c r="N7" s="1"/>
      <c r="R7" s="3"/>
    </row>
    <row r="8" spans="1:22" ht="15.75">
      <c r="A8" s="112">
        <f>'04'!A8+(B8-SUM(D8:F8))</f>
        <v>-112.31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10005.620000000001</v>
      </c>
      <c r="L8" s="41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514.82000000000005</v>
      </c>
      <c r="L9" s="417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'04'!A11+(B11-SUM(D11:F11))</f>
        <v>90.700000000000017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210</f>
        <v>210</v>
      </c>
      <c r="L11" s="417"/>
      <c r="M11" s="1"/>
      <c r="N11" s="1"/>
      <c r="R11" s="3"/>
    </row>
    <row r="12" spans="1:22" ht="15.75">
      <c r="A12" s="112">
        <f>'04'!A12+(B12-SUM(D12:F12))</f>
        <v>133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5092.08</v>
      </c>
      <c r="L12" s="417"/>
      <c r="M12" s="92"/>
      <c r="N12" s="1"/>
      <c r="R12" s="3"/>
    </row>
    <row r="13" spans="1:22" ht="15.75">
      <c r="A13" s="112">
        <f>'04'!A13+(B13-SUM(D13:F13))</f>
        <v>563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2336.7600000000002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238</v>
      </c>
      <c r="K25" s="425"/>
      <c r="L25" s="231">
        <v>4448.8500000000004</v>
      </c>
      <c r="M25" s="1"/>
      <c r="R25" s="3"/>
    </row>
    <row r="26" spans="1:18" ht="15.75">
      <c r="A26" s="112">
        <f>'04'!A26+(B26-SUM(D26:F26))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'04'!A27+(B27-SUM(D27:F27))</f>
        <v>446.11999999999989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'04'!A28+(B28-SUM(D28:F28))</f>
        <v>77.910000000000025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'04'!A29+(B29-SUM(D29:F29))</f>
        <v>38.92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'04'!A30+(B30-SUM(D30:F30))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252</v>
      </c>
      <c r="K30" s="42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234</v>
      </c>
      <c r="K31" s="42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226</v>
      </c>
      <c r="K32" s="42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204</v>
      </c>
      <c r="J35" s="424"/>
      <c r="K35" s="42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2439.2299999999996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294</v>
      </c>
      <c r="K40" s="42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293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296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279</v>
      </c>
      <c r="D48" s="137">
        <v>27.34</v>
      </c>
      <c r="E48" s="138"/>
      <c r="F48" s="138"/>
      <c r="G48" s="16" t="s">
        <v>302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303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310</v>
      </c>
      <c r="H50" s="1"/>
      <c r="I50" s="421" t="str">
        <f>AÑO!A13</f>
        <v>Gubernamental</v>
      </c>
      <c r="J50" s="424" t="s">
        <v>304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311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315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318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410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411</v>
      </c>
      <c r="H55" s="1"/>
      <c r="I55" s="421" t="str">
        <f>AÑO!A14</f>
        <v>Mutualite/DKV</v>
      </c>
      <c r="J55" s="424" t="s">
        <v>298</v>
      </c>
      <c r="K55" s="42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/>
      <c r="K60" s="42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'04'!A66+(B66-SUM(D66:F78))</f>
        <v>6.1500000000000057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292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300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301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308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309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316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412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20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26.150000000000006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55.61</v>
      </c>
      <c r="E86" s="138"/>
      <c r="F86" s="138"/>
      <c r="G86" s="16" t="s">
        <v>297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312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321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413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4500.9815974244993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142.84000000000006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416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771.69999999999982</v>
      </c>
      <c r="B109" s="134">
        <f>67.53+120</f>
        <v>187.53</v>
      </c>
      <c r="C109" s="18" t="s">
        <v>417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5059.8215974244995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75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52.5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676</v>
      </c>
      <c r="I127" s="113">
        <f>D127+D128+'04'!I127</f>
        <v>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24.109999999999992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127.5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296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314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371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317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313</v>
      </c>
    </row>
    <row r="207" spans="2:12">
      <c r="B207" s="134">
        <v>15</v>
      </c>
      <c r="C207" s="16" t="s">
        <v>371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161.1</v>
      </c>
      <c r="B246" s="134">
        <v>45</v>
      </c>
      <c r="C246" s="27" t="s">
        <v>239</v>
      </c>
      <c r="D246" s="137">
        <v>15</v>
      </c>
      <c r="E246" s="138"/>
      <c r="F246" s="138"/>
      <c r="G246" s="16" t="s">
        <v>311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319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80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'04'!A257+(B257-SUM(D257:F257))</f>
        <v>949.56</v>
      </c>
      <c r="B257" s="134">
        <f>40+499</f>
        <v>539</v>
      </c>
      <c r="C257" s="16" t="s">
        <v>253</v>
      </c>
      <c r="D257" s="137"/>
      <c r="E257" s="138">
        <f>100.67</f>
        <v>100.67</v>
      </c>
      <c r="F257" s="138"/>
      <c r="G257" s="16" t="s">
        <v>415</v>
      </c>
      <c r="H257" s="113"/>
    </row>
    <row r="258" spans="1:8" ht="15.75">
      <c r="A258" s="112">
        <f>'04'!A258+(B258-SUM(D258:F258))</f>
        <v>75</v>
      </c>
      <c r="B258" s="134">
        <v>70</v>
      </c>
      <c r="C258" s="16" t="s">
        <v>240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10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1275.6599999999999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299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306</v>
      </c>
    </row>
    <row r="287" spans="2:8">
      <c r="B287" s="134">
        <v>35</v>
      </c>
      <c r="C287" s="16" t="s">
        <v>416</v>
      </c>
      <c r="D287" s="137">
        <v>54.8</v>
      </c>
      <c r="E287" s="138"/>
      <c r="F287" s="138"/>
      <c r="G287" s="16" t="s">
        <v>418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436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v>4.4000000000000004</v>
      </c>
      <c r="E306" s="138"/>
      <c r="F306" s="138"/>
      <c r="G306" s="16" t="s">
        <v>291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298</v>
      </c>
    </row>
    <row r="308" spans="2:7">
      <c r="B308" s="134">
        <v>17.45</v>
      </c>
      <c r="C308" s="27" t="s">
        <v>307</v>
      </c>
      <c r="D308" s="137">
        <f>51.89+44.67</f>
        <v>96.56</v>
      </c>
      <c r="E308" s="138"/>
      <c r="F308" s="138"/>
      <c r="G308" s="16" t="s">
        <v>409</v>
      </c>
    </row>
    <row r="309" spans="2:7">
      <c r="B309" s="134">
        <v>170</v>
      </c>
      <c r="C309" s="16" t="s">
        <v>371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305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437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244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295</v>
      </c>
    </row>
    <row r="407" spans="2:7">
      <c r="B407" s="134">
        <v>45.86</v>
      </c>
      <c r="C407" s="16" t="s">
        <v>294</v>
      </c>
      <c r="D407" s="137"/>
      <c r="E407" s="138"/>
      <c r="F407" s="138"/>
      <c r="G407" s="16"/>
    </row>
    <row r="408" spans="2:7">
      <c r="B408" s="134">
        <v>-1094.26</v>
      </c>
      <c r="C408" s="16" t="s">
        <v>244</v>
      </c>
      <c r="D408" s="137">
        <v>44.48</v>
      </c>
      <c r="E408" s="138"/>
      <c r="F408" s="138"/>
      <c r="G408" s="16" t="s">
        <v>320</v>
      </c>
    </row>
    <row r="409" spans="2:7">
      <c r="B409" s="134">
        <f>29.29+20</f>
        <v>49.29</v>
      </c>
      <c r="C409" s="16" t="s">
        <v>371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02" t="s">
        <v>9</v>
      </c>
      <c r="E424" s="410"/>
      <c r="F424" s="410"/>
      <c r="G424" s="403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219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-50</v>
      </c>
      <c r="B466" s="134">
        <v>-550</v>
      </c>
      <c r="C466" s="16" t="s">
        <v>245</v>
      </c>
      <c r="D466" s="137"/>
      <c r="E466" s="138"/>
      <c r="F466" s="138"/>
      <c r="G466" s="16"/>
    </row>
    <row r="467" spans="1:7" ht="15.75">
      <c r="A467" s="112">
        <f>'04'!A467+(B467-SUM(D467:F467))</f>
        <v>150</v>
      </c>
      <c r="B467" s="134">
        <f>50+50</f>
        <v>100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'04'!A468+(B468-SUM(D468:F468))</f>
        <v>123.19</v>
      </c>
      <c r="B468" s="134">
        <f>15+35</f>
        <v>50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223.19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M5+2156.93</f>
        <v>1614.1099999999997</v>
      </c>
      <c r="L5" s="433"/>
      <c r="M5" s="1">
        <f>-542.82</f>
        <v>-542.82000000000005</v>
      </c>
      <c r="N5" s="1" t="s">
        <v>414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'05'!A7+(B7-SUM(D7:F7))</f>
        <v>909.0300000000002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9234.42-58.2</f>
        <v>9176.2199999999993</v>
      </c>
      <c r="L7" s="417"/>
      <c r="M7" s="1"/>
      <c r="N7" s="1"/>
      <c r="R7" s="3"/>
    </row>
    <row r="8" spans="1:22" ht="15.75">
      <c r="A8" s="112">
        <f>'05'!A8+(B8-SUM(D8:F8))</f>
        <v>-211.32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16">
        <v>169.67</v>
      </c>
      <c r="L9" s="417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'05'!A11+(B11-SUM(D11:F11))</f>
        <v>90.700000000000017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190</v>
      </c>
      <c r="L11" s="417"/>
      <c r="M11" s="1"/>
      <c r="N11" s="1"/>
      <c r="R11" s="3"/>
    </row>
    <row r="12" spans="1:22" ht="15.75">
      <c r="A12" s="112">
        <f>'05'!A12+(B12-SUM(D12:F12))</f>
        <v>158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'05'!A13+(B13-SUM(D13:F13))</f>
        <v>569.5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2336.4300000000003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238</v>
      </c>
      <c r="K25" s="425"/>
      <c r="L25" s="231">
        <v>2574.61</v>
      </c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'05'!A27+(B27-SUM(D27:F27))</f>
        <v>450.12999999999988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'05'!A28+(B28-SUM(D28:F28))</f>
        <v>117.91000000000003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'05'!A29+(B29-SUM(D29:F29))</f>
        <v>38.97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'05'!A30+(B30-SUM(D30:F30))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429</v>
      </c>
      <c r="K30" s="42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252</v>
      </c>
      <c r="K31" s="42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226</v>
      </c>
      <c r="K32" s="42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204</v>
      </c>
      <c r="J35" s="424" t="s">
        <v>233</v>
      </c>
      <c r="K35" s="42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2483.29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157</v>
      </c>
      <c r="K45" s="42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421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433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422</v>
      </c>
      <c r="D48" s="137">
        <v>27.2</v>
      </c>
      <c r="E48" s="138"/>
      <c r="F48" s="138"/>
      <c r="G48" s="16" t="s">
        <v>446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447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451</v>
      </c>
      <c r="H50" s="1"/>
      <c r="I50" s="421" t="str">
        <f>AÑO!A13</f>
        <v>Gubernamental</v>
      </c>
      <c r="J50" s="424" t="s">
        <v>442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458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460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466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471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475</v>
      </c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430</v>
      </c>
      <c r="K60" s="42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'05'!A66+(B66-SUM(D66:F78))+B67+B68</f>
        <v>-1.5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443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-35</v>
      </c>
      <c r="C67" s="16" t="s">
        <v>431</v>
      </c>
      <c r="D67" s="137">
        <v>36.049999999999997</v>
      </c>
      <c r="E67" s="138"/>
      <c r="F67" s="138"/>
      <c r="G67" s="31" t="s">
        <v>454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455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457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461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462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469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30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28.5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41.71</v>
      </c>
      <c r="E86" s="138"/>
      <c r="F86" s="138"/>
      <c r="G86" s="16" t="s">
        <v>425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427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444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445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465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467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468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473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4500.9815974244993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142.93000000000006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839.22999999999979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5109.9115974244996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676</v>
      </c>
      <c r="I127" s="113">
        <f>D127+D128+'05'!I127</f>
        <v>60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24.11999999999999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125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>
        <v>-60</v>
      </c>
      <c r="C147" s="16" t="s">
        <v>423</v>
      </c>
      <c r="D147" s="137"/>
      <c r="E147" s="138"/>
      <c r="F147" s="138"/>
      <c r="G147" s="16" t="s">
        <v>424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448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452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456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458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459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476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111.44999999999999</v>
      </c>
      <c r="B246" s="134">
        <v>45</v>
      </c>
      <c r="C246" s="27" t="s">
        <v>239</v>
      </c>
      <c r="D246" s="137"/>
      <c r="E246" s="138">
        <v>21.08</v>
      </c>
      <c r="F246" s="138"/>
      <c r="G246" s="16" t="s">
        <v>450</v>
      </c>
    </row>
    <row r="247" spans="1:7" ht="15" customHeight="1">
      <c r="A247" s="112"/>
      <c r="B247" s="134">
        <f>-10</f>
        <v>-10</v>
      </c>
      <c r="C247" s="16" t="s">
        <v>478</v>
      </c>
      <c r="D247" s="137">
        <v>12.99</v>
      </c>
      <c r="E247" s="138"/>
      <c r="F247" s="138"/>
      <c r="G247" s="16" t="s">
        <v>458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471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85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'05'!A257+(B257-SUM(D257:F257))</f>
        <v>873.89</v>
      </c>
      <c r="B257" s="134">
        <v>25</v>
      </c>
      <c r="C257" s="16" t="s">
        <v>253</v>
      </c>
      <c r="D257" s="137"/>
      <c r="E257" s="138">
        <v>100.67</v>
      </c>
      <c r="F257" s="138"/>
      <c r="G257" s="16" t="s">
        <v>242</v>
      </c>
    </row>
    <row r="258" spans="1:8" ht="15.75">
      <c r="A258" s="112">
        <f>'05'!A258+(B258-SUM(D258:F258))+'05'!A259</f>
        <v>110</v>
      </c>
      <c r="B258" s="134">
        <v>25</v>
      </c>
      <c r="C258" s="16" t="s">
        <v>240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1180.3399999999999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435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464</v>
      </c>
      <c r="H267" s="89" t="s">
        <v>463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470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9" ht="15" customHeight="1" thickBot="1">
      <c r="B283" s="413"/>
      <c r="C283" s="414"/>
      <c r="D283" s="414"/>
      <c r="E283" s="414"/>
      <c r="F283" s="414"/>
      <c r="G283" s="415"/>
    </row>
    <row r="284" spans="2:9">
      <c r="B284" s="402" t="s">
        <v>8</v>
      </c>
      <c r="C284" s="403"/>
      <c r="D284" s="402" t="s">
        <v>9</v>
      </c>
      <c r="E284" s="410"/>
      <c r="F284" s="410"/>
      <c r="G284" s="403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438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449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419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428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440</v>
      </c>
    </row>
    <row r="308" spans="2:7">
      <c r="B308" s="134"/>
      <c r="C308" s="27"/>
      <c r="D308" s="137"/>
      <c r="E308" s="138"/>
      <c r="F308" s="138">
        <v>50</v>
      </c>
      <c r="G308" s="16" t="s">
        <v>441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439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420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432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453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471</v>
      </c>
    </row>
    <row r="369" spans="2:7">
      <c r="B369" s="134"/>
      <c r="C369" s="16"/>
      <c r="D369" s="137">
        <v>11</v>
      </c>
      <c r="E369" s="138"/>
      <c r="F369" s="138"/>
      <c r="G369" s="16" t="s">
        <v>472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434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219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'05'!A467+(B467-SUM(D467:F467))</f>
        <v>200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'05'!A468+(B468-SUM(D468:F468))+B469</f>
        <v>83.19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-55</v>
      </c>
      <c r="C469" s="16" t="s">
        <v>426</v>
      </c>
      <c r="D469" s="137"/>
      <c r="E469" s="138"/>
      <c r="F469" s="138"/>
      <c r="G469" s="16" t="s">
        <v>221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233.19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2939.95</f>
        <v>2939.95</v>
      </c>
      <c r="L5" s="433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'06'!A7+(B7-SUM(D7:F7))</f>
        <v>976.21000000000026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8049.26</v>
      </c>
      <c r="L7" s="417"/>
      <c r="M7" s="1"/>
      <c r="N7" s="1"/>
      <c r="R7" s="3"/>
    </row>
    <row r="8" spans="1:22" ht="15.75">
      <c r="A8" s="112">
        <f>'06'!A8+(B8-SUM(D8:F8))</f>
        <v>-112.21999999999997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169.67</v>
      </c>
      <c r="L9" s="417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'06'!A11+(B11-SUM(D11:F11))</f>
        <v>90.710000000000008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260</v>
      </c>
      <c r="L11" s="417"/>
      <c r="M11" s="1"/>
      <c r="N11" s="1"/>
      <c r="R11" s="3"/>
    </row>
    <row r="12" spans="1:22" ht="15.75">
      <c r="A12" s="112">
        <f>'06'!A12+(B12-SUM(D12:F12))</f>
        <v>183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'06'!A13+(B13-SUM(D13:F13))</f>
        <v>576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2534.2200000000003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238</v>
      </c>
      <c r="K25" s="425"/>
      <c r="L25" s="231">
        <v>2568.54</v>
      </c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'06'!A27+(B27-SUM(D27:F27))</f>
        <v>454.13999999999987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'06'!A28+(B28-SUM(D28:F28))</f>
        <v>157.91000000000003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'06'!A29+(B29-SUM(D29:F29))</f>
        <v>39.019999999999996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'06'!A30+(B30-SUM(D30:F30))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252</v>
      </c>
      <c r="K30" s="42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429</v>
      </c>
      <c r="K31" s="42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490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204</v>
      </c>
      <c r="J35" s="424"/>
      <c r="K35" s="42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2527.3499999999995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477</v>
      </c>
      <c r="K40" s="42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58</v>
      </c>
      <c r="K41" s="427"/>
      <c r="L41" s="229">
        <v>0.02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482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488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422</v>
      </c>
      <c r="D48" s="137">
        <v>8.1</v>
      </c>
      <c r="E48" s="138"/>
      <c r="F48" s="138"/>
      <c r="G48" s="16" t="s">
        <v>507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485</v>
      </c>
      <c r="D49" s="137">
        <v>2.5499999999999998</v>
      </c>
      <c r="E49" s="138"/>
      <c r="F49" s="138"/>
      <c r="G49" s="16" t="s">
        <v>516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5</v>
      </c>
      <c r="C50" s="16" t="s">
        <v>512</v>
      </c>
      <c r="D50" s="137">
        <v>69.97</v>
      </c>
      <c r="E50" s="138"/>
      <c r="F50" s="138"/>
      <c r="G50" s="16" t="s">
        <v>527</v>
      </c>
      <c r="H50" s="1"/>
      <c r="I50" s="421" t="str">
        <f>AÑO!A13</f>
        <v>Gubernamental</v>
      </c>
      <c r="J50" s="424" t="s">
        <v>442</v>
      </c>
      <c r="K50" s="42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530</v>
      </c>
      <c r="D51" s="137">
        <v>5.29</v>
      </c>
      <c r="E51" s="138"/>
      <c r="F51" s="138"/>
      <c r="G51" s="16" t="s">
        <v>529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 t="s">
        <v>491</v>
      </c>
      <c r="K55" s="42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 t="s">
        <v>491</v>
      </c>
      <c r="K56" s="42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491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506</v>
      </c>
      <c r="K60" s="42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'06'!A66+(B66-SUM(D66:F78))+B67</f>
        <v>16.300000000000011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483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492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514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513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526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40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56.300000000000011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47.8</v>
      </c>
      <c r="E86" s="138"/>
      <c r="F86" s="138"/>
      <c r="G86" s="16" t="s">
        <v>515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521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4500.9815974244993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143.02000000000007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516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906.75999999999976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532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535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5160.0015974244998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80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676</v>
      </c>
      <c r="I127" s="113">
        <f>D127+D128+'06'!I127</f>
        <v>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24.129999999999988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487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495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499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501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509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502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503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504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489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488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517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528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482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500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97.72</v>
      </c>
      <c r="B246" s="134">
        <v>45</v>
      </c>
      <c r="C246" s="27" t="s">
        <v>239</v>
      </c>
      <c r="D246" s="137">
        <v>33.729999999999997</v>
      </c>
      <c r="E246" s="138"/>
      <c r="F246" s="138"/>
      <c r="G246" s="16" t="s">
        <v>525</v>
      </c>
    </row>
    <row r="247" spans="1:7" ht="15" customHeight="1">
      <c r="A247" s="112"/>
      <c r="B247" s="134">
        <v>-5</v>
      </c>
      <c r="C247" s="16" t="s">
        <v>512</v>
      </c>
      <c r="D247" s="137">
        <v>20</v>
      </c>
      <c r="E247" s="138"/>
      <c r="F247" s="138"/>
      <c r="G247" s="16" t="s">
        <v>527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90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'06'!A257+(B257-SUM(D257:F257))</f>
        <v>798.22</v>
      </c>
      <c r="B257" s="134">
        <v>25</v>
      </c>
      <c r="C257" s="16" t="s">
        <v>510</v>
      </c>
      <c r="D257" s="137"/>
      <c r="E257" s="138">
        <v>100.67</v>
      </c>
      <c r="F257" s="138"/>
      <c r="G257" s="16" t="s">
        <v>536</v>
      </c>
      <c r="H257" s="89">
        <f>1208-(100.67*2)</f>
        <v>1006.66</v>
      </c>
    </row>
    <row r="258" spans="1:8" ht="15.75">
      <c r="A258" s="112">
        <f>'06'!A258+(B258-SUM(D258:F258))</f>
        <v>-30</v>
      </c>
      <c r="B258" s="134">
        <f>25+10+4.38+35.25+13.1+121.27</f>
        <v>209</v>
      </c>
      <c r="C258" s="16" t="s">
        <v>519</v>
      </c>
      <c r="D258" s="137">
        <v>349</v>
      </c>
      <c r="E258" s="138"/>
      <c r="F258" s="138"/>
      <c r="G258" s="16" t="s">
        <v>486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955.94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488</v>
      </c>
    </row>
    <row r="287" spans="2:8">
      <c r="B287" s="134"/>
      <c r="C287" s="16"/>
      <c r="D287" s="137"/>
      <c r="E287" s="138"/>
      <c r="F287" s="138">
        <v>50</v>
      </c>
      <c r="G287" s="16" t="s">
        <v>497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498</v>
      </c>
    </row>
    <row r="289" spans="2:8">
      <c r="B289" s="134"/>
      <c r="C289" s="16"/>
      <c r="D289" s="137">
        <v>26.31</v>
      </c>
      <c r="E289" s="138"/>
      <c r="F289" s="138"/>
      <c r="G289" s="16" t="s">
        <v>500</v>
      </c>
    </row>
    <row r="290" spans="2:8">
      <c r="B290" s="134"/>
      <c r="C290" s="16"/>
      <c r="D290" s="137"/>
      <c r="E290" s="138">
        <v>31.95</v>
      </c>
      <c r="F290" s="138"/>
      <c r="G290" s="16" t="s">
        <v>518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479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481</v>
      </c>
    </row>
    <row r="308" spans="2:7">
      <c r="B308" s="134">
        <f>37.49+14.27+14.27</f>
        <v>66.03</v>
      </c>
      <c r="C308" s="27" t="s">
        <v>491</v>
      </c>
      <c r="D308" s="137">
        <f>37.5+37.5</f>
        <v>75</v>
      </c>
      <c r="E308" s="138"/>
      <c r="F308" s="138"/>
      <c r="G308" s="16" t="s">
        <v>508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505</v>
      </c>
    </row>
    <row r="327" spans="2:7">
      <c r="B327" s="134">
        <v>100</v>
      </c>
      <c r="C327" s="16" t="s">
        <v>496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522</v>
      </c>
      <c r="D358" s="137">
        <v>64.3</v>
      </c>
      <c r="E358" s="138"/>
      <c r="F358" s="138"/>
      <c r="G358" s="16" t="s">
        <v>520</v>
      </c>
    </row>
    <row r="359" spans="1:7" ht="16.5" thickBot="1">
      <c r="A359" s="112"/>
      <c r="B359" s="135">
        <f>12.64+6.66</f>
        <v>19.3</v>
      </c>
      <c r="C359" s="17" t="s">
        <v>530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484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531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480</v>
      </c>
    </row>
    <row r="407" spans="2:7">
      <c r="B407" s="134">
        <v>1</v>
      </c>
      <c r="C407" s="16" t="s">
        <v>477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531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219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'06'!A467+(B467-SUM(D467:F467))</f>
        <v>250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'06'!A468+(B468-SUM(D468:F468))</f>
        <v>98.19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298.19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3508.76</v>
      </c>
      <c r="L5" s="433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538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'07'!A7+(B7-SUM(D7:F7))</f>
        <v>1043.3900000000003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7490.36</v>
      </c>
      <c r="L7" s="417"/>
      <c r="M7" s="1"/>
      <c r="N7" s="1"/>
      <c r="R7" s="3"/>
    </row>
    <row r="8" spans="1:22" ht="15.75">
      <c r="A8" s="112">
        <f>'07'!A8+(B8-SUM(D8:F8))</f>
        <v>-215.97999999999996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163.63</v>
      </c>
      <c r="L9" s="417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'07'!A11+(B11-SUM(D11:F11))</f>
        <v>90.710000000000008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20+120</f>
        <v>140</v>
      </c>
      <c r="L11" s="417"/>
      <c r="M11" s="1"/>
      <c r="N11" s="1"/>
      <c r="R11" s="3"/>
    </row>
    <row r="12" spans="1:22" ht="15.75">
      <c r="A12" s="112">
        <f>'07'!A12+(B12-SUM(D12:F12))</f>
        <v>208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'07'!A13+(B13-SUM(D13:F13))</f>
        <v>582.5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2529.1400000000003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238</v>
      </c>
      <c r="K25" s="425"/>
      <c r="L25" s="231">
        <v>2571.5500000000002</v>
      </c>
      <c r="M25" s="1"/>
      <c r="R25" s="3"/>
    </row>
    <row r="26" spans="1:18" ht="15.75">
      <c r="A26" s="112">
        <f>'07'!A26+(B26-SUM(D26:F26))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'07'!A27+(B27-SUM(D27:F27))</f>
        <v>458.14999999999986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'07'!A28+(B28-SUM(D28:F28))</f>
        <v>93.720000000000027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'07'!A29+(B29-SUM(D29:F29))</f>
        <v>39.069999999999993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'07'!A30+(B30-SUM(D30:F30))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226</v>
      </c>
      <c r="K30" s="42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204</v>
      </c>
      <c r="J35" s="424" t="s">
        <v>236</v>
      </c>
      <c r="K35" s="42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2467.2200000000003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577</v>
      </c>
      <c r="K45" s="42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545</v>
      </c>
      <c r="H46" s="1"/>
      <c r="I46" s="422"/>
      <c r="J46" s="426" t="s">
        <v>578</v>
      </c>
      <c r="K46" s="427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542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523</v>
      </c>
      <c r="D48" s="137">
        <v>22.34</v>
      </c>
      <c r="E48" s="138"/>
      <c r="F48" s="138"/>
      <c r="G48" s="16" t="s">
        <v>546</v>
      </c>
      <c r="H48" s="1">
        <f>22*8</f>
        <v>176</v>
      </c>
      <c r="I48" s="422"/>
      <c r="J48" s="426"/>
      <c r="K48" s="427"/>
      <c r="L48" s="229"/>
      <c r="M48" s="1"/>
      <c r="R48" s="3"/>
    </row>
    <row r="49" spans="1:18" ht="15.75">
      <c r="A49" s="1"/>
      <c r="B49" s="134">
        <v>23.87</v>
      </c>
      <c r="C49" s="16" t="s">
        <v>530</v>
      </c>
      <c r="D49" s="137">
        <v>49.31</v>
      </c>
      <c r="E49" s="138"/>
      <c r="F49" s="138"/>
      <c r="G49" s="16" t="s">
        <v>552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559</v>
      </c>
      <c r="H50" s="1"/>
      <c r="I50" s="421" t="str">
        <f>AÑO!A13</f>
        <v>Gubernamental</v>
      </c>
      <c r="J50" s="424" t="s">
        <v>442</v>
      </c>
      <c r="K50" s="42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560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43">
        <v>43692</v>
      </c>
      <c r="K55" s="42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4">
        <v>43696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'07'!A66+(SUM(B66:B78)-SUM(D66:F78))</f>
        <v>-0.34999999999996589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551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550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>
        <v>10</v>
      </c>
      <c r="C68" s="16" t="s">
        <v>530</v>
      </c>
      <c r="D68" s="137">
        <v>19.5</v>
      </c>
      <c r="E68" s="138"/>
      <c r="F68" s="138">
        <v>5.5</v>
      </c>
      <c r="G68" s="16" t="s">
        <v>556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557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569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579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50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49.650000000000034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56.61</v>
      </c>
      <c r="E86" s="138"/>
      <c r="F86" s="138"/>
      <c r="G86" s="16" t="s">
        <v>548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549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562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574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4500.9815974244993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143.11000000000007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1524.2899999999997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544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5210.091597424499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82.5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676</v>
      </c>
      <c r="I127" s="113">
        <f>D127+D128+'07'!I127</f>
        <v>90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24.139999999999986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582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493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566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494</v>
      </c>
    </row>
    <row r="207" spans="2:12">
      <c r="B207" s="134"/>
      <c r="C207" s="16"/>
      <c r="D207" s="137">
        <v>23</v>
      </c>
      <c r="E207" s="138"/>
      <c r="F207" s="138"/>
      <c r="G207" s="16" t="s">
        <v>563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84.949999999999989</v>
      </c>
      <c r="B246" s="134">
        <v>45</v>
      </c>
      <c r="C246" s="27" t="s">
        <v>239</v>
      </c>
      <c r="D246" s="137">
        <f>55.4-D327</f>
        <v>45.4</v>
      </c>
      <c r="E246" s="138"/>
      <c r="F246" s="138"/>
      <c r="G246" s="16" t="s">
        <v>543</v>
      </c>
    </row>
    <row r="247" spans="1:7" ht="15" customHeight="1">
      <c r="A247" s="112"/>
      <c r="B247" s="134">
        <v>12.12</v>
      </c>
      <c r="C247" s="16" t="s">
        <v>530</v>
      </c>
      <c r="D247" s="137">
        <v>16.52</v>
      </c>
      <c r="E247" s="138"/>
      <c r="F247" s="138"/>
      <c r="G247" s="16" t="s">
        <v>558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564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95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'07'!A257+(B257-SUM(D257:F257))</f>
        <v>848.22</v>
      </c>
      <c r="B257" s="134">
        <v>50</v>
      </c>
      <c r="C257" s="16" t="s">
        <v>511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1028.17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539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130.11999999999975</v>
      </c>
      <c r="B286" s="133">
        <v>70</v>
      </c>
      <c r="C286" s="19" t="s">
        <v>31</v>
      </c>
      <c r="D286" s="137"/>
      <c r="E286" s="138"/>
      <c r="F286" s="138"/>
      <c r="G286" s="16" t="s">
        <v>493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570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567</v>
      </c>
      <c r="D299" s="135"/>
      <c r="E299" s="139"/>
      <c r="F299" s="139"/>
      <c r="G299" s="17"/>
    </row>
    <row r="300" spans="1:8" ht="16.5" thickBot="1">
      <c r="A300" s="112">
        <f>SUM(A286:A299)</f>
        <v>150.11999999999975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524</v>
      </c>
      <c r="D306" s="137">
        <v>35.96</v>
      </c>
      <c r="E306" s="138"/>
      <c r="F306" s="138"/>
      <c r="G306" s="16" t="s">
        <v>553</v>
      </c>
    </row>
    <row r="307" spans="2:7">
      <c r="B307" s="134">
        <v>13.15</v>
      </c>
      <c r="C307" s="27" t="s">
        <v>561</v>
      </c>
      <c r="D307" s="137"/>
      <c r="E307" s="138"/>
      <c r="F307" s="138">
        <v>70</v>
      </c>
      <c r="G307" s="16" t="s">
        <v>555</v>
      </c>
    </row>
    <row r="308" spans="2:7">
      <c r="B308" s="134">
        <v>14.27</v>
      </c>
      <c r="C308" s="27" t="s">
        <v>573</v>
      </c>
      <c r="D308" s="137">
        <v>8.68</v>
      </c>
      <c r="E308" s="138"/>
      <c r="F308" s="138"/>
      <c r="G308" s="16" t="s">
        <v>568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541</v>
      </c>
    </row>
    <row r="327" spans="2:7">
      <c r="B327" s="134">
        <v>192.98</v>
      </c>
      <c r="C327" s="16" t="s">
        <v>580</v>
      </c>
      <c r="D327" s="137">
        <v>10</v>
      </c>
      <c r="E327" s="138"/>
      <c r="F327" s="138"/>
      <c r="G327" s="16" t="s">
        <v>543</v>
      </c>
    </row>
    <row r="328" spans="2:7">
      <c r="B328" s="134"/>
      <c r="C328" s="16"/>
      <c r="D328" s="137">
        <v>187.13</v>
      </c>
      <c r="E328" s="138"/>
      <c r="F328" s="138"/>
      <c r="G328" s="16" t="s">
        <v>547</v>
      </c>
    </row>
    <row r="329" spans="2:7">
      <c r="B329" s="134"/>
      <c r="C329" s="16"/>
      <c r="D329" s="137">
        <v>32.14</v>
      </c>
      <c r="E329" s="138"/>
      <c r="F329" s="138"/>
      <c r="G329" s="16" t="s">
        <v>571</v>
      </c>
    </row>
    <row r="330" spans="2:7">
      <c r="B330" s="134"/>
      <c r="C330" s="16"/>
      <c r="D330" s="137">
        <v>7.49</v>
      </c>
      <c r="E330" s="138"/>
      <c r="F330" s="138"/>
      <c r="G330" s="16" t="s">
        <v>572</v>
      </c>
    </row>
    <row r="331" spans="2:7">
      <c r="B331" s="134"/>
      <c r="C331" s="16"/>
      <c r="D331" s="137"/>
      <c r="E331" s="138">
        <v>192.98</v>
      </c>
      <c r="F331" s="138"/>
      <c r="G331" s="16" t="s">
        <v>575</v>
      </c>
    </row>
    <row r="332" spans="2:7">
      <c r="B332" s="134"/>
      <c r="C332" s="16"/>
      <c r="D332" s="137"/>
      <c r="E332" s="138">
        <v>96.65</v>
      </c>
      <c r="F332" s="138"/>
      <c r="G332" s="16" t="s">
        <v>576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534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533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540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219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'07'!A467+(B467-SUM(D467:F467))+B476</f>
        <v>-250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'07'!A468+(B468-SUM(D468:F468))</f>
        <v>113.19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531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-186.81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530</v>
      </c>
      <c r="D506" s="137">
        <v>23.43</v>
      </c>
      <c r="E506" s="138"/>
      <c r="F506" s="138"/>
      <c r="G506" s="16" t="s">
        <v>554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2020-01-31T15:15:16Z</dcterms:modified>
</cp:coreProperties>
</file>