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DC8B86C6-20B8-48F7-B738-13C1670B6C32}" xr6:coauthVersionLast="36" xr6:coauthVersionMax="36" xr10:uidLastSave="{00000000-0000-0000-0000-000000000000}"/>
  <bookViews>
    <workbookView xWindow="0" yWindow="0" windowWidth="27525" windowHeight="10635" activeTab="4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Sheet1" sheetId="7" r:id="rId5"/>
    <sheet name="Fondo" sheetId="6" r:id="rId6"/>
    <sheet name="Criterio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3" i="7" l="1"/>
  <c r="S51" i="7"/>
  <c r="S52" i="7" s="1"/>
  <c r="S50" i="7"/>
  <c r="S43" i="7"/>
  <c r="S42" i="7"/>
  <c r="G41" i="7"/>
  <c r="G40" i="7"/>
  <c r="G39" i="7"/>
  <c r="U38" i="7"/>
  <c r="G38" i="7"/>
  <c r="H32" i="7"/>
  <c r="G32" i="7"/>
  <c r="F32" i="7"/>
  <c r="E32" i="7"/>
  <c r="D32" i="7"/>
  <c r="L32" i="7" s="1"/>
  <c r="B32" i="7"/>
  <c r="A32" i="7"/>
  <c r="G31" i="7"/>
  <c r="F31" i="7"/>
  <c r="E31" i="7"/>
  <c r="D31" i="7"/>
  <c r="L31" i="7" s="1"/>
  <c r="B31" i="7"/>
  <c r="A31" i="7"/>
  <c r="G30" i="7"/>
  <c r="F30" i="7"/>
  <c r="E30" i="7"/>
  <c r="H30" i="7" s="1"/>
  <c r="D30" i="7"/>
  <c r="L30" i="7" s="1"/>
  <c r="B30" i="7"/>
  <c r="A30" i="7"/>
  <c r="T28" i="7"/>
  <c r="S28" i="7"/>
  <c r="O28" i="7"/>
  <c r="N28" i="7"/>
  <c r="M28" i="7"/>
  <c r="L28" i="7"/>
  <c r="K28" i="7"/>
  <c r="J28" i="7"/>
  <c r="I28" i="7"/>
  <c r="H28" i="7"/>
  <c r="Y27" i="7"/>
  <c r="Q25" i="7"/>
  <c r="P25" i="7"/>
  <c r="R25" i="7" s="1"/>
  <c r="Y24" i="7"/>
  <c r="R23" i="7"/>
  <c r="R22" i="7"/>
  <c r="Q20" i="7"/>
  <c r="P20" i="7"/>
  <c r="F20" i="7"/>
  <c r="R20" i="7" s="1"/>
  <c r="Q19" i="7"/>
  <c r="P19" i="7"/>
  <c r="R19" i="7" s="1"/>
  <c r="R18" i="7"/>
  <c r="Y15" i="7"/>
  <c r="Y14" i="7"/>
  <c r="Q13" i="7"/>
  <c r="D13" i="7"/>
  <c r="B13" i="7"/>
  <c r="Y13" i="7" s="1"/>
  <c r="R12" i="7"/>
  <c r="Y6" i="7"/>
  <c r="Y5" i="7"/>
  <c r="Y3" i="7"/>
  <c r="S3" i="7"/>
  <c r="R3" i="7"/>
  <c r="F3" i="7"/>
  <c r="G3" i="7" s="1"/>
  <c r="X1" i="7"/>
  <c r="Z27" i="7" l="1"/>
  <c r="AA27" i="7" s="1"/>
  <c r="Z13" i="7"/>
  <c r="AA13" i="7" s="1"/>
  <c r="Z6" i="7"/>
  <c r="AA6" i="7" s="1"/>
  <c r="Z14" i="7"/>
  <c r="AA14" i="7" s="1"/>
  <c r="Z15" i="7"/>
  <c r="AA15" i="7" s="1"/>
  <c r="Z24" i="7"/>
  <c r="AA24" i="7" s="1"/>
  <c r="Z5" i="7"/>
  <c r="AA5" i="7" s="1"/>
  <c r="M31" i="7"/>
  <c r="O31" i="7" s="1"/>
  <c r="N31" i="7"/>
  <c r="R28" i="7"/>
  <c r="Y28" i="7"/>
  <c r="K32" i="7"/>
  <c r="P39" i="7" s="1"/>
  <c r="J30" i="7"/>
  <c r="I30" i="7"/>
  <c r="N32" i="7"/>
  <c r="M32" i="7"/>
  <c r="O32" i="7" s="1"/>
  <c r="R32" i="7" s="1"/>
  <c r="M30" i="7"/>
  <c r="Z3" i="7"/>
  <c r="H31" i="7"/>
  <c r="I32" i="7"/>
  <c r="J32" i="7"/>
  <c r="Q32" i="7" s="1"/>
  <c r="R22" i="3"/>
  <c r="S32" i="7" l="1"/>
  <c r="R33" i="7"/>
  <c r="S33" i="7" s="1"/>
  <c r="P40" i="7"/>
  <c r="P41" i="7"/>
  <c r="Z28" i="7"/>
  <c r="AA3" i="7"/>
  <c r="AA28" i="7" s="1"/>
  <c r="AB28" i="7" s="1"/>
  <c r="AC28" i="7" s="1"/>
  <c r="N30" i="7"/>
  <c r="O30" i="7" s="1"/>
  <c r="R30" i="7" s="1"/>
  <c r="S30" i="7" s="1"/>
  <c r="Q30" i="7"/>
  <c r="K30" i="7"/>
  <c r="P32" i="7"/>
  <c r="J31" i="7"/>
  <c r="Q31" i="7" s="1"/>
  <c r="I31" i="7"/>
  <c r="P31" i="7" s="1"/>
  <c r="P30" i="7"/>
  <c r="X1" i="3"/>
  <c r="R33" i="3"/>
  <c r="B3" i="6"/>
  <c r="Q25" i="3"/>
  <c r="P25" i="3"/>
  <c r="R25" i="3"/>
  <c r="K31" i="7" l="1"/>
  <c r="R31" i="7" s="1"/>
  <c r="S31" i="7" s="1"/>
  <c r="T28" i="3"/>
  <c r="S28" i="3"/>
  <c r="Y3" i="3" l="1"/>
  <c r="Y5" i="3"/>
  <c r="Y6" i="3"/>
  <c r="Y14" i="3"/>
  <c r="Y15" i="3"/>
  <c r="Y24" i="3"/>
  <c r="Z3" i="3"/>
  <c r="Z15" i="3" l="1"/>
  <c r="Z14" i="3"/>
  <c r="Z24" i="3"/>
  <c r="Z6" i="3"/>
  <c r="Z5" i="3"/>
  <c r="B5" i="2"/>
  <c r="AA15" i="3" l="1"/>
  <c r="AA24" i="3"/>
  <c r="AA14" i="3"/>
  <c r="AA5" i="3"/>
  <c r="AA6" i="3"/>
  <c r="AA3" i="3"/>
  <c r="R23" i="3" l="1"/>
  <c r="S53" i="3" l="1"/>
  <c r="S52" i="3"/>
  <c r="S51" i="3"/>
  <c r="S50" i="3"/>
  <c r="S43" i="3" l="1"/>
  <c r="S42" i="3"/>
  <c r="B7" i="6"/>
  <c r="B12" i="6" l="1"/>
  <c r="C3" i="6"/>
  <c r="C5" i="6"/>
  <c r="D5" i="6" s="1"/>
  <c r="C4" i="6"/>
  <c r="D4" i="6" s="1"/>
  <c r="C6" i="6"/>
  <c r="D6" i="6" s="1"/>
  <c r="D3" i="6" l="1"/>
  <c r="C7" i="6"/>
  <c r="P20" i="3"/>
  <c r="Q20" i="3"/>
  <c r="F20" i="3"/>
  <c r="R20" i="3" l="1"/>
  <c r="A31" i="3" l="1"/>
  <c r="G41" i="3"/>
  <c r="G38" i="3" l="1"/>
  <c r="G39" i="3"/>
  <c r="G40" i="3"/>
  <c r="Q19" i="3" l="1"/>
  <c r="R19" i="3" s="1"/>
  <c r="P19" i="3"/>
  <c r="U38" i="3" l="1"/>
  <c r="B15" i="4" l="1"/>
  <c r="R18" i="3" l="1"/>
  <c r="O28" i="3" l="1"/>
  <c r="N28" i="3"/>
  <c r="M28" i="3"/>
  <c r="L28" i="3"/>
  <c r="R3" i="3"/>
  <c r="S3" i="3"/>
  <c r="R12" i="3"/>
  <c r="Q13" i="3"/>
  <c r="R28" i="3" l="1"/>
  <c r="K28" i="3"/>
  <c r="J28" i="3"/>
  <c r="I28" i="3"/>
  <c r="H28" i="3" l="1"/>
  <c r="B13" i="3" l="1"/>
  <c r="Y13" i="3" s="1"/>
  <c r="Z13" i="3" l="1"/>
  <c r="B18" i="1"/>
  <c r="B16" i="1"/>
  <c r="AA13" i="3" l="1"/>
  <c r="B5" i="1"/>
  <c r="B17" i="1" s="1"/>
  <c r="B15" i="1" s="1"/>
  <c r="B19" i="2"/>
  <c r="A32" i="3" l="1"/>
  <c r="F32" i="3"/>
  <c r="E32" i="3"/>
  <c r="B32" i="3"/>
  <c r="Y27" i="3" s="1"/>
  <c r="E16" i="4"/>
  <c r="B7" i="4"/>
  <c r="E13" i="4" s="1"/>
  <c r="E17" i="4" s="1"/>
  <c r="B5" i="4"/>
  <c r="I4" i="4"/>
  <c r="I5" i="4" s="1"/>
  <c r="Z27" i="3" l="1"/>
  <c r="Y28" i="3"/>
  <c r="D32" i="3"/>
  <c r="D13" i="3"/>
  <c r="G32" i="3"/>
  <c r="E6" i="4"/>
  <c r="E5" i="4"/>
  <c r="E3" i="4"/>
  <c r="E4" i="4"/>
  <c r="Z28" i="3" l="1"/>
  <c r="H32" i="3"/>
  <c r="J32" i="3" s="1"/>
  <c r="L32" i="3"/>
  <c r="M32" i="3" s="1"/>
  <c r="E11" i="4"/>
  <c r="E18" i="4" s="1"/>
  <c r="AA27" i="3" l="1"/>
  <c r="AA28" i="3" s="1"/>
  <c r="AB28" i="3" s="1"/>
  <c r="AC28" i="3" s="1"/>
  <c r="N32" i="3"/>
  <c r="I32" i="3"/>
  <c r="K32" i="3" l="1"/>
  <c r="P39" i="3" s="1"/>
  <c r="O32" i="3"/>
  <c r="P32" i="3"/>
  <c r="Q32" i="3"/>
  <c r="F31" i="3"/>
  <c r="E31" i="3"/>
  <c r="B31" i="3"/>
  <c r="A30" i="3"/>
  <c r="E16" i="2"/>
  <c r="B12" i="2"/>
  <c r="B7" i="2"/>
  <c r="D31" i="3"/>
  <c r="I4" i="2"/>
  <c r="I5" i="2" s="1"/>
  <c r="R32" i="3" l="1"/>
  <c r="S32" i="3" s="1"/>
  <c r="P40" i="3"/>
  <c r="P41" i="3" s="1"/>
  <c r="L31" i="3"/>
  <c r="M31" i="3" s="1"/>
  <c r="E5" i="2"/>
  <c r="G31" i="3"/>
  <c r="H31" i="3"/>
  <c r="I31" i="3" s="1"/>
  <c r="E6" i="2"/>
  <c r="E3" i="2"/>
  <c r="E4" i="2"/>
  <c r="E13" i="2"/>
  <c r="E17" i="2" s="1"/>
  <c r="J31" i="3" l="1"/>
  <c r="N31" i="3"/>
  <c r="S33" i="3"/>
  <c r="E11" i="2"/>
  <c r="E18" i="2" s="1"/>
  <c r="B12" i="1"/>
  <c r="B30" i="3"/>
  <c r="F30" i="3"/>
  <c r="E30" i="3"/>
  <c r="P31" i="3" l="1"/>
  <c r="O31" i="3"/>
  <c r="K31" i="3"/>
  <c r="D30" i="3"/>
  <c r="H30" i="3" s="1"/>
  <c r="F3" i="3"/>
  <c r="G3" i="3" s="1"/>
  <c r="R31" i="3" l="1"/>
  <c r="S31" i="3" s="1"/>
  <c r="Q31" i="3"/>
  <c r="L30" i="3"/>
  <c r="I30" i="3"/>
  <c r="J30" i="3" s="1"/>
  <c r="K30" i="3" s="1"/>
  <c r="E16" i="1"/>
  <c r="M30" i="3" l="1"/>
  <c r="P30" i="3" s="1"/>
  <c r="I4" i="1"/>
  <c r="N30" i="3" l="1"/>
  <c r="Q30" i="3" s="1"/>
  <c r="B7" i="1"/>
  <c r="G30" i="3" s="1"/>
  <c r="O30" i="3" l="1"/>
  <c r="E6" i="1"/>
  <c r="E13" i="1"/>
  <c r="E17" i="1" s="1"/>
  <c r="E3" i="1"/>
  <c r="E4" i="1"/>
  <c r="E5" i="1"/>
  <c r="R30" i="3" l="1"/>
  <c r="S30" i="3" s="1"/>
  <c r="E11" i="1"/>
  <c r="E18" i="1" s="1"/>
  <c r="I5" i="1"/>
</calcChain>
</file>

<file path=xl/sharedStrings.xml><?xml version="1.0" encoding="utf-8"?>
<sst xmlns="http://schemas.openxmlformats.org/spreadsheetml/2006/main" count="353" uniqueCount="149">
  <si>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</si>
  <si>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</si>
  <si>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</si>
  <si>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</si>
  <si>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</si>
  <si>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</si>
  <si>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</si>
  <si>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</si>
  <si>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</si>
  <si>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</si>
  <si>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</si>
  <si>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</si>
  <si>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</si>
  <si>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</si>
  <si>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</si>
  <si>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</si>
  <si>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</si>
  <si>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</si>
  <si>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</si>
  <si>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</si>
  <si>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</si>
  <si>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</si>
  <si>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</si>
  <si>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</si>
  <si>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</si>
  <si>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</si>
  <si>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</si>
  <si>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</si>
  <si>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</si>
  <si>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</si>
  <si>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</si>
  <si>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</si>
  <si>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</si>
  <si>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</si>
  <si>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</si>
  <si>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</si>
  <si>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</si>
  <si>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</si>
  <si>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</si>
  <si>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</si>
  <si>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</si>
  <si>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</si>
  <si>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</si>
  <si>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</si>
  <si>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</si>
  <si>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</si>
  <si>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</si>
  <si>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</si>
  <si>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</si>
  <si>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</si>
  <si>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</si>
  <si>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</si>
  <si>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</si>
  <si>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</si>
  <si>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</si>
  <si>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</si>
  <si>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</si>
  <si>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</si>
  <si>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</si>
  <si>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Custodia de acciones MT.AS</t>
  </si>
  <si>
    <t>ABI.BR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</si>
  <si>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</si>
  <si>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</si>
  <si>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</si>
  <si>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</si>
  <si>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</si>
  <si>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</si>
  <si>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</si>
  <si>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</si>
  <si>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</si>
  <si>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</si>
  <si>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</si>
  <si>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</si>
  <si>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</si>
  <si>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</si>
  <si>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</si>
  <si>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</si>
  <si>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</si>
  <si>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</si>
  <si>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</si>
  <si>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</si>
  <si>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</si>
  <si>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</si>
  <si>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</si>
  <si>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</si>
  <si>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</si>
  <si>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</si>
  <si>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</si>
  <si>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</si>
  <si>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</si>
  <si>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</si>
  <si>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</si>
  <si>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</si>
  <si>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</si>
  <si>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</si>
  <si>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</si>
  <si>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</si>
  <si>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</si>
  <si>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</si>
  <si>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</si>
  <si>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</si>
  <si>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</si>
  <si>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</si>
  <si>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</si>
  <si>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</si>
  <si>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</si>
  <si>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</si>
  <si>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</si>
  <si>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</si>
  <si>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</si>
  <si>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</si>
  <si>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</si>
  <si>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</si>
  <si>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</si>
  <si>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</si>
  <si>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Coche</t>
  </si>
  <si>
    <t>Inditex</t>
  </si>
  <si>
    <t>BMW</t>
  </si>
  <si>
    <t>Entre 68 y 74.5</t>
  </si>
  <si>
    <t>Previsto</t>
  </si>
  <si>
    <t>Intradia</t>
  </si>
  <si>
    <t>68.11-75.54</t>
  </si>
  <si>
    <t>Interim dividend payment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</si>
  <si>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</si>
  <si>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</si>
  <si>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</si>
  <si>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</si>
  <si>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</si>
  <si>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</si>
  <si>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</si>
  <si>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</si>
  <si>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</si>
  <si>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</si>
  <si>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</si>
  <si>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</si>
  <si>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71.28-76.50</t>
  </si>
  <si>
    <t>BMW.DE</t>
  </si>
  <si>
    <t>Comisiones+Impuestos Compra BMW.DE</t>
  </si>
  <si>
    <t>Venta</t>
  </si>
  <si>
    <t>Custodia de acciones 2018</t>
  </si>
  <si>
    <t>Custodia de acciones 2019</t>
  </si>
  <si>
    <t>Dias</t>
  </si>
  <si>
    <t>Dias/Total dias</t>
  </si>
  <si>
    <t>Media invertido</t>
  </si>
  <si>
    <t>% Total</t>
  </si>
  <si>
    <t>%/año</t>
  </si>
  <si>
    <t>RBC</t>
  </si>
  <si>
    <t>&lt;--</t>
  </si>
  <si>
    <t>Entre 25 y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</si>
</sst>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15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5" t="s">
        <v>1</v>
      </c>
      <c r="E1" s="65"/>
      <c r="F1" s="28"/>
      <c r="H1" s="60" t="s">
        <v>13</v>
      </c>
      <c r="I1" s="60"/>
    </row>
    <row r="2" spans="1:10" ht="15.75" x14ac:dyDescent="0.25">
      <c r="A2" t="s">
        <v>12</v>
      </c>
      <c r="B2" s="4">
        <v>42234</v>
      </c>
      <c r="D2" s="63" t="s">
        <v>2</v>
      </c>
      <c r="E2" s="64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60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61" t="str">
        <f>IF(I4=2,"Se puede COMPRAR","Nada")</f>
        <v>Se puede COMPRAR</v>
      </c>
      <c r="J5" s="62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H11" sqref="H11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4050</v>
      </c>
      <c r="D1" s="65" t="s">
        <v>1</v>
      </c>
      <c r="E1" s="65"/>
      <c r="F1" s="28"/>
      <c r="H1" s="60" t="s">
        <v>13</v>
      </c>
      <c r="I1" s="60"/>
    </row>
    <row r="2" spans="1:10" ht="15.75" x14ac:dyDescent="0.25">
      <c r="A2" t="s">
        <v>12</v>
      </c>
      <c r="B2" s="4">
        <v>42471</v>
      </c>
      <c r="D2" s="63" t="s">
        <v>2</v>
      </c>
      <c r="E2" s="64"/>
      <c r="H2" s="29" t="s">
        <v>26</v>
      </c>
      <c r="I2" s="30">
        <v>1</v>
      </c>
    </row>
    <row r="3" spans="1:10" ht="15.75" x14ac:dyDescent="0.25">
      <c r="A3" t="s">
        <v>28</v>
      </c>
      <c r="B3" t="s">
        <v>136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67.53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59</v>
      </c>
      <c r="D5" s="17" t="s">
        <v>5</v>
      </c>
      <c r="E5" s="25">
        <f>IF(B$7 &gt;= 0.51,1,0)</f>
        <v>0</v>
      </c>
      <c r="H5" s="31" t="s">
        <v>9</v>
      </c>
      <c r="I5" s="61" t="str">
        <f>IF(I4=2,"Se puede COMPRAR","Nada")</f>
        <v>Se puede COMPRAR</v>
      </c>
      <c r="J5" s="62"/>
    </row>
    <row r="6" spans="1:10" ht="15.75" x14ac:dyDescent="0.25">
      <c r="A6" t="s">
        <v>30</v>
      </c>
      <c r="B6" s="5">
        <v>76.03</v>
      </c>
      <c r="C6">
        <v>76.430000000000007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0.12586998371094338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75.329715000000007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5" t="s">
        <v>1</v>
      </c>
      <c r="E1" s="65"/>
      <c r="F1" s="28"/>
      <c r="H1" s="60" t="s">
        <v>13</v>
      </c>
      <c r="I1" s="60"/>
    </row>
    <row r="2" spans="1:10" ht="15.75" x14ac:dyDescent="0.25">
      <c r="A2" t="s">
        <v>12</v>
      </c>
      <c r="B2" s="4">
        <v>43154</v>
      </c>
      <c r="D2" s="63" t="s">
        <v>2</v>
      </c>
      <c r="E2" s="64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61" t="str">
        <f>IF(I4=2,"Se puede COMPRAR","Nada")</f>
        <v>Se puede COMPRAR</v>
      </c>
      <c r="J5" s="62"/>
    </row>
    <row r="6" spans="1:10" ht="15.75" x14ac:dyDescent="0.25">
      <c r="A6" t="s">
        <v>30</v>
      </c>
      <c r="B6" s="5">
        <v>30.27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0.16512702078521935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70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65</v>
      </c>
      <c r="E23" s="33"/>
    </row>
    <row r="24" spans="2:6" ht="15.75" x14ac:dyDescent="0.25">
      <c r="B24" s="53" t="s">
        <v>64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0"/>
  <sheetViews>
    <sheetView zoomScaleNormal="100" workbookViewId="0">
      <selection sqref="A1:XFD1048576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8" max="8" width="12" bestFit="1" customWidth="1"/>
    <col min="16" max="16" width="12.85546875" customWidth="1"/>
    <col min="18" max="18" width="17.7109375" customWidth="1"/>
    <col min="19" max="19" width="12.7109375" customWidth="1"/>
    <col min="20" max="20" width="24.140625" customWidth="1"/>
    <col min="21" max="21" width="12" bestFit="1" customWidth="1"/>
    <col min="26" max="26" width="12.7109375" bestFit="1" customWidth="1"/>
    <col min="27" max="27" width="16.140625" customWidth="1"/>
    <col min="28" max="28" width="15.28515625" customWidth="1"/>
    <col min="29" max="29" width="12.7109375" bestFit="1" customWidth="1"/>
  </cols>
  <sheetData>
    <row r="1" spans="1:29" x14ac:dyDescent="0.25">
      <c r="H1" s="66" t="s">
        <v>47</v>
      </c>
      <c r="I1" s="66"/>
      <c r="J1" s="66"/>
      <c r="K1" s="66"/>
      <c r="L1" s="67" t="s">
        <v>52</v>
      </c>
      <c r="M1" s="67"/>
      <c r="N1" s="67"/>
      <c r="O1" s="67"/>
      <c r="P1" s="68" t="s">
        <v>54</v>
      </c>
      <c r="Q1" s="68"/>
      <c r="R1" s="68"/>
      <c r="X1" s="59">
        <f ca="1">_xlfn.DAYS(TODAY(),B3)</f>
        <v>1521</v>
      </c>
      <c r="Y1" s="33"/>
    </row>
    <row r="2" spans="1:29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  <c r="Y2" t="s">
        <v>141</v>
      </c>
      <c r="Z2" t="s">
        <v>142</v>
      </c>
      <c r="AA2" t="s">
        <v>143</v>
      </c>
      <c r="AB2" t="s">
        <v>144</v>
      </c>
      <c r="AC2" t="s">
        <v>145</v>
      </c>
    </row>
    <row r="3" spans="1:29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  <c r="Y3">
        <f>_xlfn.DAYS(C3,B3)</f>
        <v>62</v>
      </c>
      <c r="Z3" s="59">
        <f ca="1">Y3/X$1</f>
        <v>4.076265614727153E-2</v>
      </c>
      <c r="AA3" s="56">
        <f ca="1">Z3*H3</f>
        <v>162.5818540433925</v>
      </c>
      <c r="AB3" s="5"/>
    </row>
    <row r="4" spans="1:29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72</v>
      </c>
      <c r="Z4" s="59"/>
      <c r="AA4" s="56"/>
      <c r="AB4" s="5"/>
    </row>
    <row r="5" spans="1:29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  <c r="Y5">
        <f t="shared" ref="Y5:Y24" si="0">_xlfn.DAYS(C5,B5)</f>
        <v>55</v>
      </c>
      <c r="Z5" s="59">
        <f t="shared" ref="Z5:Z27" ca="1" si="1">Y5/X$1</f>
        <v>3.6160420775805391E-2</v>
      </c>
      <c r="AA5" s="56">
        <f t="shared" ref="AA5:AA24" ca="1" si="2">Z5*H5</f>
        <v>144.69447731755423</v>
      </c>
      <c r="AB5" s="5"/>
    </row>
    <row r="6" spans="1:29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  <c r="Y6">
        <f t="shared" si="0"/>
        <v>14</v>
      </c>
      <c r="Z6" s="59">
        <f t="shared" ca="1" si="1"/>
        <v>9.204470742932281E-3</v>
      </c>
      <c r="AA6" s="56">
        <f t="shared" ca="1" si="2"/>
        <v>36.866666666666667</v>
      </c>
      <c r="AB6" s="5"/>
    </row>
    <row r="7" spans="1:29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  <c r="Z7" s="59"/>
      <c r="AA7" s="56"/>
      <c r="AB7" s="5"/>
    </row>
    <row r="8" spans="1:29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  <c r="Z8" s="59"/>
      <c r="AA8" s="56"/>
      <c r="AB8" s="5"/>
    </row>
    <row r="9" spans="1:29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  <c r="Z9" s="59"/>
      <c r="AA9" s="56"/>
      <c r="AB9" s="5"/>
    </row>
    <row r="10" spans="1:29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  <c r="Z10" s="59"/>
      <c r="AA10" s="56"/>
      <c r="AB10" s="5"/>
    </row>
    <row r="11" spans="1:29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59</v>
      </c>
      <c r="Z11" s="59"/>
      <c r="AA11" s="56"/>
      <c r="AB11" s="5"/>
    </row>
    <row r="12" spans="1:29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  <c r="Z12" s="59"/>
      <c r="AA12" s="56"/>
      <c r="AB12" s="5"/>
    </row>
    <row r="13" spans="1:29" x14ac:dyDescent="0.25">
      <c r="A13" s="7" t="s">
        <v>24</v>
      </c>
      <c r="B13" s="8">
        <f>'Operacion 3'!B$2</f>
        <v>43154</v>
      </c>
      <c r="C13" s="8">
        <v>43442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  <c r="Y13">
        <f t="shared" si="0"/>
        <v>288</v>
      </c>
      <c r="Z13" s="59">
        <f t="shared" ca="1" si="1"/>
        <v>0.1893491124260355</v>
      </c>
      <c r="AA13" s="56">
        <f t="shared" ca="1" si="2"/>
        <v>111.0305325443787</v>
      </c>
      <c r="AB13" s="5"/>
    </row>
    <row r="14" spans="1:29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  <c r="Y14">
        <f t="shared" si="0"/>
        <v>869</v>
      </c>
      <c r="Z14" s="59">
        <f t="shared" ca="1" si="1"/>
        <v>0.57133464825772518</v>
      </c>
      <c r="AA14" s="56">
        <f t="shared" ca="1" si="2"/>
        <v>2507.9305719921108</v>
      </c>
      <c r="AB14" s="5"/>
    </row>
    <row r="15" spans="1:29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  <c r="Y15">
        <f t="shared" si="0"/>
        <v>632</v>
      </c>
      <c r="Z15" s="59">
        <f t="shared" ca="1" si="1"/>
        <v>0.41551610782380011</v>
      </c>
      <c r="AA15" s="56">
        <f t="shared" ca="1" si="2"/>
        <v>249.55897435897435</v>
      </c>
      <c r="AB15" s="5"/>
    </row>
    <row r="16" spans="1:29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59</v>
      </c>
      <c r="Z16" s="59"/>
      <c r="AA16" s="56"/>
      <c r="AB16" s="5"/>
    </row>
    <row r="17" spans="1:29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59</v>
      </c>
      <c r="Z17" s="59"/>
      <c r="AA17" s="56"/>
      <c r="AB17" s="5"/>
    </row>
    <row r="18" spans="1:29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69</v>
      </c>
      <c r="Z18" s="59"/>
      <c r="AA18" s="56"/>
      <c r="AB18" s="5"/>
    </row>
    <row r="19" spans="1:29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71</v>
      </c>
      <c r="Z19" s="59"/>
      <c r="AA19" s="56"/>
      <c r="AB19" s="5"/>
    </row>
    <row r="20" spans="1:29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71</v>
      </c>
      <c r="Z20" s="59"/>
      <c r="AA20" s="56"/>
      <c r="AB20" s="5"/>
    </row>
    <row r="21" spans="1:29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139</v>
      </c>
      <c r="Z21" s="59"/>
      <c r="AA21" s="56"/>
      <c r="AB21" s="5"/>
    </row>
    <row r="22" spans="1:29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-2.18-2.26-3.09-2.27</f>
        <v>-9.7999999999999989</v>
      </c>
      <c r="S22" s="10"/>
      <c r="T22" t="s">
        <v>140</v>
      </c>
      <c r="Z22" s="59"/>
      <c r="AA22" s="56"/>
      <c r="AB22" s="5"/>
    </row>
    <row r="23" spans="1:29" x14ac:dyDescent="0.25">
      <c r="A23" s="39" t="s">
        <v>136</v>
      </c>
      <c r="B23" s="8">
        <v>43550</v>
      </c>
      <c r="C23" s="8"/>
      <c r="D23" s="14"/>
      <c r="E23" s="9"/>
      <c r="F23" s="9"/>
      <c r="G23" s="10"/>
      <c r="H23" s="9"/>
      <c r="I23" s="9">
        <v>30.631499999999999</v>
      </c>
      <c r="J23" s="9">
        <v>14.294699999999999</v>
      </c>
      <c r="K23" s="9"/>
      <c r="L23" s="9"/>
      <c r="M23" s="9"/>
      <c r="N23" s="9"/>
      <c r="O23" s="9"/>
      <c r="P23" s="9"/>
      <c r="Q23" s="9"/>
      <c r="R23" s="9">
        <f>-I23-J23</f>
        <v>-44.926199999999994</v>
      </c>
      <c r="S23" s="10"/>
      <c r="T23" t="s">
        <v>137</v>
      </c>
      <c r="Z23" s="59"/>
      <c r="AA23" s="56"/>
      <c r="AB23" s="5"/>
    </row>
    <row r="24" spans="1:29" x14ac:dyDescent="0.25">
      <c r="A24" s="7" t="s">
        <v>136</v>
      </c>
      <c r="B24" s="8">
        <v>43545</v>
      </c>
      <c r="C24" s="8">
        <v>43567</v>
      </c>
      <c r="D24" s="14">
        <v>60</v>
      </c>
      <c r="E24" s="9">
        <v>68.069999999999993</v>
      </c>
      <c r="F24" s="9">
        <v>75.53</v>
      </c>
      <c r="G24" s="10">
        <v>0.10959306596151031</v>
      </c>
      <c r="H24" s="9">
        <v>4084.2</v>
      </c>
      <c r="I24" s="9">
        <v>30.631499999999999</v>
      </c>
      <c r="J24" s="9">
        <v>14.294699999999999</v>
      </c>
      <c r="K24" s="9">
        <v>4129.1262000000006</v>
      </c>
      <c r="L24" s="9">
        <v>4531.8</v>
      </c>
      <c r="M24" s="9">
        <v>-33.988500000000002</v>
      </c>
      <c r="N24" s="9">
        <v>-15.861300000000002</v>
      </c>
      <c r="O24" s="9">
        <v>4481.9502000000002</v>
      </c>
      <c r="P24" s="9">
        <v>64.62</v>
      </c>
      <c r="Q24" s="9">
        <v>30.155999999999999</v>
      </c>
      <c r="R24" s="9">
        <v>352.82399999999961</v>
      </c>
      <c r="S24" s="10">
        <v>8.5447618433168629E-2</v>
      </c>
      <c r="T24" t="s">
        <v>138</v>
      </c>
      <c r="Y24">
        <f t="shared" si="0"/>
        <v>22</v>
      </c>
      <c r="Z24" s="59">
        <f t="shared" ca="1" si="1"/>
        <v>1.4464168310322156E-2</v>
      </c>
      <c r="AA24" s="56">
        <f t="shared" ca="1" si="2"/>
        <v>59.07455621301775</v>
      </c>
      <c r="AB24" s="5"/>
    </row>
    <row r="25" spans="1:29" x14ac:dyDescent="0.25">
      <c r="A25" s="7" t="s">
        <v>46</v>
      </c>
      <c r="C25" s="8">
        <v>43587</v>
      </c>
      <c r="D25" s="14"/>
      <c r="E25" s="9"/>
      <c r="F25" s="9">
        <v>86.24</v>
      </c>
      <c r="G25" s="10"/>
      <c r="H25" s="9"/>
      <c r="I25" s="9"/>
      <c r="J25" s="9"/>
      <c r="K25" s="9"/>
      <c r="L25" s="9"/>
      <c r="M25" s="9"/>
      <c r="N25" s="9"/>
      <c r="O25" s="9"/>
      <c r="P25" s="9">
        <f>2.5+0.53</f>
        <v>3.0300000000000002</v>
      </c>
      <c r="Q25" s="9">
        <f>16.39+20.96</f>
        <v>37.35</v>
      </c>
      <c r="R25" s="9">
        <f>F25-P25-Q25</f>
        <v>45.859999999999992</v>
      </c>
      <c r="S25" s="10"/>
      <c r="T25" t="s">
        <v>71</v>
      </c>
      <c r="Z25" s="59"/>
      <c r="AA25" s="56"/>
      <c r="AB25" s="5"/>
    </row>
    <row r="26" spans="1:29" x14ac:dyDescent="0.25">
      <c r="A26" s="7"/>
      <c r="B26" s="8"/>
      <c r="C26" s="8"/>
      <c r="D26" s="14"/>
      <c r="E26" s="9"/>
      <c r="F26" s="9"/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  <c r="Z26" s="59"/>
      <c r="AB26" s="5"/>
    </row>
    <row r="27" spans="1:29" x14ac:dyDescent="0.25">
      <c r="Y27">
        <f ca="1">_xlfn.DAYS(TODAY(),B32)</f>
        <v>441</v>
      </c>
      <c r="Z27" s="59">
        <f t="shared" ca="1" si="1"/>
        <v>0.28994082840236685</v>
      </c>
      <c r="AA27" s="56">
        <f ca="1">Z27*H32</f>
        <v>1476.4018934911242</v>
      </c>
      <c r="AB27" s="5"/>
    </row>
    <row r="28" spans="1:29" x14ac:dyDescent="0.25">
      <c r="H28" s="15">
        <f t="shared" ref="H28:O28" si="3">SUM(H3:H27)</f>
        <v>21656.039999999997</v>
      </c>
      <c r="I28" s="15">
        <f t="shared" si="3"/>
        <v>103.523</v>
      </c>
      <c r="J28" s="15">
        <f t="shared" si="3"/>
        <v>42.339399999999998</v>
      </c>
      <c r="K28" s="15">
        <f t="shared" si="3"/>
        <v>4129.1262000000006</v>
      </c>
      <c r="L28" s="15">
        <f t="shared" si="3"/>
        <v>4531.8</v>
      </c>
      <c r="M28" s="15">
        <f t="shared" si="3"/>
        <v>-33.988500000000002</v>
      </c>
      <c r="N28" s="15">
        <f t="shared" si="3"/>
        <v>-15.861300000000002</v>
      </c>
      <c r="O28" s="15">
        <f t="shared" si="3"/>
        <v>4481.9502000000002</v>
      </c>
      <c r="R28" s="15">
        <f>SUM(R3:R27)</f>
        <v>3571.3034679999992</v>
      </c>
      <c r="S28" s="16">
        <f>SUM(S3:S27)/7</f>
        <v>0.54861989434118641</v>
      </c>
      <c r="T28" s="16">
        <f>S28/4</f>
        <v>0.1371549735852966</v>
      </c>
      <c r="Y28">
        <f ca="1">SUM(Y3:Y27)</f>
        <v>2383</v>
      </c>
      <c r="Z28" s="59">
        <f ca="1">SUM(Z3:Z27)</f>
        <v>1.566732412886259</v>
      </c>
      <c r="AA28" s="56">
        <f ca="1">SUM(AA3:AA27)</f>
        <v>4748.1395266272193</v>
      </c>
      <c r="AB28" s="3">
        <f ca="1">R28/AA28</f>
        <v>0.7521479619485465</v>
      </c>
      <c r="AC28" s="3">
        <f ca="1">AB28/(X1/365)</f>
        <v>0.18049573051362228</v>
      </c>
    </row>
    <row r="29" spans="1:29" x14ac:dyDescent="0.25">
      <c r="H29" s="52"/>
      <c r="I29" s="52"/>
      <c r="J29" s="52"/>
      <c r="K29" s="52"/>
      <c r="L29" s="52"/>
      <c r="M29" s="52"/>
      <c r="N29" s="52"/>
      <c r="O29" s="52"/>
      <c r="R29" s="52"/>
      <c r="S29" s="51"/>
      <c r="T29" s="51"/>
      <c r="U29">
        <v>0.24199999999999999</v>
      </c>
    </row>
    <row r="30" spans="1:29" x14ac:dyDescent="0.25">
      <c r="A30" s="39" t="str">
        <f>'Operacion 1'!B$3</f>
        <v>ABI.BR</v>
      </c>
      <c r="B30" s="8">
        <f>'Operacion 1'!B$2</f>
        <v>42234</v>
      </c>
      <c r="C30" s="8"/>
      <c r="D30" s="14">
        <f>'Operacion 1'!B$5</f>
        <v>62</v>
      </c>
      <c r="E30" s="9">
        <f>'Operacion 1'!B$4</f>
        <v>89</v>
      </c>
      <c r="F30" s="9">
        <f>'Operacion 1'!B$6</f>
        <v>120</v>
      </c>
      <c r="G30" s="10">
        <f>'Operacion 1'!B$7</f>
        <v>0.348314606741573</v>
      </c>
      <c r="H30" s="9">
        <f>(E30*D30)</f>
        <v>5518</v>
      </c>
      <c r="I30" s="9">
        <f>IF((H30*0.005)&lt;20,20,(H30*0.005))</f>
        <v>27.59</v>
      </c>
      <c r="J30" s="9">
        <f>SUM(H30:I30)*0.0027</f>
        <v>14.973093</v>
      </c>
      <c r="K30" s="9">
        <f>SUM(H30:J30)</f>
        <v>5560.5630929999998</v>
      </c>
      <c r="L30" s="9">
        <f>D30*F30</f>
        <v>7440</v>
      </c>
      <c r="M30" s="9">
        <f>IF((L30*0.005)&lt;20,-20,-(L30*0.005))</f>
        <v>-37.200000000000003</v>
      </c>
      <c r="N30" s="9">
        <f>-(SUM(L30:M30)*0.0027)</f>
        <v>-19.987560000000002</v>
      </c>
      <c r="O30" s="9">
        <f>SUM(L30:N30)</f>
        <v>7382.8124400000006</v>
      </c>
      <c r="P30" s="9">
        <f>I30-M30</f>
        <v>64.790000000000006</v>
      </c>
      <c r="Q30" s="9">
        <f>J30-N30</f>
        <v>34.960653000000001</v>
      </c>
      <c r="R30" s="9">
        <f t="shared" ref="R30:R31" si="4">O30-K30</f>
        <v>1822.2493470000009</v>
      </c>
      <c r="S30" s="10">
        <f>R30/K30</f>
        <v>0.32770949929404947</v>
      </c>
      <c r="T30" t="s">
        <v>109</v>
      </c>
      <c r="U30" t="s">
        <v>111</v>
      </c>
    </row>
    <row r="31" spans="1:29" x14ac:dyDescent="0.25">
      <c r="A31" s="39" t="str">
        <f>'Operacion 2'!B$3</f>
        <v>BMW.DE</v>
      </c>
      <c r="B31" s="8">
        <f>'Operacion 2'!B$2</f>
        <v>42471</v>
      </c>
      <c r="C31" s="8"/>
      <c r="D31" s="14">
        <f>'Operacion 2'!B$5</f>
        <v>59</v>
      </c>
      <c r="E31" s="9">
        <f>'Operacion 2'!B$4</f>
        <v>67.53</v>
      </c>
      <c r="F31" s="9">
        <f>'Operacion 2'!B$6</f>
        <v>76.03</v>
      </c>
      <c r="G31" s="10">
        <f>'Operacion 2'!B$7</f>
        <v>0.12586998371094338</v>
      </c>
      <c r="H31" s="9">
        <f t="shared" ref="H31:H32" si="5">E31*D31</f>
        <v>3984.27</v>
      </c>
      <c r="I31" s="9">
        <f>IF((H31*(0.0075))&lt;30,30,(H31*(0.0075)))</f>
        <v>30</v>
      </c>
      <c r="J31" s="9">
        <f>H31*0.0035</f>
        <v>13.944945000000001</v>
      </c>
      <c r="K31" s="9">
        <f t="shared" ref="K31:K32" si="6">SUM(H31:J31)</f>
        <v>4028.2149450000002</v>
      </c>
      <c r="L31" s="9">
        <f t="shared" ref="L31:L32" si="7">D31*F31</f>
        <v>4485.7700000000004</v>
      </c>
      <c r="M31" s="9">
        <f>IF((L31*(0.0075))&lt;30,-30,-(L31*(0.0075)))</f>
        <v>-33.643275000000003</v>
      </c>
      <c r="N31" s="9">
        <f>-(L31*0.0035)</f>
        <v>-15.700195000000003</v>
      </c>
      <c r="O31" s="9">
        <f t="shared" ref="O31:O32" si="8">SUM(L31:N31)</f>
        <v>4436.4265299999997</v>
      </c>
      <c r="P31" s="9">
        <f t="shared" ref="P31:P32" si="9">I31-M31</f>
        <v>63.643275000000003</v>
      </c>
      <c r="Q31" s="9">
        <f t="shared" ref="Q31:Q32" si="10">J31-N31</f>
        <v>29.645140000000005</v>
      </c>
      <c r="R31" s="9">
        <f t="shared" si="4"/>
        <v>408.21158499999956</v>
      </c>
      <c r="S31" s="10">
        <f t="shared" ref="S31" si="11">R31/K31</f>
        <v>0.10133808413244928</v>
      </c>
      <c r="T31" t="s">
        <v>108</v>
      </c>
      <c r="U31" t="s">
        <v>111</v>
      </c>
    </row>
    <row r="32" spans="1:29" x14ac:dyDescent="0.25">
      <c r="A32" s="39" t="str">
        <f>'Operacion 3'!B3</f>
        <v>ITX.MC</v>
      </c>
      <c r="B32" s="8">
        <f>'Operacion 3'!B$2</f>
        <v>43154</v>
      </c>
      <c r="C32" s="8"/>
      <c r="D32" s="14">
        <f>'Operacion 3'!B$5</f>
        <v>196</v>
      </c>
      <c r="E32" s="9">
        <f>'Operacion 3'!B$4</f>
        <v>25.98</v>
      </c>
      <c r="F32" s="9">
        <f>'Operacion 3'!B$6</f>
        <v>30.27</v>
      </c>
      <c r="G32" s="10">
        <f>'Operacion 3'!B$7</f>
        <v>0.16512702078521935</v>
      </c>
      <c r="H32" s="9">
        <f t="shared" si="5"/>
        <v>5092.08</v>
      </c>
      <c r="I32" s="9">
        <f>IF((H32*(0.0075+0.0008))&lt;30,30,(H32*(0.0075+0.0008)))</f>
        <v>42.264263999999997</v>
      </c>
      <c r="J32" s="9">
        <f>H32*0.0027</f>
        <v>13.748616</v>
      </c>
      <c r="K32" s="9">
        <f t="shared" si="6"/>
        <v>5148.0928800000002</v>
      </c>
      <c r="L32" s="9">
        <f t="shared" si="7"/>
        <v>5932.92</v>
      </c>
      <c r="M32" s="9">
        <f>IF((L32*(0.0075))&lt;30,-30,-(L32*(0.0075)))</f>
        <v>-44.496899999999997</v>
      </c>
      <c r="N32" s="9">
        <f>-(L32*0.0035)</f>
        <v>-20.765219999999999</v>
      </c>
      <c r="O32" s="9">
        <f t="shared" si="8"/>
        <v>5867.6578799999997</v>
      </c>
      <c r="P32" s="9">
        <f t="shared" si="9"/>
        <v>86.761163999999994</v>
      </c>
      <c r="Q32" s="9">
        <f t="shared" si="10"/>
        <v>34.513835999999998</v>
      </c>
      <c r="R32" s="9">
        <f>O32-K32</f>
        <v>719.5649999999996</v>
      </c>
      <c r="S32" s="10">
        <f>R32/K32</f>
        <v>0.13977311924488814</v>
      </c>
      <c r="T32" t="s">
        <v>58</v>
      </c>
      <c r="U32" t="s">
        <v>111</v>
      </c>
      <c r="AA32" s="56"/>
    </row>
    <row r="33" spans="3:27" x14ac:dyDescent="0.25">
      <c r="R33" s="56">
        <f>R32+SUM(R19:R22)+R25</f>
        <v>804.01499999999965</v>
      </c>
      <c r="S33" s="10">
        <f>R33/K32</f>
        <v>0.1561772521866388</v>
      </c>
    </row>
    <row r="34" spans="3:27" x14ac:dyDescent="0.25">
      <c r="D34" s="48"/>
      <c r="H34" s="48"/>
      <c r="I34" s="48"/>
      <c r="J34" s="48"/>
      <c r="K34" s="48"/>
      <c r="L34" s="48"/>
      <c r="M34" s="48"/>
      <c r="N34" s="48"/>
      <c r="O34" s="48"/>
      <c r="R34" s="48"/>
    </row>
    <row r="35" spans="3:27" x14ac:dyDescent="0.25">
      <c r="F35" s="5"/>
      <c r="G35" s="48"/>
      <c r="U35" t="s">
        <v>46</v>
      </c>
    </row>
    <row r="36" spans="3:27" x14ac:dyDescent="0.25">
      <c r="T36" t="s">
        <v>68</v>
      </c>
      <c r="U36">
        <v>26.25</v>
      </c>
      <c r="AA36" s="56"/>
    </row>
    <row r="37" spans="3:27" x14ac:dyDescent="0.25">
      <c r="H37" s="5"/>
      <c r="I37" s="5"/>
      <c r="J37" s="5"/>
      <c r="K37" s="5"/>
      <c r="L37" s="5"/>
      <c r="M37" s="5"/>
      <c r="N37" s="5"/>
      <c r="O37" s="5"/>
      <c r="P37" s="5"/>
      <c r="R37" s="5"/>
      <c r="T37" t="s">
        <v>66</v>
      </c>
      <c r="U37">
        <v>30.27</v>
      </c>
      <c r="W37" t="s">
        <v>113</v>
      </c>
    </row>
    <row r="38" spans="3:27" x14ac:dyDescent="0.25">
      <c r="D38" t="s">
        <v>62</v>
      </c>
      <c r="E38">
        <v>74.89</v>
      </c>
      <c r="F38">
        <v>52</v>
      </c>
      <c r="G38" s="10">
        <f>1-(F38/E38)</f>
        <v>0.30564828415008682</v>
      </c>
      <c r="N38">
        <v>6769.84</v>
      </c>
      <c r="O38">
        <v>74.459999999999994</v>
      </c>
      <c r="P38" s="5">
        <v>6695.38</v>
      </c>
      <c r="S38" s="10"/>
      <c r="T38" t="s">
        <v>67</v>
      </c>
      <c r="U38" s="3">
        <f>(U37/U36)-1</f>
        <v>0.15314285714285703</v>
      </c>
      <c r="V38" s="3"/>
      <c r="W38" t="s">
        <v>81</v>
      </c>
    </row>
    <row r="39" spans="3:27" x14ac:dyDescent="0.25">
      <c r="D39" t="s">
        <v>61</v>
      </c>
      <c r="E39">
        <v>182.08</v>
      </c>
      <c r="F39">
        <v>126</v>
      </c>
      <c r="G39" s="10">
        <f>1-(F39/E39)</f>
        <v>0.30799648506151145</v>
      </c>
      <c r="H39" s="5"/>
      <c r="I39" s="5"/>
      <c r="J39" s="5"/>
      <c r="K39" s="5"/>
      <c r="L39" s="5"/>
      <c r="M39" s="5"/>
      <c r="N39" s="5"/>
      <c r="O39" s="5"/>
      <c r="P39" s="5">
        <f>P38-K32</f>
        <v>1547.28712</v>
      </c>
      <c r="R39" s="5"/>
    </row>
    <row r="40" spans="3:27" x14ac:dyDescent="0.25">
      <c r="D40" t="s">
        <v>63</v>
      </c>
      <c r="E40">
        <v>93.54</v>
      </c>
      <c r="F40">
        <v>65</v>
      </c>
      <c r="G40" s="10">
        <f>1-(F40/E40)</f>
        <v>0.30511011332050464</v>
      </c>
      <c r="H40" s="9"/>
      <c r="I40" s="9"/>
      <c r="J40" s="9"/>
      <c r="K40" s="5"/>
      <c r="P40" s="56">
        <f>P39*0.1</f>
        <v>154.728712</v>
      </c>
    </row>
    <row r="41" spans="3:27" x14ac:dyDescent="0.25">
      <c r="C41" t="s">
        <v>107</v>
      </c>
      <c r="E41">
        <v>20</v>
      </c>
      <c r="F41">
        <v>14</v>
      </c>
      <c r="G41" s="10">
        <f>1-(F41/E41)</f>
        <v>0.30000000000000004</v>
      </c>
      <c r="P41" s="56">
        <f>P39-P40</f>
        <v>1392.5584079999999</v>
      </c>
      <c r="R41" s="43"/>
    </row>
    <row r="42" spans="3:27" x14ac:dyDescent="0.25">
      <c r="F42" s="5"/>
      <c r="R42" s="9"/>
      <c r="S42">
        <f>(0.00242*12)</f>
        <v>2.9039999999999996E-2</v>
      </c>
    </row>
    <row r="43" spans="3:27" x14ac:dyDescent="0.25">
      <c r="O43" s="9"/>
      <c r="R43" s="45"/>
      <c r="S43">
        <f>4700*S42</f>
        <v>136.48799999999997</v>
      </c>
    </row>
    <row r="44" spans="3:27" x14ac:dyDescent="0.25">
      <c r="P44" s="3"/>
      <c r="R44" s="50" t="s">
        <v>119</v>
      </c>
      <c r="S44" s="48" t="s">
        <v>120</v>
      </c>
      <c r="T44" s="5"/>
    </row>
    <row r="45" spans="3:27" ht="15.75" x14ac:dyDescent="0.25">
      <c r="F45" s="5"/>
      <c r="Q45" t="s">
        <v>116</v>
      </c>
      <c r="R45" s="57" t="s">
        <v>148</v>
      </c>
      <c r="S45" s="49"/>
      <c r="T45" s="5"/>
    </row>
    <row r="46" spans="3:27" x14ac:dyDescent="0.25">
      <c r="E46" s="5"/>
      <c r="F46" s="5"/>
      <c r="Q46" t="s">
        <v>117</v>
      </c>
      <c r="R46" s="57" t="s">
        <v>118</v>
      </c>
      <c r="S46" t="s">
        <v>121</v>
      </c>
    </row>
    <row r="47" spans="3:27" x14ac:dyDescent="0.25">
      <c r="E47" s="5"/>
      <c r="F47" s="5"/>
      <c r="G47" s="5"/>
      <c r="J47" t="s">
        <v>122</v>
      </c>
      <c r="R47" s="5"/>
      <c r="S47" t="s">
        <v>135</v>
      </c>
      <c r="T47" s="5"/>
    </row>
    <row r="48" spans="3:27" x14ac:dyDescent="0.25">
      <c r="J48" s="58">
        <v>43587</v>
      </c>
      <c r="R48" s="43"/>
    </row>
    <row r="49" spans="10:19" x14ac:dyDescent="0.25">
      <c r="J49" t="s">
        <v>123</v>
      </c>
      <c r="R49" s="44"/>
    </row>
    <row r="50" spans="10:19" x14ac:dyDescent="0.25">
      <c r="J50" t="s">
        <v>124</v>
      </c>
      <c r="L50" t="s">
        <v>147</v>
      </c>
      <c r="R50" s="57"/>
      <c r="S50">
        <f>5000/12</f>
        <v>416.66666666666669</v>
      </c>
    </row>
    <row r="51" spans="10:19" x14ac:dyDescent="0.25">
      <c r="J51" t="s">
        <v>125</v>
      </c>
      <c r="S51">
        <f>2.2/S50</f>
        <v>5.28E-3</v>
      </c>
    </row>
    <row r="52" spans="10:19" x14ac:dyDescent="0.25">
      <c r="J52" t="s">
        <v>126</v>
      </c>
      <c r="S52">
        <f>100*S51</f>
        <v>0.52800000000000002</v>
      </c>
    </row>
    <row r="53" spans="10:19" x14ac:dyDescent="0.25">
      <c r="J53" t="s">
        <v>127</v>
      </c>
      <c r="S53">
        <f>2.2*12</f>
        <v>26.400000000000002</v>
      </c>
    </row>
    <row r="54" spans="10:19" x14ac:dyDescent="0.25">
      <c r="J54" t="s">
        <v>128</v>
      </c>
    </row>
    <row r="55" spans="10:19" x14ac:dyDescent="0.25">
      <c r="J55" t="s">
        <v>129</v>
      </c>
    </row>
    <row r="56" spans="10:19" x14ac:dyDescent="0.25">
      <c r="J56" t="s">
        <v>130</v>
      </c>
    </row>
    <row r="57" spans="10:19" x14ac:dyDescent="0.25">
      <c r="J57" t="s">
        <v>131</v>
      </c>
    </row>
    <row r="58" spans="10:19" x14ac:dyDescent="0.25">
      <c r="J58" t="s">
        <v>132</v>
      </c>
    </row>
    <row r="59" spans="10:19" x14ac:dyDescent="0.25">
      <c r="J59" t="s">
        <v>133</v>
      </c>
    </row>
    <row r="60" spans="10:19" x14ac:dyDescent="0.25">
      <c r="J60" t="s">
        <v>134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1EA0-B43D-4A2A-807D-31E3E3AB62CB}">
  <dimension ref="A1:AC60"/>
  <sheetViews>
    <sheetView tabSelected="1" workbookViewId="0">
      <selection activeCell="E24" sqref="E24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8" max="8" width="12" bestFit="1" customWidth="1"/>
    <col min="16" max="16" width="12.85546875" customWidth="1"/>
    <col min="18" max="18" width="17.7109375" customWidth="1"/>
    <col min="19" max="19" width="12.7109375" customWidth="1"/>
    <col min="20" max="20" width="24.140625" customWidth="1"/>
    <col min="21" max="21" width="12" bestFit="1" customWidth="1"/>
    <col min="26" max="26" width="12.7109375" bestFit="1" customWidth="1"/>
    <col min="27" max="27" width="16.140625" customWidth="1"/>
    <col min="28" max="28" width="15.28515625" customWidth="1"/>
    <col min="29" max="29" width="12.7109375" bestFit="1" customWidth="1"/>
  </cols>
  <sheetData>
    <row r="1" spans="1:29" x14ac:dyDescent="0.25">
      <c r="H1" s="66" t="s">
        <v>47</v>
      </c>
      <c r="I1" s="66"/>
      <c r="J1" s="66"/>
      <c r="K1" s="66"/>
      <c r="L1" s="67" t="s">
        <v>52</v>
      </c>
      <c r="M1" s="67"/>
      <c r="N1" s="67"/>
      <c r="O1" s="67"/>
      <c r="P1" s="68" t="s">
        <v>54</v>
      </c>
      <c r="Q1" s="68"/>
      <c r="R1" s="68"/>
      <c r="X1" s="59">
        <f ca="1">_xlfn.DAYS(TODAY(),B3)</f>
        <v>1521</v>
      </c>
      <c r="Y1" s="33"/>
    </row>
    <row r="2" spans="1:29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  <c r="Y2" t="s">
        <v>141</v>
      </c>
      <c r="Z2" t="s">
        <v>142</v>
      </c>
      <c r="AA2" t="s">
        <v>143</v>
      </c>
      <c r="AB2" t="s">
        <v>144</v>
      </c>
      <c r="AC2" t="s">
        <v>145</v>
      </c>
    </row>
    <row r="3" spans="1:29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  <c r="Y3">
        <f>_xlfn.DAYS(C3,B3)</f>
        <v>62</v>
      </c>
      <c r="Z3" s="59">
        <f ca="1">Y3/X$1</f>
        <v>4.076265614727153E-2</v>
      </c>
      <c r="AA3" s="56">
        <f ca="1">Z3*H3</f>
        <v>162.5818540433925</v>
      </c>
      <c r="AB3" s="5"/>
    </row>
    <row r="4" spans="1:29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72</v>
      </c>
      <c r="Z4" s="59"/>
      <c r="AA4" s="56"/>
      <c r="AB4" s="5"/>
    </row>
    <row r="5" spans="1:29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  <c r="Y5">
        <f t="shared" ref="Y5:Y24" si="0">_xlfn.DAYS(C5,B5)</f>
        <v>55</v>
      </c>
      <c r="Z5" s="59">
        <f t="shared" ref="Z5:Z27" ca="1" si="1">Y5/X$1</f>
        <v>3.6160420775805391E-2</v>
      </c>
      <c r="AA5" s="56">
        <f t="shared" ref="AA5:AA24" ca="1" si="2">Z5*H5</f>
        <v>144.69447731755423</v>
      </c>
      <c r="AB5" s="5"/>
    </row>
    <row r="6" spans="1:29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  <c r="Y6">
        <f t="shared" si="0"/>
        <v>14</v>
      </c>
      <c r="Z6" s="59">
        <f t="shared" ca="1" si="1"/>
        <v>9.204470742932281E-3</v>
      </c>
      <c r="AA6" s="56">
        <f t="shared" ca="1" si="2"/>
        <v>36.866666666666667</v>
      </c>
      <c r="AB6" s="5"/>
    </row>
    <row r="7" spans="1:29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  <c r="Z7" s="59"/>
      <c r="AA7" s="56"/>
      <c r="AB7" s="5"/>
    </row>
    <row r="8" spans="1:29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  <c r="Z8" s="59"/>
      <c r="AA8" s="56"/>
      <c r="AB8" s="5"/>
    </row>
    <row r="9" spans="1:29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  <c r="Z9" s="59"/>
      <c r="AA9" s="56"/>
      <c r="AB9" s="5"/>
    </row>
    <row r="10" spans="1:29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  <c r="Z10" s="59"/>
      <c r="AA10" s="56"/>
      <c r="AB10" s="5"/>
    </row>
    <row r="11" spans="1:29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59</v>
      </c>
      <c r="Z11" s="59"/>
      <c r="AA11" s="56"/>
      <c r="AB11" s="5"/>
    </row>
    <row r="12" spans="1:29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  <c r="Z12" s="59"/>
      <c r="AA12" s="56"/>
      <c r="AB12" s="5"/>
    </row>
    <row r="13" spans="1:29" x14ac:dyDescent="0.25">
      <c r="A13" s="7" t="s">
        <v>24</v>
      </c>
      <c r="B13" s="8">
        <f>'Operacion 3'!B$2</f>
        <v>43154</v>
      </c>
      <c r="C13" s="8">
        <v>43442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  <c r="Y13">
        <f t="shared" si="0"/>
        <v>288</v>
      </c>
      <c r="Z13" s="59">
        <f t="shared" ca="1" si="1"/>
        <v>0.1893491124260355</v>
      </c>
      <c r="AA13" s="56">
        <f t="shared" ca="1" si="2"/>
        <v>111.0305325443787</v>
      </c>
      <c r="AB13" s="5"/>
    </row>
    <row r="14" spans="1:29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  <c r="Y14">
        <f t="shared" si="0"/>
        <v>869</v>
      </c>
      <c r="Z14" s="59">
        <f t="shared" ca="1" si="1"/>
        <v>0.57133464825772518</v>
      </c>
      <c r="AA14" s="56">
        <f t="shared" ca="1" si="2"/>
        <v>2507.9305719921108</v>
      </c>
      <c r="AB14" s="5"/>
    </row>
    <row r="15" spans="1:29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  <c r="Y15">
        <f t="shared" si="0"/>
        <v>632</v>
      </c>
      <c r="Z15" s="59">
        <f t="shared" ca="1" si="1"/>
        <v>0.41551610782380011</v>
      </c>
      <c r="AA15" s="56">
        <f t="shared" ca="1" si="2"/>
        <v>249.55897435897435</v>
      </c>
      <c r="AB15" s="5"/>
    </row>
    <row r="16" spans="1:29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59</v>
      </c>
      <c r="Z16" s="59"/>
      <c r="AA16" s="56"/>
      <c r="AB16" s="5"/>
    </row>
    <row r="17" spans="1:29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59</v>
      </c>
      <c r="Z17" s="59"/>
      <c r="AA17" s="56"/>
      <c r="AB17" s="5"/>
    </row>
    <row r="18" spans="1:29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69</v>
      </c>
      <c r="Z18" s="59"/>
      <c r="AA18" s="56"/>
      <c r="AB18" s="5"/>
    </row>
    <row r="19" spans="1:29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71</v>
      </c>
      <c r="Z19" s="59"/>
      <c r="AA19" s="56"/>
      <c r="AB19" s="5"/>
    </row>
    <row r="20" spans="1:29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71</v>
      </c>
      <c r="Z20" s="59"/>
      <c r="AA20" s="56"/>
      <c r="AB20" s="5"/>
    </row>
    <row r="21" spans="1:29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139</v>
      </c>
      <c r="Z21" s="59"/>
      <c r="AA21" s="56"/>
      <c r="AB21" s="5"/>
    </row>
    <row r="22" spans="1:29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-2.18-2.26-3.09-2.27</f>
        <v>-9.7999999999999989</v>
      </c>
      <c r="S22" s="10"/>
      <c r="T22" t="s">
        <v>140</v>
      </c>
      <c r="Z22" s="59"/>
      <c r="AA22" s="56"/>
      <c r="AB22" s="5"/>
    </row>
    <row r="23" spans="1:29" x14ac:dyDescent="0.25">
      <c r="A23" s="39" t="s">
        <v>136</v>
      </c>
      <c r="B23" s="8">
        <v>43550</v>
      </c>
      <c r="C23" s="8"/>
      <c r="D23" s="14"/>
      <c r="E23" s="9"/>
      <c r="F23" s="9"/>
      <c r="G23" s="10"/>
      <c r="H23" s="9"/>
      <c r="I23" s="9">
        <v>30.631499999999999</v>
      </c>
      <c r="J23" s="9">
        <v>14.294699999999999</v>
      </c>
      <c r="K23" s="9"/>
      <c r="L23" s="9"/>
      <c r="M23" s="9"/>
      <c r="N23" s="9"/>
      <c r="O23" s="9"/>
      <c r="P23" s="9"/>
      <c r="Q23" s="9"/>
      <c r="R23" s="9">
        <f>-I23-J23</f>
        <v>-44.926199999999994</v>
      </c>
      <c r="S23" s="10"/>
      <c r="T23" t="s">
        <v>137</v>
      </c>
      <c r="Z23" s="59"/>
      <c r="AA23" s="56"/>
      <c r="AB23" s="5"/>
    </row>
    <row r="24" spans="1:29" x14ac:dyDescent="0.25">
      <c r="A24" s="7" t="s">
        <v>136</v>
      </c>
      <c r="B24" s="8">
        <v>43545</v>
      </c>
      <c r="C24" s="8">
        <v>43567</v>
      </c>
      <c r="D24" s="14">
        <v>60</v>
      </c>
      <c r="E24" s="9">
        <v>68.069999999999993</v>
      </c>
      <c r="F24" s="9">
        <v>75.53</v>
      </c>
      <c r="G24" s="10">
        <v>0.10959306596151031</v>
      </c>
      <c r="H24" s="9">
        <v>4084.2</v>
      </c>
      <c r="I24" s="9">
        <v>30.631499999999999</v>
      </c>
      <c r="J24" s="9">
        <v>14.294699999999999</v>
      </c>
      <c r="K24" s="9">
        <v>4129.1262000000006</v>
      </c>
      <c r="L24" s="9">
        <v>4531.8</v>
      </c>
      <c r="M24" s="9">
        <v>-33.988500000000002</v>
      </c>
      <c r="N24" s="9">
        <v>-15.861300000000002</v>
      </c>
      <c r="O24" s="9">
        <v>4481.9502000000002</v>
      </c>
      <c r="P24" s="9">
        <v>64.62</v>
      </c>
      <c r="Q24" s="9">
        <v>30.155999999999999</v>
      </c>
      <c r="R24" s="9">
        <v>352.82399999999961</v>
      </c>
      <c r="S24" s="10">
        <v>8.5447618433168629E-2</v>
      </c>
      <c r="T24" t="s">
        <v>138</v>
      </c>
      <c r="Y24">
        <f t="shared" si="0"/>
        <v>22</v>
      </c>
      <c r="Z24" s="59">
        <f t="shared" ca="1" si="1"/>
        <v>1.4464168310322156E-2</v>
      </c>
      <c r="AA24" s="56">
        <f t="shared" ca="1" si="2"/>
        <v>59.07455621301775</v>
      </c>
      <c r="AB24" s="5"/>
    </row>
    <row r="25" spans="1:29" x14ac:dyDescent="0.25">
      <c r="A25" s="7" t="s">
        <v>46</v>
      </c>
      <c r="C25" s="8">
        <v>43587</v>
      </c>
      <c r="D25" s="14"/>
      <c r="E25" s="9"/>
      <c r="F25" s="9">
        <v>86.24</v>
      </c>
      <c r="G25" s="10"/>
      <c r="H25" s="9"/>
      <c r="I25" s="9"/>
      <c r="J25" s="9"/>
      <c r="K25" s="9"/>
      <c r="L25" s="9"/>
      <c r="M25" s="9"/>
      <c r="N25" s="9"/>
      <c r="O25" s="9"/>
      <c r="P25" s="9">
        <f>2.5+0.53</f>
        <v>3.0300000000000002</v>
      </c>
      <c r="Q25" s="9">
        <f>16.39+20.96</f>
        <v>37.35</v>
      </c>
      <c r="R25" s="9">
        <f>F25-P25-Q25</f>
        <v>45.859999999999992</v>
      </c>
      <c r="S25" s="10"/>
      <c r="T25" t="s">
        <v>71</v>
      </c>
      <c r="Z25" s="59"/>
      <c r="AA25" s="56"/>
      <c r="AB25" s="5"/>
    </row>
    <row r="26" spans="1:29" x14ac:dyDescent="0.25">
      <c r="A26" s="7"/>
      <c r="B26" s="8"/>
      <c r="C26" s="8"/>
      <c r="D26" s="14"/>
      <c r="E26" s="9"/>
      <c r="F26" s="9"/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  <c r="Z26" s="59"/>
      <c r="AB26" s="5"/>
    </row>
    <row r="27" spans="1:29" x14ac:dyDescent="0.25">
      <c r="Y27">
        <f ca="1">_xlfn.DAYS(TODAY(),B32)</f>
        <v>441</v>
      </c>
      <c r="Z27" s="59">
        <f t="shared" ca="1" si="1"/>
        <v>0.28994082840236685</v>
      </c>
      <c r="AA27" s="56">
        <f ca="1">Z27*H32</f>
        <v>1476.4018934911242</v>
      </c>
      <c r="AB27" s="5"/>
    </row>
    <row r="28" spans="1:29" x14ac:dyDescent="0.25">
      <c r="H28" s="15">
        <f t="shared" ref="H28:O28" si="3">SUM(H3:H27)</f>
        <v>21656.039999999997</v>
      </c>
      <c r="I28" s="15">
        <f t="shared" si="3"/>
        <v>103.523</v>
      </c>
      <c r="J28" s="15">
        <f t="shared" si="3"/>
        <v>42.339399999999998</v>
      </c>
      <c r="K28" s="15">
        <f t="shared" si="3"/>
        <v>4129.1262000000006</v>
      </c>
      <c r="L28" s="15">
        <f t="shared" si="3"/>
        <v>4531.8</v>
      </c>
      <c r="M28" s="15">
        <f t="shared" si="3"/>
        <v>-33.988500000000002</v>
      </c>
      <c r="N28" s="15">
        <f t="shared" si="3"/>
        <v>-15.861300000000002</v>
      </c>
      <c r="O28" s="15">
        <f t="shared" si="3"/>
        <v>4481.9502000000002</v>
      </c>
      <c r="R28" s="15">
        <f>SUM(R3:R27)</f>
        <v>3571.3034679999992</v>
      </c>
      <c r="S28" s="16">
        <f>SUM(S3:S27)/7</f>
        <v>0.54861989434118641</v>
      </c>
      <c r="T28" s="16">
        <f>S28/4</f>
        <v>0.1371549735852966</v>
      </c>
      <c r="Y28">
        <f ca="1">SUM(Y3:Y27)</f>
        <v>2383</v>
      </c>
      <c r="Z28" s="59">
        <f ca="1">SUM(Z3:Z27)</f>
        <v>1.566732412886259</v>
      </c>
      <c r="AA28" s="56">
        <f ca="1">SUM(AA3:AA27)</f>
        <v>4748.1395266272193</v>
      </c>
      <c r="AB28" s="3">
        <f ca="1">R28/AA28</f>
        <v>0.7521479619485465</v>
      </c>
      <c r="AC28" s="3">
        <f ca="1">AB28/(X1/365)</f>
        <v>0.18049573051362228</v>
      </c>
    </row>
    <row r="29" spans="1:29" x14ac:dyDescent="0.25">
      <c r="H29" s="52"/>
      <c r="I29" s="52"/>
      <c r="J29" s="52"/>
      <c r="K29" s="52"/>
      <c r="L29" s="52"/>
      <c r="M29" s="52"/>
      <c r="N29" s="52"/>
      <c r="O29" s="52"/>
      <c r="R29" s="52"/>
      <c r="S29" s="51"/>
      <c r="T29" s="51"/>
      <c r="U29">
        <v>0.24199999999999999</v>
      </c>
    </row>
    <row r="30" spans="1:29" x14ac:dyDescent="0.25">
      <c r="A30" s="39" t="str">
        <f>'Operacion 1'!B$3</f>
        <v>ABI.BR</v>
      </c>
      <c r="B30" s="8">
        <f>'Operacion 1'!B$2</f>
        <v>42234</v>
      </c>
      <c r="C30" s="8"/>
      <c r="D30" s="14">
        <f>'Operacion 1'!B$5</f>
        <v>62</v>
      </c>
      <c r="E30" s="9">
        <f>'Operacion 1'!B$4</f>
        <v>89</v>
      </c>
      <c r="F30" s="9">
        <f>'Operacion 1'!B$6</f>
        <v>120</v>
      </c>
      <c r="G30" s="10">
        <f>'Operacion 1'!B$7</f>
        <v>0.348314606741573</v>
      </c>
      <c r="H30" s="9">
        <f>(E30*D30)</f>
        <v>5518</v>
      </c>
      <c r="I30" s="9">
        <f>IF((H30*0.005)&lt;20,20,(H30*0.005))</f>
        <v>27.59</v>
      </c>
      <c r="J30" s="9">
        <f>SUM(H30:I30)*0.0027</f>
        <v>14.973093</v>
      </c>
      <c r="K30" s="9">
        <f>SUM(H30:J30)</f>
        <v>5560.5630929999998</v>
      </c>
      <c r="L30" s="9">
        <f>D30*F30</f>
        <v>7440</v>
      </c>
      <c r="M30" s="9">
        <f>IF((L30*0.005)&lt;20,-20,-(L30*0.005))</f>
        <v>-37.200000000000003</v>
      </c>
      <c r="N30" s="9">
        <f>-(SUM(L30:M30)*0.0027)</f>
        <v>-19.987560000000002</v>
      </c>
      <c r="O30" s="9">
        <f>SUM(L30:N30)</f>
        <v>7382.8124400000006</v>
      </c>
      <c r="P30" s="9">
        <f>I30-M30</f>
        <v>64.790000000000006</v>
      </c>
      <c r="Q30" s="9">
        <f>J30-N30</f>
        <v>34.960653000000001</v>
      </c>
      <c r="R30" s="9">
        <f t="shared" ref="R30:R31" si="4">O30-K30</f>
        <v>1822.2493470000009</v>
      </c>
      <c r="S30" s="10">
        <f>R30/K30</f>
        <v>0.32770949929404947</v>
      </c>
      <c r="T30" t="s">
        <v>109</v>
      </c>
      <c r="U30" t="s">
        <v>111</v>
      </c>
    </row>
    <row r="31" spans="1:29" x14ac:dyDescent="0.25">
      <c r="A31" s="39" t="str">
        <f>'Operacion 2'!B$3</f>
        <v>BMW.DE</v>
      </c>
      <c r="B31" s="8">
        <f>'Operacion 2'!B$2</f>
        <v>42471</v>
      </c>
      <c r="C31" s="8"/>
      <c r="D31" s="14">
        <f>'Operacion 2'!B$5</f>
        <v>59</v>
      </c>
      <c r="E31" s="9">
        <f>'Operacion 2'!B$4</f>
        <v>67.53</v>
      </c>
      <c r="F31" s="9">
        <f>'Operacion 2'!B$6</f>
        <v>76.03</v>
      </c>
      <c r="G31" s="10">
        <f>'Operacion 2'!B$7</f>
        <v>0.12586998371094338</v>
      </c>
      <c r="H31" s="9">
        <f t="shared" ref="H31:H32" si="5">E31*D31</f>
        <v>3984.27</v>
      </c>
      <c r="I31" s="9">
        <f>IF((H31*(0.0075))&lt;30,30,(H31*(0.0075)))</f>
        <v>30</v>
      </c>
      <c r="J31" s="9">
        <f>H31*0.0035</f>
        <v>13.944945000000001</v>
      </c>
      <c r="K31" s="9">
        <f t="shared" ref="K31:K32" si="6">SUM(H31:J31)</f>
        <v>4028.2149450000002</v>
      </c>
      <c r="L31" s="9">
        <f t="shared" ref="L31:L32" si="7">D31*F31</f>
        <v>4485.7700000000004</v>
      </c>
      <c r="M31" s="9">
        <f>IF((L31*(0.0075))&lt;30,-30,-(L31*(0.0075)))</f>
        <v>-33.643275000000003</v>
      </c>
      <c r="N31" s="9">
        <f>-(L31*0.0035)</f>
        <v>-15.700195000000003</v>
      </c>
      <c r="O31" s="9">
        <f t="shared" ref="O31:O32" si="8">SUM(L31:N31)</f>
        <v>4436.4265299999997</v>
      </c>
      <c r="P31" s="9">
        <f t="shared" ref="P31:Q32" si="9">I31-M31</f>
        <v>63.643275000000003</v>
      </c>
      <c r="Q31" s="9">
        <f t="shared" si="9"/>
        <v>29.645140000000005</v>
      </c>
      <c r="R31" s="9">
        <f t="shared" si="4"/>
        <v>408.21158499999956</v>
      </c>
      <c r="S31" s="10">
        <f t="shared" ref="S31" si="10">R31/K31</f>
        <v>0.10133808413244928</v>
      </c>
      <c r="T31" t="s">
        <v>108</v>
      </c>
      <c r="U31" t="s">
        <v>111</v>
      </c>
    </row>
    <row r="32" spans="1:29" x14ac:dyDescent="0.25">
      <c r="A32" s="39" t="str">
        <f>'Operacion 3'!B3</f>
        <v>ITX.MC</v>
      </c>
      <c r="B32" s="8">
        <f>'Operacion 3'!B$2</f>
        <v>43154</v>
      </c>
      <c r="C32" s="8"/>
      <c r="D32" s="14">
        <f>'Operacion 3'!B$5</f>
        <v>196</v>
      </c>
      <c r="E32" s="9">
        <f>'Operacion 3'!B$4</f>
        <v>25.98</v>
      </c>
      <c r="F32" s="9">
        <f>'Operacion 3'!B$6</f>
        <v>30.27</v>
      </c>
      <c r="G32" s="10">
        <f>'Operacion 3'!B$7</f>
        <v>0.16512702078521935</v>
      </c>
      <c r="H32" s="9">
        <f t="shared" si="5"/>
        <v>5092.08</v>
      </c>
      <c r="I32" s="9">
        <f>IF((H32*(0.0075+0.0008))&lt;30,30,(H32*(0.0075+0.0008)))</f>
        <v>42.264263999999997</v>
      </c>
      <c r="J32" s="9">
        <f>H32*0.0027</f>
        <v>13.748616</v>
      </c>
      <c r="K32" s="9">
        <f t="shared" si="6"/>
        <v>5148.0928800000002</v>
      </c>
      <c r="L32" s="9">
        <f t="shared" si="7"/>
        <v>5932.92</v>
      </c>
      <c r="M32" s="9">
        <f>IF((L32*(0.0075))&lt;30,-30,-(L32*(0.0075)))</f>
        <v>-44.496899999999997</v>
      </c>
      <c r="N32" s="9">
        <f>-(L32*0.0035)</f>
        <v>-20.765219999999999</v>
      </c>
      <c r="O32" s="9">
        <f t="shared" si="8"/>
        <v>5867.6578799999997</v>
      </c>
      <c r="P32" s="9">
        <f t="shared" si="9"/>
        <v>86.761163999999994</v>
      </c>
      <c r="Q32" s="9">
        <f t="shared" si="9"/>
        <v>34.513835999999998</v>
      </c>
      <c r="R32" s="9">
        <f>O32-K32</f>
        <v>719.5649999999996</v>
      </c>
      <c r="S32" s="10">
        <f>R32/K32</f>
        <v>0.13977311924488814</v>
      </c>
      <c r="T32" t="s">
        <v>58</v>
      </c>
      <c r="U32" t="s">
        <v>111</v>
      </c>
      <c r="AA32" s="56"/>
    </row>
    <row r="33" spans="3:27" x14ac:dyDescent="0.25">
      <c r="R33" s="56">
        <f>R32+SUM(R19:R22)+R25</f>
        <v>804.01499999999965</v>
      </c>
      <c r="S33" s="10">
        <f>R33/K32</f>
        <v>0.1561772521866388</v>
      </c>
    </row>
    <row r="34" spans="3:27" x14ac:dyDescent="0.25">
      <c r="D34" s="48"/>
      <c r="H34" s="48"/>
      <c r="I34" s="48"/>
      <c r="J34" s="48"/>
      <c r="K34" s="48"/>
      <c r="L34" s="48"/>
      <c r="M34" s="48"/>
      <c r="N34" s="48"/>
      <c r="O34" s="48"/>
      <c r="R34" s="48"/>
    </row>
    <row r="35" spans="3:27" x14ac:dyDescent="0.25">
      <c r="F35" s="5"/>
      <c r="G35" s="48"/>
      <c r="U35" t="s">
        <v>46</v>
      </c>
    </row>
    <row r="36" spans="3:27" x14ac:dyDescent="0.25">
      <c r="T36" t="s">
        <v>68</v>
      </c>
      <c r="U36">
        <v>26.25</v>
      </c>
      <c r="AA36" s="56"/>
    </row>
    <row r="37" spans="3:27" x14ac:dyDescent="0.25">
      <c r="H37" s="5"/>
      <c r="I37" s="5"/>
      <c r="J37" s="5"/>
      <c r="K37" s="5"/>
      <c r="L37" s="5"/>
      <c r="M37" s="5"/>
      <c r="N37" s="5"/>
      <c r="O37" s="5"/>
      <c r="P37" s="5"/>
      <c r="R37" s="5"/>
      <c r="T37" t="s">
        <v>66</v>
      </c>
      <c r="U37">
        <v>30.27</v>
      </c>
      <c r="W37" t="s">
        <v>113</v>
      </c>
    </row>
    <row r="38" spans="3:27" x14ac:dyDescent="0.25">
      <c r="D38" t="s">
        <v>62</v>
      </c>
      <c r="E38">
        <v>74.89</v>
      </c>
      <c r="F38">
        <v>52</v>
      </c>
      <c r="G38" s="10">
        <f>1-(F38/E38)</f>
        <v>0.30564828415008682</v>
      </c>
      <c r="N38">
        <v>6769.84</v>
      </c>
      <c r="O38">
        <v>74.459999999999994</v>
      </c>
      <c r="P38" s="5">
        <v>6695.38</v>
      </c>
      <c r="S38" s="10"/>
      <c r="T38" t="s">
        <v>67</v>
      </c>
      <c r="U38" s="3">
        <f>(U37/U36)-1</f>
        <v>0.15314285714285703</v>
      </c>
      <c r="V38" s="3"/>
      <c r="W38" t="s">
        <v>81</v>
      </c>
    </row>
    <row r="39" spans="3:27" x14ac:dyDescent="0.25">
      <c r="D39" t="s">
        <v>61</v>
      </c>
      <c r="E39">
        <v>182.08</v>
      </c>
      <c r="F39">
        <v>126</v>
      </c>
      <c r="G39" s="10">
        <f>1-(F39/E39)</f>
        <v>0.30799648506151145</v>
      </c>
      <c r="H39" s="5"/>
      <c r="I39" s="5"/>
      <c r="J39" s="5"/>
      <c r="K39" s="5"/>
      <c r="L39" s="5"/>
      <c r="M39" s="5"/>
      <c r="N39" s="5"/>
      <c r="O39" s="5"/>
      <c r="P39" s="5">
        <f>P38-K32</f>
        <v>1547.28712</v>
      </c>
      <c r="R39" s="5"/>
    </row>
    <row r="40" spans="3:27" x14ac:dyDescent="0.25">
      <c r="D40" t="s">
        <v>63</v>
      </c>
      <c r="E40">
        <v>93.54</v>
      </c>
      <c r="F40">
        <v>65</v>
      </c>
      <c r="G40" s="10">
        <f>1-(F40/E40)</f>
        <v>0.30511011332050464</v>
      </c>
      <c r="H40" s="9"/>
      <c r="I40" s="9"/>
      <c r="J40" s="9"/>
      <c r="K40" s="5"/>
      <c r="P40" s="56">
        <f>P39*0.1</f>
        <v>154.728712</v>
      </c>
    </row>
    <row r="41" spans="3:27" x14ac:dyDescent="0.25">
      <c r="C41" t="s">
        <v>107</v>
      </c>
      <c r="E41">
        <v>20</v>
      </c>
      <c r="F41">
        <v>14</v>
      </c>
      <c r="G41" s="10">
        <f>1-(F41/E41)</f>
        <v>0.30000000000000004</v>
      </c>
      <c r="P41" s="56">
        <f>P39-P40</f>
        <v>1392.5584079999999</v>
      </c>
      <c r="R41" s="43"/>
    </row>
    <row r="42" spans="3:27" x14ac:dyDescent="0.25">
      <c r="F42" s="5"/>
      <c r="R42" s="9"/>
      <c r="S42">
        <f>(0.00242*12)</f>
        <v>2.9039999999999996E-2</v>
      </c>
    </row>
    <row r="43" spans="3:27" x14ac:dyDescent="0.25">
      <c r="O43" s="9"/>
      <c r="R43" s="45"/>
      <c r="S43">
        <f>4700*S42</f>
        <v>136.48799999999997</v>
      </c>
    </row>
    <row r="44" spans="3:27" x14ac:dyDescent="0.25">
      <c r="P44" s="3"/>
      <c r="R44" s="50" t="s">
        <v>119</v>
      </c>
      <c r="S44" s="48" t="s">
        <v>120</v>
      </c>
      <c r="T44" s="5"/>
    </row>
    <row r="45" spans="3:27" ht="15.75" x14ac:dyDescent="0.25">
      <c r="F45" s="5"/>
      <c r="Q45" t="s">
        <v>116</v>
      </c>
      <c r="R45" s="57" t="s">
        <v>148</v>
      </c>
      <c r="S45" s="49"/>
      <c r="T45" s="5"/>
    </row>
    <row r="46" spans="3:27" x14ac:dyDescent="0.25">
      <c r="E46" s="5"/>
      <c r="F46" s="5"/>
      <c r="Q46" t="s">
        <v>117</v>
      </c>
      <c r="R46" s="57" t="s">
        <v>118</v>
      </c>
      <c r="S46" t="s">
        <v>121</v>
      </c>
    </row>
    <row r="47" spans="3:27" x14ac:dyDescent="0.25">
      <c r="E47" s="5"/>
      <c r="F47" s="5"/>
      <c r="G47" s="5"/>
      <c r="J47" t="s">
        <v>122</v>
      </c>
      <c r="R47" s="5"/>
      <c r="S47" t="s">
        <v>135</v>
      </c>
      <c r="T47" s="5"/>
    </row>
    <row r="48" spans="3:27" x14ac:dyDescent="0.25">
      <c r="J48" s="58">
        <v>43587</v>
      </c>
      <c r="R48" s="43"/>
    </row>
    <row r="49" spans="10:19" x14ac:dyDescent="0.25">
      <c r="J49" t="s">
        <v>123</v>
      </c>
      <c r="R49" s="44"/>
    </row>
    <row r="50" spans="10:19" x14ac:dyDescent="0.25">
      <c r="J50" t="s">
        <v>124</v>
      </c>
      <c r="L50" t="s">
        <v>147</v>
      </c>
      <c r="R50" s="57"/>
      <c r="S50">
        <f>5000/12</f>
        <v>416.66666666666669</v>
      </c>
    </row>
    <row r="51" spans="10:19" x14ac:dyDescent="0.25">
      <c r="J51" t="s">
        <v>125</v>
      </c>
      <c r="S51">
        <f>2.2/S50</f>
        <v>5.28E-3</v>
      </c>
    </row>
    <row r="52" spans="10:19" x14ac:dyDescent="0.25">
      <c r="J52" t="s">
        <v>126</v>
      </c>
      <c r="S52">
        <f>100*S51</f>
        <v>0.52800000000000002</v>
      </c>
    </row>
    <row r="53" spans="10:19" x14ac:dyDescent="0.25">
      <c r="J53" t="s">
        <v>127</v>
      </c>
      <c r="S53">
        <f>2.2*12</f>
        <v>26.400000000000002</v>
      </c>
    </row>
    <row r="54" spans="10:19" x14ac:dyDescent="0.25">
      <c r="J54" t="s">
        <v>128</v>
      </c>
    </row>
    <row r="55" spans="10:19" x14ac:dyDescent="0.25">
      <c r="J55" t="s">
        <v>129</v>
      </c>
    </row>
    <row r="56" spans="10:19" x14ac:dyDescent="0.25">
      <c r="J56" t="s">
        <v>130</v>
      </c>
    </row>
    <row r="57" spans="10:19" x14ac:dyDescent="0.25">
      <c r="J57" t="s">
        <v>131</v>
      </c>
    </row>
    <row r="58" spans="10:19" x14ac:dyDescent="0.25">
      <c r="J58" t="s">
        <v>132</v>
      </c>
    </row>
    <row r="59" spans="10:19" x14ac:dyDescent="0.25">
      <c r="J59" t="s">
        <v>133</v>
      </c>
    </row>
    <row r="60" spans="10:19" x14ac:dyDescent="0.25">
      <c r="J60" t="s">
        <v>134</v>
      </c>
    </row>
  </sheetData>
  <mergeCells count="3">
    <mergeCell ref="H1:K1"/>
    <mergeCell ref="L1:O1"/>
    <mergeCell ref="P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>
      <selection activeCell="L13" sqref="L13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74</v>
      </c>
      <c r="B2" s="55" t="s">
        <v>75</v>
      </c>
      <c r="C2" s="55" t="s">
        <v>76</v>
      </c>
      <c r="D2" s="55" t="s">
        <v>80</v>
      </c>
    </row>
    <row r="3" spans="1:5" x14ac:dyDescent="0.25">
      <c r="A3" t="s">
        <v>73</v>
      </c>
      <c r="B3" s="56">
        <f>1100</f>
        <v>1100</v>
      </c>
      <c r="C3" s="3">
        <f>B3/B$7</f>
        <v>0.27160493827160492</v>
      </c>
      <c r="D3" s="56">
        <f>D$7*C3</f>
        <v>0</v>
      </c>
    </row>
    <row r="4" spans="1:5" x14ac:dyDescent="0.25">
      <c r="A4" t="s">
        <v>77</v>
      </c>
      <c r="B4" s="56">
        <v>1350</v>
      </c>
      <c r="C4" s="3">
        <f t="shared" ref="C4:C6" si="0">B4/B$7</f>
        <v>0.33333333333333331</v>
      </c>
      <c r="D4" s="56">
        <f t="shared" ref="D4:D6" si="1">D$7*C4</f>
        <v>0</v>
      </c>
    </row>
    <row r="5" spans="1:5" x14ac:dyDescent="0.25">
      <c r="A5" t="s">
        <v>78</v>
      </c>
      <c r="B5" s="56">
        <v>550</v>
      </c>
      <c r="C5" s="3">
        <f t="shared" si="0"/>
        <v>0.13580246913580246</v>
      </c>
      <c r="D5" s="56">
        <f t="shared" si="1"/>
        <v>0</v>
      </c>
    </row>
    <row r="6" spans="1:5" x14ac:dyDescent="0.25">
      <c r="A6" t="s">
        <v>115</v>
      </c>
      <c r="B6" s="56">
        <v>1050</v>
      </c>
      <c r="C6" s="3">
        <f t="shared" si="0"/>
        <v>0.25925925925925924</v>
      </c>
      <c r="D6" s="56">
        <f t="shared" si="1"/>
        <v>0</v>
      </c>
    </row>
    <row r="7" spans="1:5" x14ac:dyDescent="0.25">
      <c r="A7" t="s">
        <v>54</v>
      </c>
      <c r="B7" s="56">
        <f>SUM(B3:B6)</f>
        <v>4050</v>
      </c>
      <c r="C7" s="3">
        <f>SUM(C3:C6)</f>
        <v>1</v>
      </c>
      <c r="D7" s="56">
        <v>0</v>
      </c>
      <c r="E7" t="s">
        <v>82</v>
      </c>
    </row>
    <row r="8" spans="1:5" x14ac:dyDescent="0.25">
      <c r="B8" s="56"/>
    </row>
    <row r="9" spans="1:5" x14ac:dyDescent="0.25">
      <c r="B9" s="56"/>
    </row>
    <row r="11" spans="1:5" x14ac:dyDescent="0.25">
      <c r="A11" t="s">
        <v>112</v>
      </c>
      <c r="B11" s="56">
        <v>5092.08</v>
      </c>
    </row>
    <row r="12" spans="1:5" x14ac:dyDescent="0.25">
      <c r="A12" t="s">
        <v>54</v>
      </c>
      <c r="B12" s="56">
        <f>B7+B11</f>
        <v>9142.08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5"/>
  <sheetViews>
    <sheetView workbookViewId="0">
      <selection activeCell="C26" sqref="C26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79</v>
      </c>
    </row>
    <row r="4" spans="1:4" x14ac:dyDescent="0.25">
      <c r="A4" t="s">
        <v>83</v>
      </c>
    </row>
    <row r="5" spans="1:4" x14ac:dyDescent="0.25">
      <c r="A5" t="s">
        <v>84</v>
      </c>
    </row>
    <row r="6" spans="1:4" x14ac:dyDescent="0.25">
      <c r="A6" t="s">
        <v>85</v>
      </c>
    </row>
    <row r="7" spans="1:4" x14ac:dyDescent="0.25">
      <c r="A7" t="s">
        <v>110</v>
      </c>
    </row>
    <row r="8" spans="1:4" x14ac:dyDescent="0.25">
      <c r="A8" t="s">
        <v>86</v>
      </c>
    </row>
    <row r="9" spans="1:4" x14ac:dyDescent="0.25">
      <c r="A9" t="s">
        <v>87</v>
      </c>
    </row>
    <row r="10" spans="1:4" x14ac:dyDescent="0.25">
      <c r="A10" t="s">
        <v>114</v>
      </c>
    </row>
    <row r="15" spans="1:4" x14ac:dyDescent="0.25">
      <c r="A15" s="55" t="s">
        <v>88</v>
      </c>
      <c r="B15" s="55" t="s">
        <v>97</v>
      </c>
      <c r="C15" s="55" t="s">
        <v>96</v>
      </c>
      <c r="D15" s="55" t="s">
        <v>98</v>
      </c>
    </row>
    <row r="17" spans="1:4" x14ac:dyDescent="0.25">
      <c r="A17" t="s">
        <v>89</v>
      </c>
      <c r="B17" t="s">
        <v>99</v>
      </c>
      <c r="C17" t="s">
        <v>100</v>
      </c>
      <c r="D17" t="s">
        <v>103</v>
      </c>
    </row>
    <row r="18" spans="1:4" x14ac:dyDescent="0.25">
      <c r="A18" t="s">
        <v>90</v>
      </c>
      <c r="B18" t="s">
        <v>101</v>
      </c>
      <c r="C18" t="s">
        <v>104</v>
      </c>
      <c r="D18" t="s">
        <v>99</v>
      </c>
    </row>
    <row r="19" spans="1:4" x14ac:dyDescent="0.25">
      <c r="A19" t="s">
        <v>91</v>
      </c>
      <c r="B19" t="s">
        <v>105</v>
      </c>
      <c r="C19" t="s">
        <v>102</v>
      </c>
      <c r="D19" t="s">
        <v>103</v>
      </c>
    </row>
    <row r="20" spans="1:4" x14ac:dyDescent="0.25">
      <c r="A20" t="s">
        <v>92</v>
      </c>
      <c r="B20" t="s">
        <v>99</v>
      </c>
      <c r="C20" t="s">
        <v>104</v>
      </c>
      <c r="D20" t="s">
        <v>106</v>
      </c>
    </row>
    <row r="21" spans="1:4" x14ac:dyDescent="0.25">
      <c r="A21" t="s">
        <v>93</v>
      </c>
      <c r="B21" t="s">
        <v>99</v>
      </c>
      <c r="C21" t="s">
        <v>100</v>
      </c>
      <c r="D21" t="s">
        <v>106</v>
      </c>
    </row>
    <row r="22" spans="1:4" x14ac:dyDescent="0.25">
      <c r="A22" t="s">
        <v>94</v>
      </c>
      <c r="B22" t="s">
        <v>103</v>
      </c>
      <c r="C22" t="s">
        <v>102</v>
      </c>
      <c r="D22" t="s">
        <v>105</v>
      </c>
    </row>
    <row r="23" spans="1:4" x14ac:dyDescent="0.25">
      <c r="A23" t="s">
        <v>95</v>
      </c>
      <c r="B23" t="s">
        <v>99</v>
      </c>
      <c r="C23" t="s">
        <v>102</v>
      </c>
      <c r="D23" t="s">
        <v>99</v>
      </c>
    </row>
    <row r="24" spans="1:4" x14ac:dyDescent="0.25">
      <c r="A24" t="s">
        <v>55</v>
      </c>
      <c r="B24" t="s">
        <v>103</v>
      </c>
      <c r="C24" t="s">
        <v>100</v>
      </c>
      <c r="D24" t="s">
        <v>99</v>
      </c>
    </row>
    <row r="25" spans="1:4" x14ac:dyDescent="0.25">
      <c r="A25" t="s">
        <v>146</v>
      </c>
      <c r="B25" t="s">
        <v>103</v>
      </c>
      <c r="C25" t="s">
        <v>100</v>
      </c>
      <c r="D25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Operacion 1</vt:lpstr>
      <vt:lpstr>Operacion 2</vt:lpstr>
      <vt:lpstr>Operacion 3</vt:lpstr>
      <vt:lpstr>Historial</vt:lpstr>
      <vt:lpstr>Sheet1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2019-05-10T15:41:53Z</dcterms:modified>
</cp:coreProperties>
</file>