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E7C5DD34-FC2D-446E-8F90-3284AB4BCC08}" xr6:coauthVersionLast="31" xr6:coauthVersionMax="31" xr10:uidLastSave="{00000000-0000-0000-0000-000000000000}"/>
  <bookViews>
    <workbookView xWindow="0" yWindow="0" windowWidth="21570" windowHeight="7560" activeTab="3" xr2:uid="{00000000-000D-0000-FFFF-FFFF00000000}"/>
  </bookViews>
  <sheets>
    <sheet name="Operacion 1" sheetId="1" r:id="rId1"/>
    <sheet name="Operacion 2" sheetId="2" r:id="rId2"/>
    <sheet name="Operacion 3" sheetId="4" r:id="rId3"/>
    <sheet name="Historial" sheetId="3" r:id="rId4"/>
    <sheet name="Fondo" sheetId="6" r:id="rId5"/>
    <sheet name="Criterios" sheetId="5" r:id="rId6"/>
  </sheets>
  <calcPr calcId="179017"/>
</workbook>
</file>

<file path=xl/calcChain.xml><?xml version="1.0" encoding="utf-8"?>
<calcChain xmlns="http://schemas.openxmlformats.org/spreadsheetml/2006/main">
  <c r="M26" i="3" l="1"/>
  <c r="B12" i="6"/>
  <c r="B3" i="6" l="1"/>
  <c r="B5" i="2" l="1"/>
  <c r="A25" i="3"/>
  <c r="G35" i="3"/>
  <c r="B4" i="6" l="1"/>
  <c r="P35" i="3" l="1"/>
  <c r="P34" i="3"/>
  <c r="P33" i="3"/>
  <c r="G32" i="3" l="1"/>
  <c r="G33" i="3"/>
  <c r="G34" i="3"/>
  <c r="B6" i="6" l="1"/>
  <c r="C4" i="6" s="1"/>
  <c r="D4" i="6" s="1"/>
  <c r="C3" i="6" l="1"/>
  <c r="C5" i="6"/>
  <c r="D5" i="6" s="1"/>
  <c r="Q19" i="3"/>
  <c r="R19" i="3" s="1"/>
  <c r="P19" i="3"/>
  <c r="D3" i="6" l="1"/>
  <c r="C6" i="6"/>
  <c r="U33" i="3"/>
  <c r="B15" i="4" l="1"/>
  <c r="R18" i="3" l="1"/>
  <c r="O22" i="3" l="1"/>
  <c r="N22" i="3"/>
  <c r="M22" i="3"/>
  <c r="L22" i="3"/>
  <c r="R3" i="3"/>
  <c r="S3" i="3"/>
  <c r="R12" i="3"/>
  <c r="Q13" i="3"/>
  <c r="S22" i="3"/>
  <c r="R22" i="3" l="1"/>
  <c r="K22" i="3"/>
  <c r="J22" i="3"/>
  <c r="I22" i="3"/>
  <c r="H22" i="3" l="1"/>
  <c r="B13" i="3" l="1"/>
  <c r="B18" i="1" l="1"/>
  <c r="B16" i="1"/>
  <c r="B5" i="1" l="1"/>
  <c r="B17" i="1" s="1"/>
  <c r="B15" i="1" s="1"/>
  <c r="B19" i="2"/>
  <c r="A26" i="3" l="1"/>
  <c r="F26" i="3"/>
  <c r="E26" i="3"/>
  <c r="B26" i="3"/>
  <c r="E16" i="4"/>
  <c r="B7" i="4"/>
  <c r="E13" i="4" s="1"/>
  <c r="E17" i="4" s="1"/>
  <c r="B5" i="4"/>
  <c r="I4" i="4"/>
  <c r="I5" i="4" s="1"/>
  <c r="D26" i="3" l="1"/>
  <c r="D13" i="3"/>
  <c r="G26" i="3"/>
  <c r="E6" i="4"/>
  <c r="E5" i="4"/>
  <c r="E3" i="4"/>
  <c r="E4" i="4"/>
  <c r="H26" i="3" l="1"/>
  <c r="L26" i="3"/>
  <c r="E11" i="4"/>
  <c r="E18" i="4" s="1"/>
  <c r="J26" i="3" l="1"/>
  <c r="I26" i="3"/>
  <c r="N26" i="3"/>
  <c r="K26" i="3" l="1"/>
  <c r="O26" i="3"/>
  <c r="P26" i="3"/>
  <c r="Q26" i="3"/>
  <c r="F25" i="3"/>
  <c r="E25" i="3"/>
  <c r="B25" i="3"/>
  <c r="A24" i="3"/>
  <c r="E16" i="2"/>
  <c r="B12" i="2"/>
  <c r="B7" i="2"/>
  <c r="D25" i="3"/>
  <c r="I4" i="2"/>
  <c r="I5" i="2" s="1"/>
  <c r="L25" i="3" l="1"/>
  <c r="M25" i="3" s="1"/>
  <c r="R26" i="3"/>
  <c r="S26" i="3" s="1"/>
  <c r="E5" i="2"/>
  <c r="G25" i="3"/>
  <c r="H25" i="3"/>
  <c r="I25" i="3" s="1"/>
  <c r="E6" i="2"/>
  <c r="E3" i="2"/>
  <c r="E4" i="2"/>
  <c r="E13" i="2"/>
  <c r="E17" i="2" s="1"/>
  <c r="N25" i="3" l="1"/>
  <c r="J25" i="3"/>
  <c r="E11" i="2"/>
  <c r="E18" i="2" s="1"/>
  <c r="B12" i="1"/>
  <c r="B24" i="3"/>
  <c r="F24" i="3"/>
  <c r="E24" i="3"/>
  <c r="P25" i="3" l="1"/>
  <c r="O25" i="3"/>
  <c r="K25" i="3"/>
  <c r="D24" i="3"/>
  <c r="H24" i="3" s="1"/>
  <c r="F3" i="3"/>
  <c r="G3" i="3" s="1"/>
  <c r="R25" i="3" l="1"/>
  <c r="S25" i="3" s="1"/>
  <c r="Q25" i="3"/>
  <c r="L24" i="3"/>
  <c r="I24" i="3"/>
  <c r="J24" i="3" s="1"/>
  <c r="K24" i="3" s="1"/>
  <c r="E16" i="1"/>
  <c r="M24" i="3" l="1"/>
  <c r="P24" i="3" s="1"/>
  <c r="I4" i="1"/>
  <c r="N24" i="3" l="1"/>
  <c r="Q24" i="3" s="1"/>
  <c r="B7" i="1"/>
  <c r="G24" i="3" s="1"/>
  <c r="O24" i="3" l="1"/>
  <c r="E6" i="1"/>
  <c r="E13" i="1"/>
  <c r="E17" i="1" s="1"/>
  <c r="E3" i="1"/>
  <c r="E4" i="1"/>
  <c r="E5" i="1"/>
  <c r="R24" i="3" l="1"/>
  <c r="S24" i="3" s="1"/>
  <c r="E11" i="1"/>
  <c r="E18" i="1" s="1"/>
  <c r="I5" i="1"/>
</calcChain>
</file>

<file path=xl/sharedStrings.xml><?xml version="1.0" encoding="utf-8"?>
<sst xmlns="http://schemas.openxmlformats.org/spreadsheetml/2006/main" count="216" uniqueCount="116">
  <si>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</si>
  <si>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</si>
  <si>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</si>
  <si>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</si>
  <si>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</si>
  <si>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</si>
  <si>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</si>
  <si>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</si>
  <si>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</si>
  <si>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</si>
  <si>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</si>
  <si>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</si>
  <si>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</si>
  <si>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</si>
  <si>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</si>
  <si>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</si>
  <si>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</si>
  <si>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</si>
  <si>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</si>
  <si>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</si>
  <si>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</si>
  <si>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</si>
  <si>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</si>
  <si>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</si>
  <si>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</si>
  <si>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</si>
  <si>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</si>
  <si>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</si>
  <si>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</si>
  <si>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</si>
  <si>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</si>
  <si>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</si>
  <si>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</si>
  <si>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</si>
  <si>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</si>
  <si>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</si>
  <si>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</si>
  <si>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</si>
  <si>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</si>
  <si>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</si>
  <si>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</si>
  <si>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</si>
  <si>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</si>
  <si>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</si>
  <si>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</si>
  <si>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</si>
  <si>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</si>
  <si>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</si>
  <si>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</si>
  <si>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</si>
  <si>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</si>
  <si>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</si>
  <si>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</si>
  <si>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</si>
  <si>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</si>
  <si>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</si>
  <si>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</si>
  <si>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</si>
  <si>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</si>
  <si>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TEF.MC = 7.7 -- 11</t>
  </si>
  <si>
    <t>Custodia de acciones MT.AS</t>
  </si>
  <si>
    <t>ABI.BR</t>
  </si>
  <si>
    <t>Noviembre Compra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</si>
  <si>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</si>
  <si>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</si>
  <si>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</si>
  <si>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</si>
  <si>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</si>
  <si>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</si>
  <si>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</si>
  <si>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</si>
  <si>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</si>
  <si>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</si>
  <si>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</si>
  <si>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</si>
  <si>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</si>
  <si>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</si>
  <si>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</si>
  <si>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</si>
  <si>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</si>
  <si>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</si>
  <si>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</si>
  <si>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</si>
  <si>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BB-33</t>
  </si>
  <si>
    <t>Hasta 1 Noviembre</t>
  </si>
  <si>
    <t>&lt;-- Beneficios</t>
  </si>
  <si>
    <t>1. Haber bajado en un año entre un 30% - 50%</t>
  </si>
  <si>
    <t>2. Los analistas les den un potencial alto, entre un 30% - 50% de potencial</t>
  </si>
  <si>
    <t>3. Volumen medio, alto &gt; 1 M / dia</t>
  </si>
  <si>
    <t>5. Deuda Baja: Todavia nose los niveles apropiados</t>
  </si>
  <si>
    <t>6. Índices ESG (medioambiente, responsabilidad social y gobierno corporativo) alto</t>
  </si>
  <si>
    <t>Analistas (2)</t>
  </si>
  <si>
    <t>GoldMan Sach</t>
  </si>
  <si>
    <t>JPMorgan</t>
  </si>
  <si>
    <t>Morgan Stanley</t>
  </si>
  <si>
    <t>BBVA</t>
  </si>
  <si>
    <t>ING</t>
  </si>
  <si>
    <t>Renta4</t>
  </si>
  <si>
    <t>Credit Suise</t>
  </si>
  <si>
    <t>Tiempo</t>
  </si>
  <si>
    <t>Fiabilidad</t>
  </si>
  <si>
    <t>Influencia</t>
  </si>
  <si>
    <t>Alta</t>
  </si>
  <si>
    <t>Largo</t>
  </si>
  <si>
    <t>Muy alta</t>
  </si>
  <si>
    <t>Corto</t>
  </si>
  <si>
    <t>Muy Alta</t>
  </si>
  <si>
    <t>Medio</t>
  </si>
  <si>
    <t>Muy Baja</t>
  </si>
  <si>
    <t>Media</t>
  </si>
  <si>
    <t>BHP Billiton plc (BIL.DE)</t>
  </si>
  <si>
    <t>OPERACION 2 (DE)</t>
  </si>
  <si>
    <t>OPERACION 1 (BE,NL)</t>
  </si>
  <si>
    <t>Dinero no bloqueado</t>
  </si>
  <si>
    <t>4. Bajada especulativa: Muchas opciones de venta PUT (&gt; 1%)</t>
  </si>
  <si>
    <t>menos +o-[30€/año] en custodia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</si>
</sst>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8" fontId="0" fillId="0" borderId="0" xfId="0" applyNumberFormat="1"/>
    <xf numFmtId="8" fontId="4" fillId="0" borderId="0" xfId="0" applyNumberFormat="1" applyFont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H10" sqref="H10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42234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61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B2" sqref="B2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2000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42471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t="s">
        <v>64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49.94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40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57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0.14136964357228687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40</v>
      </c>
      <c r="B12" s="5">
        <f>(B4*0.1155)+B4</f>
        <v>55.708069999999999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B5" sqref="B5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43154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46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34.54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0.32948421862971511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72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B20" t="s">
        <v>55</v>
      </c>
      <c r="D20" s="38" t="s">
        <v>35</v>
      </c>
    </row>
    <row r="21" spans="2:6" x14ac:dyDescent="0.25">
      <c r="B21" t="s">
        <v>56</v>
      </c>
      <c r="E21" s="33"/>
    </row>
    <row r="23" spans="2:6" x14ac:dyDescent="0.25">
      <c r="B23" s="54" t="s">
        <v>67</v>
      </c>
      <c r="E23" s="33"/>
    </row>
    <row r="24" spans="2:6" ht="15.75" x14ac:dyDescent="0.25">
      <c r="B24" s="53" t="s">
        <v>66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4"/>
  <sheetViews>
    <sheetView tabSelected="1" topLeftCell="R19" zoomScaleNormal="100" workbookViewId="0">
      <selection activeCell="U32" sqref="U32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16" max="16" width="12.85546875" customWidth="1"/>
    <col min="18" max="18" width="17.7109375" customWidth="1"/>
    <col min="19" max="19" width="12.7109375" customWidth="1"/>
    <col min="20" max="20" width="24.140625" customWidth="1"/>
  </cols>
  <sheetData>
    <row r="1" spans="1:20" x14ac:dyDescent="0.25">
      <c r="H1" s="64" t="s">
        <v>47</v>
      </c>
      <c r="I1" s="64"/>
      <c r="J1" s="64"/>
      <c r="K1" s="64"/>
      <c r="L1" s="65" t="s">
        <v>52</v>
      </c>
      <c r="M1" s="65"/>
      <c r="N1" s="65"/>
      <c r="O1" s="65"/>
      <c r="P1" s="66" t="s">
        <v>54</v>
      </c>
      <c r="Q1" s="66"/>
      <c r="R1" s="66"/>
    </row>
    <row r="2" spans="1:20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48</v>
      </c>
      <c r="I2" s="12" t="s">
        <v>49</v>
      </c>
      <c r="J2" s="12" t="s">
        <v>50</v>
      </c>
      <c r="K2" s="12" t="s">
        <v>51</v>
      </c>
      <c r="L2" s="12" t="s">
        <v>48</v>
      </c>
      <c r="M2" s="12" t="s">
        <v>49</v>
      </c>
      <c r="N2" s="12" t="s">
        <v>50</v>
      </c>
      <c r="O2" s="12" t="s">
        <v>53</v>
      </c>
      <c r="P2" s="12" t="s">
        <v>21</v>
      </c>
      <c r="Q2" s="12" t="s">
        <v>20</v>
      </c>
      <c r="R2" s="13" t="s">
        <v>57</v>
      </c>
      <c r="S2" s="13" t="s">
        <v>23</v>
      </c>
    </row>
    <row r="3" spans="1:20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</row>
    <row r="4" spans="1:20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74</v>
      </c>
    </row>
    <row r="5" spans="1:20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</row>
    <row r="6" spans="1:20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</row>
    <row r="7" spans="1:20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41</v>
      </c>
    </row>
    <row r="8" spans="1:20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42</v>
      </c>
    </row>
    <row r="9" spans="1:20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43</v>
      </c>
    </row>
    <row r="10" spans="1:20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41</v>
      </c>
    </row>
    <row r="11" spans="1:20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60</v>
      </c>
    </row>
    <row r="12" spans="1:20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44</v>
      </c>
    </row>
    <row r="13" spans="1:20" x14ac:dyDescent="0.25">
      <c r="A13" s="7" t="s">
        <v>24</v>
      </c>
      <c r="B13" s="8">
        <f>'Operacion 3'!B$2</f>
        <v>43154</v>
      </c>
      <c r="C13" s="8">
        <v>43077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</row>
    <row r="14" spans="1:20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</row>
    <row r="15" spans="1:20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</row>
    <row r="16" spans="1:20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60</v>
      </c>
    </row>
    <row r="17" spans="1:22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60</v>
      </c>
    </row>
    <row r="18" spans="1:22" x14ac:dyDescent="0.25">
      <c r="A18" s="7" t="s">
        <v>46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71</v>
      </c>
    </row>
    <row r="19" spans="1:22" x14ac:dyDescent="0.25">
      <c r="A19" s="7" t="s">
        <v>46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73</v>
      </c>
    </row>
    <row r="20" spans="1:22" x14ac:dyDescent="0.25">
      <c r="A20" s="7"/>
      <c r="B20" s="8"/>
      <c r="C20" s="8"/>
      <c r="D20" s="14"/>
      <c r="E20" s="9"/>
      <c r="F20" s="9"/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0"/>
    </row>
    <row r="22" spans="1:22" x14ac:dyDescent="0.25">
      <c r="H22" s="15">
        <f t="shared" ref="H22:O22" si="0">SUM(H3:H21)</f>
        <v>17571.839999999997</v>
      </c>
      <c r="I22" s="15">
        <f t="shared" si="0"/>
        <v>42.26</v>
      </c>
      <c r="J22" s="15">
        <f t="shared" si="0"/>
        <v>13.75</v>
      </c>
      <c r="K22" s="15">
        <f t="shared" si="0"/>
        <v>0</v>
      </c>
      <c r="L22" s="15">
        <f t="shared" si="0"/>
        <v>0</v>
      </c>
      <c r="M22" s="15">
        <f t="shared" si="0"/>
        <v>0</v>
      </c>
      <c r="N22" s="15">
        <f t="shared" si="0"/>
        <v>0</v>
      </c>
      <c r="O22" s="15">
        <f t="shared" si="0"/>
        <v>0</v>
      </c>
      <c r="R22" s="15">
        <f>SUM(R3:R21)</f>
        <v>3217.5956679999995</v>
      </c>
      <c r="S22" s="16">
        <f>SUM(S3:S21)</f>
        <v>3.7548916419551364</v>
      </c>
    </row>
    <row r="23" spans="1:22" x14ac:dyDescent="0.25">
      <c r="H23" s="52"/>
      <c r="I23" s="52"/>
      <c r="J23" s="52"/>
      <c r="K23" s="52"/>
      <c r="L23" s="52"/>
      <c r="M23" s="52"/>
      <c r="N23" s="52"/>
      <c r="O23" s="52"/>
      <c r="R23" s="52"/>
      <c r="S23" s="51"/>
      <c r="T23" s="51"/>
    </row>
    <row r="24" spans="1:22" x14ac:dyDescent="0.25">
      <c r="A24" s="39" t="str">
        <f>'Operacion 1'!B$3</f>
        <v>ABI.BR</v>
      </c>
      <c r="B24" s="8">
        <f>'Operacion 1'!B$2</f>
        <v>42234</v>
      </c>
      <c r="C24" s="8"/>
      <c r="D24" s="14">
        <f>'Operacion 1'!B$5</f>
        <v>62</v>
      </c>
      <c r="E24" s="9">
        <f>'Operacion 1'!B$4</f>
        <v>89</v>
      </c>
      <c r="F24" s="9">
        <f>'Operacion 1'!B$6</f>
        <v>120</v>
      </c>
      <c r="G24" s="10">
        <f>'Operacion 1'!B$7</f>
        <v>0.348314606741573</v>
      </c>
      <c r="H24" s="9">
        <f>(E24*D24)</f>
        <v>5518</v>
      </c>
      <c r="I24" s="9">
        <f>IF((H24*0.005)&lt;20,20,(H24*0.005))</f>
        <v>27.59</v>
      </c>
      <c r="J24" s="9">
        <f>SUM(H24:I24)*0.0027</f>
        <v>14.973093</v>
      </c>
      <c r="K24" s="9">
        <f>SUM(H24:J24)</f>
        <v>5560.5630929999998</v>
      </c>
      <c r="L24" s="9">
        <f>D24*F24</f>
        <v>7440</v>
      </c>
      <c r="M24" s="9">
        <f>IF((L24*0.005)&lt;20,-20,-(L24*0.005))</f>
        <v>-37.200000000000003</v>
      </c>
      <c r="N24" s="9">
        <f>-(SUM(L24:M24)*0.0027)</f>
        <v>-19.987560000000002</v>
      </c>
      <c r="O24" s="9">
        <f>SUM(L24:N24)</f>
        <v>7382.8124400000006</v>
      </c>
      <c r="P24" s="9">
        <f>I24-M24</f>
        <v>64.790000000000006</v>
      </c>
      <c r="Q24" s="9">
        <f>J24-N24</f>
        <v>34.960653000000001</v>
      </c>
      <c r="R24" s="9">
        <f t="shared" ref="R24:R25" si="1">O24-K24</f>
        <v>1822.2493470000009</v>
      </c>
      <c r="S24" s="10">
        <f>R24/K24</f>
        <v>0.32770949929404947</v>
      </c>
      <c r="T24" t="s">
        <v>112</v>
      </c>
      <c r="U24" t="s">
        <v>115</v>
      </c>
    </row>
    <row r="25" spans="1:22" x14ac:dyDescent="0.25">
      <c r="A25" s="39" t="str">
        <f>'Operacion 2'!B$3</f>
        <v>DAI.DE</v>
      </c>
      <c r="B25" s="8">
        <f>'Operacion 2'!B$2</f>
        <v>42471</v>
      </c>
      <c r="C25" s="8"/>
      <c r="D25" s="14">
        <f>'Operacion 2'!B$5</f>
        <v>40</v>
      </c>
      <c r="E25" s="9">
        <f>'Operacion 2'!B$4</f>
        <v>49.94</v>
      </c>
      <c r="F25" s="9">
        <f>'Operacion 2'!B$6</f>
        <v>57</v>
      </c>
      <c r="G25" s="10">
        <f>'Operacion 2'!B$7</f>
        <v>0.14136964357228687</v>
      </c>
      <c r="H25" s="9">
        <f t="shared" ref="H25:H26" si="2">E25*D25</f>
        <v>1997.6</v>
      </c>
      <c r="I25" s="9">
        <f>IF((H25*0.0075)&lt;30,30,(H25*0.0075))</f>
        <v>30</v>
      </c>
      <c r="J25" s="9">
        <f>H25*0.0027</f>
        <v>5.3935199999999996</v>
      </c>
      <c r="K25" s="9">
        <f t="shared" ref="K25:K26" si="3">SUM(H25:J25)</f>
        <v>2032.99352</v>
      </c>
      <c r="L25" s="9">
        <f t="shared" ref="L25:L26" si="4">D25*F25</f>
        <v>2280</v>
      </c>
      <c r="M25" s="9">
        <f>IF((L25*0.0075)&lt;30,-30,-(L25*0.0075))</f>
        <v>-30</v>
      </c>
      <c r="N25" s="9">
        <f>-(L25*0.0027)</f>
        <v>-6.1560000000000006</v>
      </c>
      <c r="O25" s="9">
        <f t="shared" ref="O25:O26" si="5">SUM(L25:N25)</f>
        <v>2243.8440000000001</v>
      </c>
      <c r="P25" s="9">
        <f t="shared" ref="P25:P26" si="6">I25-M25</f>
        <v>60</v>
      </c>
      <c r="Q25" s="9">
        <f t="shared" ref="Q25:Q26" si="7">J25-N25</f>
        <v>11.549520000000001</v>
      </c>
      <c r="R25" s="9">
        <f t="shared" si="1"/>
        <v>210.85048000000006</v>
      </c>
      <c r="S25" s="10">
        <f t="shared" ref="S25" si="8">R25/K25</f>
        <v>0.10371429024525373</v>
      </c>
      <c r="T25" t="s">
        <v>111</v>
      </c>
      <c r="U25" t="s">
        <v>115</v>
      </c>
    </row>
    <row r="26" spans="1:22" x14ac:dyDescent="0.25">
      <c r="A26" s="39" t="str">
        <f>'Operacion 3'!B3</f>
        <v>ITX.MC</v>
      </c>
      <c r="B26" s="8">
        <f>'Operacion 3'!B$2</f>
        <v>43154</v>
      </c>
      <c r="C26" s="8"/>
      <c r="D26" s="14">
        <f>'Operacion 3'!B$5</f>
        <v>196</v>
      </c>
      <c r="E26" s="9">
        <f>'Operacion 3'!B$4</f>
        <v>25.98</v>
      </c>
      <c r="F26" s="9">
        <f>'Operacion 3'!B$6</f>
        <v>34.54</v>
      </c>
      <c r="G26" s="10">
        <f>'Operacion 3'!B$7</f>
        <v>0.32948421862971511</v>
      </c>
      <c r="H26" s="9">
        <f t="shared" si="2"/>
        <v>5092.08</v>
      </c>
      <c r="I26" s="9">
        <f>IF((H26*(0.0075+0.0008))&lt;30,30,(H26*(0.0075+0.0008)))</f>
        <v>42.264263999999997</v>
      </c>
      <c r="J26" s="9">
        <f>H26*0.0027</f>
        <v>13.748616</v>
      </c>
      <c r="K26" s="9">
        <f t="shared" si="3"/>
        <v>5148.0928800000002</v>
      </c>
      <c r="L26" s="9">
        <f t="shared" si="4"/>
        <v>6769.84</v>
      </c>
      <c r="M26" s="9">
        <f>IF((L26*(0.0075+0.0008))&lt;30,-30,-(L26*(0.0075+0.0008)))</f>
        <v>-56.189672000000002</v>
      </c>
      <c r="N26" s="9">
        <f>-(L26*0.0027)</f>
        <v>-18.278568</v>
      </c>
      <c r="O26" s="9">
        <f t="shared" si="5"/>
        <v>6695.37176</v>
      </c>
      <c r="P26" s="9">
        <f t="shared" si="6"/>
        <v>98.453935999999999</v>
      </c>
      <c r="Q26" s="9">
        <f t="shared" si="7"/>
        <v>32.027183999999998</v>
      </c>
      <c r="R26" s="9">
        <f>O26-K26</f>
        <v>1547.2788799999998</v>
      </c>
      <c r="S26" s="10">
        <f>R26/K26</f>
        <v>0.30055380042016644</v>
      </c>
      <c r="T26" t="s">
        <v>58</v>
      </c>
      <c r="U26" t="s">
        <v>115</v>
      </c>
    </row>
    <row r="28" spans="1:22" x14ac:dyDescent="0.25">
      <c r="D28" s="48"/>
      <c r="H28" s="48" t="s">
        <v>59</v>
      </c>
      <c r="I28" s="48"/>
      <c r="J28" s="48" t="s">
        <v>62</v>
      </c>
      <c r="K28" s="48"/>
      <c r="L28" s="48"/>
      <c r="M28" s="48"/>
      <c r="N28" s="48"/>
      <c r="O28" s="48"/>
      <c r="R28" s="48"/>
    </row>
    <row r="29" spans="1:22" x14ac:dyDescent="0.25">
      <c r="F29" s="5"/>
      <c r="G29" s="48"/>
    </row>
    <row r="30" spans="1:22" x14ac:dyDescent="0.25">
      <c r="T30" s="33"/>
    </row>
    <row r="31" spans="1:22" x14ac:dyDescent="0.25">
      <c r="H31" s="5"/>
      <c r="I31" s="5"/>
      <c r="J31" s="5"/>
      <c r="K31" s="5"/>
      <c r="L31" s="5"/>
      <c r="M31" s="5"/>
      <c r="N31" s="5"/>
      <c r="O31" s="5"/>
      <c r="P31" s="5"/>
      <c r="R31" s="5"/>
      <c r="T31" t="s">
        <v>70</v>
      </c>
      <c r="U31">
        <v>25.5</v>
      </c>
    </row>
    <row r="32" spans="1:22" x14ac:dyDescent="0.25">
      <c r="D32" t="s">
        <v>64</v>
      </c>
      <c r="E32">
        <v>74.89</v>
      </c>
      <c r="F32">
        <v>52</v>
      </c>
      <c r="G32" s="10">
        <f>1-(F32/E32)</f>
        <v>0.30564828415008682</v>
      </c>
      <c r="N32">
        <v>6769.84</v>
      </c>
      <c r="O32">
        <v>74.459999999999994</v>
      </c>
      <c r="P32" s="5">
        <v>6695.38</v>
      </c>
      <c r="S32" s="10"/>
      <c r="T32" t="s">
        <v>68</v>
      </c>
      <c r="U32">
        <v>34.54</v>
      </c>
      <c r="V32" t="s">
        <v>84</v>
      </c>
    </row>
    <row r="33" spans="3:22" x14ac:dyDescent="0.25">
      <c r="D33" t="s">
        <v>63</v>
      </c>
      <c r="E33">
        <v>182.08</v>
      </c>
      <c r="F33">
        <v>126</v>
      </c>
      <c r="G33" s="10">
        <f>1-(F33/E33)</f>
        <v>0.30799648506151145</v>
      </c>
      <c r="H33" s="5"/>
      <c r="I33" s="5"/>
      <c r="J33" s="5"/>
      <c r="K33" s="5"/>
      <c r="L33" s="5"/>
      <c r="M33" s="5"/>
      <c r="N33" s="5"/>
      <c r="O33" s="5"/>
      <c r="P33" s="5">
        <f>P32-K26</f>
        <v>1547.28712</v>
      </c>
      <c r="R33" s="5"/>
      <c r="T33" t="s">
        <v>69</v>
      </c>
      <c r="U33" s="3">
        <f>(U32/U31)-1</f>
        <v>0.35450980392156861</v>
      </c>
      <c r="V33" t="s">
        <v>83</v>
      </c>
    </row>
    <row r="34" spans="3:22" x14ac:dyDescent="0.25">
      <c r="D34" t="s">
        <v>65</v>
      </c>
      <c r="E34">
        <v>93.54</v>
      </c>
      <c r="F34">
        <v>65</v>
      </c>
      <c r="G34" s="10">
        <f>1-(F34/E34)</f>
        <v>0.30511011332050464</v>
      </c>
      <c r="H34" s="9"/>
      <c r="I34" s="9"/>
      <c r="J34" s="9"/>
      <c r="K34" s="5"/>
      <c r="P34" s="56">
        <f>P33*0.1</f>
        <v>154.728712</v>
      </c>
    </row>
    <row r="35" spans="3:22" x14ac:dyDescent="0.25">
      <c r="C35" t="s">
        <v>110</v>
      </c>
      <c r="E35">
        <v>20</v>
      </c>
      <c r="F35">
        <v>14</v>
      </c>
      <c r="G35" s="10">
        <f>1-(F35/E35)</f>
        <v>0.30000000000000004</v>
      </c>
      <c r="P35" s="56">
        <f>P33-P34</f>
        <v>1392.5584079999999</v>
      </c>
      <c r="R35" s="43"/>
    </row>
    <row r="36" spans="3:22" x14ac:dyDescent="0.25">
      <c r="F36" s="5"/>
      <c r="R36" s="9"/>
    </row>
    <row r="37" spans="3:22" x14ac:dyDescent="0.25">
      <c r="R37" s="45"/>
    </row>
    <row r="38" spans="3:22" x14ac:dyDescent="0.25">
      <c r="R38" s="50"/>
      <c r="S38" s="48"/>
      <c r="T38" s="5"/>
    </row>
    <row r="39" spans="3:22" ht="15.75" x14ac:dyDescent="0.25">
      <c r="F39" s="5"/>
      <c r="R39" s="57"/>
      <c r="S39" s="49"/>
      <c r="T39" s="5"/>
    </row>
    <row r="40" spans="3:22" x14ac:dyDescent="0.25">
      <c r="E40" s="5"/>
      <c r="F40" s="5"/>
      <c r="R40" s="45"/>
    </row>
    <row r="41" spans="3:22" x14ac:dyDescent="0.25">
      <c r="E41" s="5"/>
      <c r="F41" s="5"/>
      <c r="G41" s="5"/>
      <c r="R41" s="5"/>
      <c r="T41" s="5"/>
    </row>
    <row r="42" spans="3:22" x14ac:dyDescent="0.25">
      <c r="R42" s="43"/>
    </row>
    <row r="43" spans="3:22" x14ac:dyDescent="0.25">
      <c r="R43" s="44"/>
    </row>
    <row r="44" spans="3:22" x14ac:dyDescent="0.25">
      <c r="R44" s="57"/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2"/>
  <sheetViews>
    <sheetView workbookViewId="0">
      <selection activeCell="H14" sqref="H14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5" x14ac:dyDescent="0.25">
      <c r="A2" s="55" t="s">
        <v>76</v>
      </c>
      <c r="B2" s="55" t="s">
        <v>77</v>
      </c>
      <c r="C2" s="55" t="s">
        <v>78</v>
      </c>
      <c r="D2" s="55" t="s">
        <v>82</v>
      </c>
    </row>
    <row r="3" spans="1:5" x14ac:dyDescent="0.25">
      <c r="A3" t="s">
        <v>75</v>
      </c>
      <c r="B3" s="56">
        <f>718.89+5092.08</f>
        <v>5810.97</v>
      </c>
      <c r="C3" s="3">
        <f>B3/B$6</f>
        <v>0.80865492063006106</v>
      </c>
      <c r="D3" s="56">
        <f>D$6*C3</f>
        <v>0</v>
      </c>
    </row>
    <row r="4" spans="1:5" x14ac:dyDescent="0.25">
      <c r="A4" t="s">
        <v>79</v>
      </c>
      <c r="B4" s="56">
        <f>1100</f>
        <v>1100</v>
      </c>
      <c r="C4" s="3">
        <f t="shared" ref="C4:C5" si="0">B4/B$6</f>
        <v>0.15307606349595113</v>
      </c>
      <c r="D4" s="56">
        <f t="shared" ref="D4:D5" si="1">D$6*C4</f>
        <v>0</v>
      </c>
    </row>
    <row r="5" spans="1:5" x14ac:dyDescent="0.25">
      <c r="A5" t="s">
        <v>80</v>
      </c>
      <c r="B5" s="56">
        <v>275</v>
      </c>
      <c r="C5" s="3">
        <f t="shared" si="0"/>
        <v>3.8269015873987781E-2</v>
      </c>
      <c r="D5" s="56">
        <f t="shared" si="1"/>
        <v>0</v>
      </c>
    </row>
    <row r="6" spans="1:5" x14ac:dyDescent="0.25">
      <c r="A6" t="s">
        <v>54</v>
      </c>
      <c r="B6" s="56">
        <f>SUM(B3:B5)</f>
        <v>7185.97</v>
      </c>
      <c r="C6" s="3">
        <f>SUM(C3:C5)</f>
        <v>1</v>
      </c>
      <c r="D6" s="56">
        <v>0</v>
      </c>
      <c r="E6" t="s">
        <v>85</v>
      </c>
    </row>
    <row r="12" spans="1:5" x14ac:dyDescent="0.25">
      <c r="A12" t="s">
        <v>113</v>
      </c>
      <c r="B12" s="56">
        <f>B6-5092.08</f>
        <v>2093.8900000000003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24"/>
  <sheetViews>
    <sheetView workbookViewId="0">
      <selection activeCell="A9" sqref="A9"/>
    </sheetView>
  </sheetViews>
  <sheetFormatPr defaultRowHeight="15" x14ac:dyDescent="0.25"/>
  <cols>
    <col min="1" max="1" width="74.140625" customWidth="1"/>
    <col min="2" max="2" width="16.85546875" customWidth="1"/>
    <col min="4" max="4" width="10.5703125" customWidth="1"/>
  </cols>
  <sheetData>
    <row r="2" spans="1:4" x14ac:dyDescent="0.25">
      <c r="A2" s="55" t="s">
        <v>81</v>
      </c>
    </row>
    <row r="4" spans="1:4" x14ac:dyDescent="0.25">
      <c r="A4" t="s">
        <v>86</v>
      </c>
    </row>
    <row r="5" spans="1:4" x14ac:dyDescent="0.25">
      <c r="A5" t="s">
        <v>87</v>
      </c>
    </row>
    <row r="6" spans="1:4" x14ac:dyDescent="0.25">
      <c r="A6" t="s">
        <v>88</v>
      </c>
    </row>
    <row r="7" spans="1:4" x14ac:dyDescent="0.25">
      <c r="A7" t="s">
        <v>114</v>
      </c>
    </row>
    <row r="8" spans="1:4" x14ac:dyDescent="0.25">
      <c r="A8" t="s">
        <v>89</v>
      </c>
    </row>
    <row r="9" spans="1:4" x14ac:dyDescent="0.25">
      <c r="A9" t="s">
        <v>90</v>
      </c>
    </row>
    <row r="15" spans="1:4" x14ac:dyDescent="0.25">
      <c r="A15" s="55" t="s">
        <v>91</v>
      </c>
      <c r="B15" s="55" t="s">
        <v>100</v>
      </c>
      <c r="C15" s="55" t="s">
        <v>99</v>
      </c>
      <c r="D15" s="55" t="s">
        <v>101</v>
      </c>
    </row>
    <row r="17" spans="1:4" x14ac:dyDescent="0.25">
      <c r="A17" t="s">
        <v>92</v>
      </c>
      <c r="B17" t="s">
        <v>102</v>
      </c>
      <c r="C17" t="s">
        <v>103</v>
      </c>
      <c r="D17" t="s">
        <v>106</v>
      </c>
    </row>
    <row r="18" spans="1:4" x14ac:dyDescent="0.25">
      <c r="A18" t="s">
        <v>93</v>
      </c>
      <c r="B18" t="s">
        <v>104</v>
      </c>
      <c r="C18" t="s">
        <v>107</v>
      </c>
      <c r="D18" t="s">
        <v>102</v>
      </c>
    </row>
    <row r="19" spans="1:4" x14ac:dyDescent="0.25">
      <c r="A19" t="s">
        <v>94</v>
      </c>
      <c r="B19" t="s">
        <v>108</v>
      </c>
      <c r="C19" t="s">
        <v>105</v>
      </c>
      <c r="D19" t="s">
        <v>106</v>
      </c>
    </row>
    <row r="20" spans="1:4" x14ac:dyDescent="0.25">
      <c r="A20" t="s">
        <v>95</v>
      </c>
      <c r="B20" t="s">
        <v>102</v>
      </c>
      <c r="C20" t="s">
        <v>107</v>
      </c>
      <c r="D20" t="s">
        <v>109</v>
      </c>
    </row>
    <row r="21" spans="1:4" x14ac:dyDescent="0.25">
      <c r="A21" t="s">
        <v>96</v>
      </c>
      <c r="B21" t="s">
        <v>102</v>
      </c>
      <c r="C21" t="s">
        <v>103</v>
      </c>
      <c r="D21" t="s">
        <v>109</v>
      </c>
    </row>
    <row r="22" spans="1:4" x14ac:dyDescent="0.25">
      <c r="A22" t="s">
        <v>97</v>
      </c>
      <c r="B22" t="s">
        <v>106</v>
      </c>
      <c r="C22" t="s">
        <v>105</v>
      </c>
      <c r="D22" t="s">
        <v>108</v>
      </c>
    </row>
    <row r="23" spans="1:4" x14ac:dyDescent="0.25">
      <c r="A23" t="s">
        <v>98</v>
      </c>
      <c r="B23" t="s">
        <v>109</v>
      </c>
      <c r="C23" t="s">
        <v>105</v>
      </c>
      <c r="D23" t="s">
        <v>102</v>
      </c>
    </row>
    <row r="24" spans="1:4" x14ac:dyDescent="0.25">
      <c r="A24" t="s">
        <v>55</v>
      </c>
      <c r="B24" t="s">
        <v>106</v>
      </c>
      <c r="C24" t="s">
        <v>103</v>
      </c>
      <c r="D24" t="s">
        <v>102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Operacion 1</vt:lpstr>
      <vt:lpstr>Operacion 2</vt:lpstr>
      <vt:lpstr>Operacion 3</vt:lpstr>
      <vt:lpstr>Historial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2018-10-02T14:55:40Z</dcterms:modified>
</cp:coreProperties>
</file>