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5E08ED5-7E8D-41DC-874E-3EF2241E84C7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7" i="3" l="1"/>
  <c r="S27" i="3"/>
  <c r="X1" i="3"/>
  <c r="Y26" i="3" l="1"/>
  <c r="Y3" i="3"/>
  <c r="Y5" i="3"/>
  <c r="Y6" i="3"/>
  <c r="Y13" i="3"/>
  <c r="Y14" i="3"/>
  <c r="Y15" i="3"/>
  <c r="Y24" i="3"/>
  <c r="Z3" i="3"/>
  <c r="Z26" i="3" l="1"/>
  <c r="Z15" i="3"/>
  <c r="Z14" i="3"/>
  <c r="Z24" i="3"/>
  <c r="Z13" i="3"/>
  <c r="Z6" i="3"/>
  <c r="Z5" i="3"/>
  <c r="Y27" i="3"/>
  <c r="B5" i="2"/>
  <c r="B3" i="6"/>
  <c r="AA26" i="3" l="1"/>
  <c r="AA15" i="3"/>
  <c r="AA24" i="3"/>
  <c r="AA13" i="3"/>
  <c r="AA14" i="3"/>
  <c r="AA5" i="3"/>
  <c r="AA6" i="3"/>
  <c r="AA3" i="3"/>
  <c r="R22" i="3"/>
  <c r="Z27" i="3" l="1"/>
  <c r="AA27" i="3"/>
  <c r="R23" i="3" l="1"/>
  <c r="S52" i="3" l="1"/>
  <c r="S51" i="3"/>
  <c r="S50" i="3"/>
  <c r="S49" i="3"/>
  <c r="S42" i="3" l="1"/>
  <c r="S41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0" i="3" l="1"/>
  <c r="G40" i="3"/>
  <c r="G37" i="3" l="1"/>
  <c r="G38" i="3"/>
  <c r="G39" i="3"/>
  <c r="Q19" i="3" l="1"/>
  <c r="R19" i="3" s="1"/>
  <c r="P19" i="3"/>
  <c r="U37" i="3" l="1"/>
  <c r="B15" i="4" l="1"/>
  <c r="R18" i="3" l="1"/>
  <c r="O27" i="3" l="1"/>
  <c r="N27" i="3"/>
  <c r="M27" i="3"/>
  <c r="L27" i="3"/>
  <c r="R3" i="3"/>
  <c r="S3" i="3"/>
  <c r="R12" i="3"/>
  <c r="Q13" i="3"/>
  <c r="R27" i="3" l="1"/>
  <c r="AB27" i="3" s="1"/>
  <c r="AC27" i="3" s="1"/>
  <c r="K27" i="3"/>
  <c r="J27" i="3"/>
  <c r="I27" i="3"/>
  <c r="H27" i="3" l="1"/>
  <c r="B13" i="3" l="1"/>
  <c r="B18" i="1" l="1"/>
  <c r="B16" i="1"/>
  <c r="B5" i="1" l="1"/>
  <c r="B17" i="1" s="1"/>
  <c r="B15" i="1" s="1"/>
  <c r="B19" i="2"/>
  <c r="A31" i="3" l="1"/>
  <c r="F31" i="3"/>
  <c r="E31" i="3"/>
  <c r="B31" i="3"/>
  <c r="E16" i="4"/>
  <c r="B7" i="4"/>
  <c r="E13" i="4" s="1"/>
  <c r="E17" i="4" s="1"/>
  <c r="B5" i="4"/>
  <c r="I4" i="4"/>
  <c r="I5" i="4" s="1"/>
  <c r="D31" i="3" l="1"/>
  <c r="D13" i="3"/>
  <c r="G31" i="3"/>
  <c r="E6" i="4"/>
  <c r="E5" i="4"/>
  <c r="E3" i="4"/>
  <c r="E4" i="4"/>
  <c r="H31" i="3" l="1"/>
  <c r="J31" i="3" s="1"/>
  <c r="L31" i="3"/>
  <c r="M31" i="3" s="1"/>
  <c r="E11" i="4"/>
  <c r="E18" i="4" s="1"/>
  <c r="N31" i="3" l="1"/>
  <c r="I31" i="3"/>
  <c r="K31" i="3" l="1"/>
  <c r="P38" i="3" s="1"/>
  <c r="O31" i="3"/>
  <c r="P31" i="3"/>
  <c r="Q31" i="3"/>
  <c r="F30" i="3"/>
  <c r="E30" i="3"/>
  <c r="B30" i="3"/>
  <c r="A29" i="3"/>
  <c r="E16" i="2"/>
  <c r="B12" i="2"/>
  <c r="B7" i="2"/>
  <c r="D30" i="3"/>
  <c r="I4" i="2"/>
  <c r="I5" i="2" s="1"/>
  <c r="R31" i="3" l="1"/>
  <c r="S31" i="3" s="1"/>
  <c r="P39" i="3"/>
  <c r="P40" i="3" s="1"/>
  <c r="L30" i="3"/>
  <c r="M30" i="3" s="1"/>
  <c r="E5" i="2"/>
  <c r="G30" i="3"/>
  <c r="H30" i="3"/>
  <c r="I30" i="3" s="1"/>
  <c r="E6" i="2"/>
  <c r="E3" i="2"/>
  <c r="E4" i="2"/>
  <c r="E13" i="2"/>
  <c r="E17" i="2" s="1"/>
  <c r="J30" i="3" l="1"/>
  <c r="N30" i="3"/>
  <c r="R32" i="3"/>
  <c r="S32" i="3" s="1"/>
  <c r="E11" i="2"/>
  <c r="E18" i="2" s="1"/>
  <c r="B12" i="1"/>
  <c r="B29" i="3"/>
  <c r="F29" i="3"/>
  <c r="E29" i="3"/>
  <c r="P30" i="3" l="1"/>
  <c r="O30" i="3"/>
  <c r="K30" i="3"/>
  <c r="D29" i="3"/>
  <c r="H29" i="3" s="1"/>
  <c r="F3" i="3"/>
  <c r="G3" i="3" s="1"/>
  <c r="R30" i="3" l="1"/>
  <c r="S30" i="3" s="1"/>
  <c r="Q30" i="3"/>
  <c r="L29" i="3"/>
  <c r="I29" i="3"/>
  <c r="J29" i="3" s="1"/>
  <c r="K29" i="3" s="1"/>
  <c r="E16" i="1"/>
  <c r="M29" i="3" l="1"/>
  <c r="P29" i="3" s="1"/>
  <c r="I4" i="1"/>
  <c r="N29" i="3" l="1"/>
  <c r="Q29" i="3" s="1"/>
  <c r="B7" i="1"/>
  <c r="G29" i="3" s="1"/>
  <c r="O29" i="3" l="1"/>
  <c r="E6" i="1"/>
  <c r="E13" i="1"/>
  <c r="E17" i="1" s="1"/>
  <c r="E3" i="1"/>
  <c r="E4" i="1"/>
  <c r="E5" i="1"/>
  <c r="R29" i="3" l="1"/>
  <c r="S29" i="3" s="1"/>
  <c r="E11" i="1"/>
  <c r="E18" i="1" s="1"/>
  <c r="I5" i="1"/>
</calcChain>
</file>

<file path=xl/sharedStrings.xml><?xml version="1.0" encoding="utf-8"?>
<sst xmlns="http://schemas.openxmlformats.org/spreadsheetml/2006/main" count="258" uniqueCount="150">
  <si>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</si>
  <si>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</si>
  <si>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</si>
  <si>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</si>
  <si>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</si>
  <si>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</si>
  <si>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</si>
  <si>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</si>
  <si>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</si>
  <si>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</si>
  <si>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</si>
  <si>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</si>
  <si>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</si>
  <si>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</si>
  <si>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</si>
  <si>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</si>
  <si>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</si>
  <si>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</si>
  <si>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</si>
  <si>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</si>
  <si>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</si>
  <si>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</si>
  <si>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</si>
  <si>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</si>
  <si>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</si>
  <si>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</si>
  <si>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</si>
  <si>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</si>
  <si>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</si>
  <si>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</si>
  <si>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</si>
  <si>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</si>
  <si>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</si>
  <si>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</si>
  <si>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</si>
  <si>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</si>
  <si>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</si>
  <si>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</si>
  <si>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</si>
  <si>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</si>
  <si>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</si>
  <si>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</si>
  <si>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</si>
  <si>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</si>
  <si>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</si>
  <si>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</si>
  <si>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</si>
  <si>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</si>
  <si>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</si>
  <si>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</si>
  <si>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</si>
  <si>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</si>
  <si>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</si>
  <si>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</si>
  <si>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</si>
  <si>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</si>
  <si>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</si>
  <si>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</si>
  <si>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</si>
  <si>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</si>
  <si>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</si>
  <si>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</si>
  <si>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</si>
  <si>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</si>
  <si>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</si>
  <si>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</si>
  <si>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</si>
  <si>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</si>
  <si>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</si>
  <si>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</si>
  <si>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</si>
  <si>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</si>
  <si>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</si>
  <si>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</si>
  <si>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</si>
  <si>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</si>
  <si>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</si>
  <si>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</si>
  <si>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</si>
  <si>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</si>
  <si>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</si>
  <si>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</si>
  <si>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</si>
  <si>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</si>
  <si>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</si>
  <si>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</si>
  <si>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</si>
  <si>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</si>
  <si>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</si>
  <si>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</si>
  <si>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</si>
  <si>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</si>
  <si>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</si>
  <si>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</si>
  <si>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</si>
  <si>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</si>
  <si>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</si>
  <si>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</si>
  <si>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</si>
  <si>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</si>
  <si>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</si>
  <si>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</si>
  <si>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</si>
  <si>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</si>
  <si>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</si>
  <si>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</si>
  <si>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</si>
  <si>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</si>
  <si>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</si>
  <si>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</si>
  <si>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</si>
  <si>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</si>
  <si>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</si>
  <si>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</si>
  <si>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</si>
  <si>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</si>
  <si>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</si>
  <si>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</si>
  <si>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</si>
  <si>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</si>
  <si>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</si>
  <si>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</si>
  <si>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</si>
  <si>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</si>
  <si>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</si>
  <si>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</si>
  <si>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</si>
  <si>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</si>
  <si>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</si>
  <si>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</si>
  <si>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</si>
  <si>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</si>
  <si>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</si>
  <si>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</si>
  <si>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</si>
  <si>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</si>
  <si>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</si>
  <si>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</si>
  <si>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</si>
  <si>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</si>
  <si>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</si>
  <si>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</si>
  <si>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</si>
  <si>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</si>
  <si>
    <t>Dias</t>
  </si>
  <si>
    <t>Dias/Total dias</t>
  </si>
  <si>
    <t>Media invertido</t>
  </si>
  <si>
    <t>% Total</t>
  </si>
  <si>
    <t>%/año</t>
  </si>
  <si>
    <t>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</si>
</sst>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42234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42471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138.03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29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155.03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0.12316163152937776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153.972465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43154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30.27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0.16512702078521935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9"/>
  <sheetViews>
    <sheetView tabSelected="1" topLeftCell="P16" zoomScaleNormal="100" workbookViewId="0">
      <selection activeCell="W33" sqref="W33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66" t="s">
        <v>47</v>
      </c>
      <c r="I1" s="66"/>
      <c r="J1" s="66"/>
      <c r="K1" s="66"/>
      <c r="L1" s="67" t="s">
        <v>52</v>
      </c>
      <c r="M1" s="67"/>
      <c r="N1" s="67"/>
      <c r="O1" s="67"/>
      <c r="P1" s="68" t="s">
        <v>54</v>
      </c>
      <c r="Q1" s="68"/>
      <c r="R1" s="68"/>
      <c r="X1" s="59">
        <f ca="1">_xlfn.DAYS(TODAY(),B3)-_xlfn.DAYS(B5,C3)-_xlfn.DAYS(B6,C5)-_xlfn.DAYS(B14,C6)-_xlfn.DAYS(B18,C15)</f>
        <v>1430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144</v>
      </c>
      <c r="Z2" t="s">
        <v>145</v>
      </c>
      <c r="AA2" t="s">
        <v>146</v>
      </c>
      <c r="AB2" t="s">
        <v>147</v>
      </c>
      <c r="AC2" t="s">
        <v>148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59">
        <f ca="1">Y3/X$1</f>
        <v>4.3356643356643354E-2</v>
      </c>
      <c r="AA3" s="56">
        <f ca="1">Z3*H3</f>
        <v>172.927972027972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  <c r="Z4" s="59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5:Y24" si="0">_xlfn.DAYS(C5,B5)</f>
        <v>55</v>
      </c>
      <c r="Z5" s="59">
        <f t="shared" ref="Z5:Z26" ca="1" si="1">Y5/X$1</f>
        <v>3.8461538461538464E-2</v>
      </c>
      <c r="AA5" s="56">
        <f t="shared" ref="AA5:AA24" ca="1" si="2">Z5*H5</f>
        <v>153.90230769230769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59">
        <f t="shared" ca="1" si="1"/>
        <v>9.7902097902097911E-3</v>
      </c>
      <c r="AA6" s="56">
        <f t="shared" ca="1" si="2"/>
        <v>39.212727272727278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59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59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59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59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  <c r="Z11" s="59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59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59">
        <f t="shared" ca="1" si="1"/>
        <v>0.20139860139860141</v>
      </c>
      <c r="AA13" s="56">
        <f t="shared" ca="1" si="2"/>
        <v>118.09611188811189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59">
        <f t="shared" ca="1" si="1"/>
        <v>0.60769230769230764</v>
      </c>
      <c r="AA14" s="56">
        <f t="shared" ca="1" si="2"/>
        <v>2667.5261538461536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59">
        <f t="shared" ca="1" si="1"/>
        <v>0.44195804195804195</v>
      </c>
      <c r="AA15" s="56">
        <f t="shared" ca="1" si="2"/>
        <v>265.44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  <c r="Z16" s="59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  <c r="Z17" s="59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  <c r="Z18" s="59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  <c r="Z19" s="59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  <c r="Z20" s="59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142</v>
      </c>
      <c r="Z21" s="59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</f>
        <v>-7.5299999999999994</v>
      </c>
      <c r="S22" s="10"/>
      <c r="T22" t="s">
        <v>143</v>
      </c>
      <c r="Z22" s="59"/>
      <c r="AA22" s="56"/>
      <c r="AB22" s="5"/>
    </row>
    <row r="23" spans="1:29" x14ac:dyDescent="0.25">
      <c r="A23" s="39" t="s">
        <v>139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140</v>
      </c>
      <c r="Z23" s="59"/>
      <c r="AA23" s="56"/>
      <c r="AB23" s="5"/>
    </row>
    <row r="24" spans="1:29" x14ac:dyDescent="0.25">
      <c r="A24" s="7" t="s">
        <v>139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141</v>
      </c>
      <c r="Y24">
        <f t="shared" si="0"/>
        <v>22</v>
      </c>
      <c r="Z24" s="59">
        <f t="shared" ca="1" si="1"/>
        <v>1.5384615384615385E-2</v>
      </c>
      <c r="AA24" s="56">
        <f t="shared" ca="1" si="2"/>
        <v>62.833846153846153</v>
      </c>
      <c r="AB24" s="5"/>
    </row>
    <row r="25" spans="1:29" x14ac:dyDescent="0.25">
      <c r="A25" s="7"/>
      <c r="B25" s="8"/>
      <c r="C25" s="8"/>
      <c r="D25" s="14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Z25" s="59"/>
      <c r="AB25" s="5"/>
    </row>
    <row r="26" spans="1:29" x14ac:dyDescent="0.25">
      <c r="Y26">
        <f ca="1">_xlfn.DAYS(TODAY(),B31)</f>
        <v>430</v>
      </c>
      <c r="Z26" s="59">
        <f t="shared" ca="1" si="1"/>
        <v>0.30069930069930068</v>
      </c>
      <c r="AA26" s="56">
        <f ca="1">Z26*H31</f>
        <v>1531.1848951048948</v>
      </c>
      <c r="AB26" s="5"/>
    </row>
    <row r="27" spans="1:29" x14ac:dyDescent="0.25">
      <c r="H27" s="15">
        <f t="shared" ref="H27:O27" si="3">SUM(H3:H26)</f>
        <v>21656.039999999997</v>
      </c>
      <c r="I27" s="15">
        <f t="shared" si="3"/>
        <v>103.523</v>
      </c>
      <c r="J27" s="15">
        <f t="shared" si="3"/>
        <v>42.339399999999998</v>
      </c>
      <c r="K27" s="15">
        <f t="shared" si="3"/>
        <v>4129.1262000000006</v>
      </c>
      <c r="L27" s="15">
        <f t="shared" si="3"/>
        <v>4531.8</v>
      </c>
      <c r="M27" s="15">
        <f t="shared" si="3"/>
        <v>-33.988500000000002</v>
      </c>
      <c r="N27" s="15">
        <f t="shared" si="3"/>
        <v>-15.861300000000002</v>
      </c>
      <c r="O27" s="15">
        <f t="shared" si="3"/>
        <v>4481.9502000000002</v>
      </c>
      <c r="R27" s="15">
        <f>SUM(R3:R26)</f>
        <v>3527.713467999999</v>
      </c>
      <c r="S27" s="16">
        <f>SUM(S3:S26)/7</f>
        <v>0.54861989434118641</v>
      </c>
      <c r="T27" s="16">
        <f>S27/4</f>
        <v>0.1371549735852966</v>
      </c>
      <c r="Y27">
        <f ca="1">SUM(Y3:Y26)</f>
        <v>2372</v>
      </c>
      <c r="Z27" s="59">
        <f ca="1">SUM(Z3:Z26)</f>
        <v>1.6587412587412587</v>
      </c>
      <c r="AA27" s="56">
        <f ca="1">SUM(AA3:AA26)</f>
        <v>5011.1240139860138</v>
      </c>
      <c r="AB27" s="3">
        <f ca="1">R27/AA27</f>
        <v>0.70397648474756847</v>
      </c>
      <c r="AC27" s="3">
        <f ca="1">AB27/(X1/365)</f>
        <v>0.17968630554745629</v>
      </c>
    </row>
    <row r="28" spans="1:29" x14ac:dyDescent="0.25">
      <c r="H28" s="52"/>
      <c r="I28" s="52"/>
      <c r="J28" s="52"/>
      <c r="K28" s="52"/>
      <c r="L28" s="52"/>
      <c r="M28" s="52"/>
      <c r="N28" s="52"/>
      <c r="O28" s="52"/>
      <c r="R28" s="52"/>
      <c r="S28" s="51"/>
      <c r="T28" s="51"/>
      <c r="U28">
        <v>0.24199999999999999</v>
      </c>
    </row>
    <row r="29" spans="1:29" x14ac:dyDescent="0.25">
      <c r="A29" s="39" t="str">
        <f>'Operacion 1'!B$3</f>
        <v>ABI.BR</v>
      </c>
      <c r="B29" s="8">
        <f>'Operacion 1'!B$2</f>
        <v>42234</v>
      </c>
      <c r="C29" s="8"/>
      <c r="D29" s="14">
        <f>'Operacion 1'!B$5</f>
        <v>62</v>
      </c>
      <c r="E29" s="9">
        <f>'Operacion 1'!B$4</f>
        <v>89</v>
      </c>
      <c r="F29" s="9">
        <f>'Operacion 1'!B$6</f>
        <v>120</v>
      </c>
      <c r="G29" s="10">
        <f>'Operacion 1'!B$7</f>
        <v>0.348314606741573</v>
      </c>
      <c r="H29" s="9">
        <f>(E29*D29)</f>
        <v>5518</v>
      </c>
      <c r="I29" s="9">
        <f>IF((H29*0.005)&lt;20,20,(H29*0.005))</f>
        <v>27.59</v>
      </c>
      <c r="J29" s="9">
        <f>SUM(H29:I29)*0.0027</f>
        <v>14.973093</v>
      </c>
      <c r="K29" s="9">
        <f>SUM(H29:J29)</f>
        <v>5560.5630929999998</v>
      </c>
      <c r="L29" s="9">
        <f>D29*F29</f>
        <v>7440</v>
      </c>
      <c r="M29" s="9">
        <f>IF((L29*0.005)&lt;20,-20,-(L29*0.005))</f>
        <v>-37.200000000000003</v>
      </c>
      <c r="N29" s="9">
        <f>-(SUM(L29:M29)*0.0027)</f>
        <v>-19.987560000000002</v>
      </c>
      <c r="O29" s="9">
        <f>SUM(L29:N29)</f>
        <v>7382.8124400000006</v>
      </c>
      <c r="P29" s="9">
        <f>I29-M29</f>
        <v>64.790000000000006</v>
      </c>
      <c r="Q29" s="9">
        <f>J29-N29</f>
        <v>34.960653000000001</v>
      </c>
      <c r="R29" s="9">
        <f t="shared" ref="R29:R30" si="4">O29-K29</f>
        <v>1822.2493470000009</v>
      </c>
      <c r="S29" s="10">
        <f>R29/K29</f>
        <v>0.32770949929404947</v>
      </c>
      <c r="T29" t="s">
        <v>111</v>
      </c>
      <c r="U29" t="s">
        <v>113</v>
      </c>
    </row>
    <row r="30" spans="1:29" x14ac:dyDescent="0.25">
      <c r="A30" s="39" t="str">
        <f>'Operacion 2'!B$3</f>
        <v>DAI.DE</v>
      </c>
      <c r="B30" s="8">
        <f>'Operacion 2'!B$2</f>
        <v>42471</v>
      </c>
      <c r="C30" s="8"/>
      <c r="D30" s="14">
        <f>'Operacion 2'!B$5</f>
        <v>29</v>
      </c>
      <c r="E30" s="9">
        <f>'Operacion 2'!B$4</f>
        <v>138.03</v>
      </c>
      <c r="F30" s="9">
        <f>'Operacion 2'!B$6</f>
        <v>155.03</v>
      </c>
      <c r="G30" s="10">
        <f>'Operacion 2'!B$7</f>
        <v>0.12316163152937776</v>
      </c>
      <c r="H30" s="9">
        <f t="shared" ref="H30:H31" si="5">E30*D30</f>
        <v>4002.87</v>
      </c>
      <c r="I30" s="9">
        <f>IF((H30*(0.0075))&lt;30,30,(H30*(0.0075)))</f>
        <v>30.021524999999997</v>
      </c>
      <c r="J30" s="9">
        <f>H30*0.0035</f>
        <v>14.010045</v>
      </c>
      <c r="K30" s="9">
        <f t="shared" ref="K30:K31" si="6">SUM(H30:J30)</f>
        <v>4046.90157</v>
      </c>
      <c r="L30" s="9">
        <f t="shared" ref="L30:L31" si="7">D30*F30</f>
        <v>4495.87</v>
      </c>
      <c r="M30" s="9">
        <f>IF((L30*(0.0075))&lt;30,-30,-(L30*(0.0075)))</f>
        <v>-33.719024999999995</v>
      </c>
      <c r="N30" s="9">
        <f>-(L30*0.0035)</f>
        <v>-15.735545</v>
      </c>
      <c r="O30" s="9">
        <f t="shared" ref="O30:O31" si="8">SUM(L30:N30)</f>
        <v>4446.41543</v>
      </c>
      <c r="P30" s="9">
        <f t="shared" ref="P30:P31" si="9">I30-M30</f>
        <v>63.740549999999992</v>
      </c>
      <c r="Q30" s="9">
        <f t="shared" ref="Q30:Q31" si="10">J30-N30</f>
        <v>29.74559</v>
      </c>
      <c r="R30" s="9">
        <f t="shared" si="4"/>
        <v>399.51386000000002</v>
      </c>
      <c r="S30" s="10">
        <f t="shared" ref="S30" si="11">R30/K30</f>
        <v>9.8720923424880827E-2</v>
      </c>
      <c r="T30" t="s">
        <v>110</v>
      </c>
      <c r="U30" t="s">
        <v>113</v>
      </c>
    </row>
    <row r="31" spans="1:29" x14ac:dyDescent="0.25">
      <c r="A31" s="39" t="str">
        <f>'Operacion 3'!B3</f>
        <v>ITX.MC</v>
      </c>
      <c r="B31" s="8">
        <f>'Operacion 3'!B$2</f>
        <v>43154</v>
      </c>
      <c r="C31" s="8"/>
      <c r="D31" s="14">
        <f>'Operacion 3'!B$5</f>
        <v>196</v>
      </c>
      <c r="E31" s="9">
        <f>'Operacion 3'!B$4</f>
        <v>25.98</v>
      </c>
      <c r="F31" s="9">
        <f>'Operacion 3'!B$6</f>
        <v>30.27</v>
      </c>
      <c r="G31" s="10">
        <f>'Operacion 3'!B$7</f>
        <v>0.16512702078521935</v>
      </c>
      <c r="H31" s="9">
        <f t="shared" si="5"/>
        <v>5092.08</v>
      </c>
      <c r="I31" s="9">
        <f>IF((H31*(0.0075+0.0008))&lt;30,30,(H31*(0.0075+0.0008)))</f>
        <v>42.264263999999997</v>
      </c>
      <c r="J31" s="9">
        <f>H31*0.0027</f>
        <v>13.748616</v>
      </c>
      <c r="K31" s="9">
        <f t="shared" si="6"/>
        <v>5148.0928800000002</v>
      </c>
      <c r="L31" s="9">
        <f t="shared" si="7"/>
        <v>5932.92</v>
      </c>
      <c r="M31" s="9">
        <f>IF((L31*(0.0075))&lt;30,-30,-(L31*(0.0075)))</f>
        <v>-44.496899999999997</v>
      </c>
      <c r="N31" s="9">
        <f>-(L31*0.0035)</f>
        <v>-20.765219999999999</v>
      </c>
      <c r="O31" s="9">
        <f t="shared" si="8"/>
        <v>5867.6578799999997</v>
      </c>
      <c r="P31" s="9">
        <f t="shared" si="9"/>
        <v>86.761163999999994</v>
      </c>
      <c r="Q31" s="9">
        <f t="shared" si="10"/>
        <v>34.513835999999998</v>
      </c>
      <c r="R31" s="9">
        <f>O31-K31</f>
        <v>719.5649999999996</v>
      </c>
      <c r="S31" s="10">
        <f>R31/K31</f>
        <v>0.13977311924488814</v>
      </c>
      <c r="T31" t="s">
        <v>58</v>
      </c>
      <c r="U31" t="s">
        <v>113</v>
      </c>
      <c r="AA31" s="56"/>
    </row>
    <row r="32" spans="1:29" x14ac:dyDescent="0.25">
      <c r="R32" s="56">
        <f>R31+SUM(R19:R22)</f>
        <v>760.42499999999961</v>
      </c>
      <c r="S32" s="10">
        <f>R32/K31</f>
        <v>0.14771003898437815</v>
      </c>
    </row>
    <row r="33" spans="3:27" x14ac:dyDescent="0.25">
      <c r="D33" s="48"/>
      <c r="H33" s="48" t="s">
        <v>59</v>
      </c>
      <c r="I33" s="48"/>
      <c r="J33" s="48" t="s">
        <v>62</v>
      </c>
      <c r="K33" s="48"/>
      <c r="L33" s="48"/>
      <c r="M33" s="48"/>
      <c r="N33" s="48"/>
      <c r="O33" s="48"/>
      <c r="R33" s="48"/>
    </row>
    <row r="34" spans="3:27" x14ac:dyDescent="0.25">
      <c r="F34" s="5"/>
      <c r="G34" s="48"/>
      <c r="U34" t="s">
        <v>46</v>
      </c>
    </row>
    <row r="35" spans="3:27" x14ac:dyDescent="0.25">
      <c r="T35" t="s">
        <v>70</v>
      </c>
      <c r="U35">
        <v>27</v>
      </c>
      <c r="AA35" s="56"/>
    </row>
    <row r="36" spans="3:27" x14ac:dyDescent="0.25">
      <c r="H36" s="5"/>
      <c r="I36" s="5"/>
      <c r="J36" s="5"/>
      <c r="K36" s="5"/>
      <c r="L36" s="5"/>
      <c r="M36" s="5"/>
      <c r="N36" s="5"/>
      <c r="O36" s="5"/>
      <c r="P36" s="5"/>
      <c r="R36" s="5"/>
      <c r="T36" t="s">
        <v>68</v>
      </c>
      <c r="U36">
        <v>30.57</v>
      </c>
      <c r="W36" t="s">
        <v>115</v>
      </c>
    </row>
    <row r="37" spans="3:27" x14ac:dyDescent="0.25">
      <c r="D37" t="s">
        <v>64</v>
      </c>
      <c r="E37">
        <v>74.89</v>
      </c>
      <c r="F37">
        <v>52</v>
      </c>
      <c r="G37" s="10">
        <f>1-(F37/E37)</f>
        <v>0.30564828415008682</v>
      </c>
      <c r="N37">
        <v>6769.84</v>
      </c>
      <c r="O37">
        <v>74.459999999999994</v>
      </c>
      <c r="P37" s="5">
        <v>6695.38</v>
      </c>
      <c r="S37" s="10"/>
      <c r="T37" t="s">
        <v>69</v>
      </c>
      <c r="U37" s="3">
        <f>(U36/U35)-1</f>
        <v>0.13222222222222224</v>
      </c>
      <c r="V37" s="3"/>
      <c r="W37" t="s">
        <v>83</v>
      </c>
    </row>
    <row r="38" spans="3:27" x14ac:dyDescent="0.25">
      <c r="D38" t="s">
        <v>63</v>
      </c>
      <c r="E38">
        <v>182.08</v>
      </c>
      <c r="F38">
        <v>126</v>
      </c>
      <c r="G38" s="10">
        <f>1-(F38/E38)</f>
        <v>0.30799648506151145</v>
      </c>
      <c r="H38" s="5"/>
      <c r="I38" s="5"/>
      <c r="J38" s="5"/>
      <c r="K38" s="5"/>
      <c r="L38" s="5"/>
      <c r="M38" s="5"/>
      <c r="N38" s="5"/>
      <c r="O38" s="5"/>
      <c r="P38" s="5">
        <f>P37-K31</f>
        <v>1547.28712</v>
      </c>
      <c r="R38" s="5"/>
    </row>
    <row r="39" spans="3:27" x14ac:dyDescent="0.25">
      <c r="D39" t="s">
        <v>65</v>
      </c>
      <c r="E39">
        <v>93.54</v>
      </c>
      <c r="F39">
        <v>65</v>
      </c>
      <c r="G39" s="10">
        <f>1-(F39/E39)</f>
        <v>0.30511011332050464</v>
      </c>
      <c r="H39" s="9"/>
      <c r="I39" s="9"/>
      <c r="J39" s="9"/>
      <c r="K39" s="5"/>
      <c r="P39" s="56">
        <f>P38*0.1</f>
        <v>154.728712</v>
      </c>
    </row>
    <row r="40" spans="3:27" x14ac:dyDescent="0.25">
      <c r="C40" t="s">
        <v>109</v>
      </c>
      <c r="E40">
        <v>20</v>
      </c>
      <c r="F40">
        <v>14</v>
      </c>
      <c r="G40" s="10">
        <f>1-(F40/E40)</f>
        <v>0.30000000000000004</v>
      </c>
      <c r="P40" s="56">
        <f>P38-P39</f>
        <v>1392.5584079999999</v>
      </c>
      <c r="R40" s="43"/>
    </row>
    <row r="41" spans="3:27" x14ac:dyDescent="0.25">
      <c r="F41" s="5"/>
      <c r="R41" s="9"/>
      <c r="S41">
        <f>(0.00242*12)</f>
        <v>2.9039999999999996E-2</v>
      </c>
    </row>
    <row r="42" spans="3:27" x14ac:dyDescent="0.25">
      <c r="O42" s="9"/>
      <c r="R42" s="45"/>
      <c r="S42">
        <f>4700*S41</f>
        <v>136.48799999999997</v>
      </c>
    </row>
    <row r="43" spans="3:27" x14ac:dyDescent="0.25">
      <c r="P43" s="3"/>
      <c r="R43" s="50" t="s">
        <v>122</v>
      </c>
      <c r="S43" s="48" t="s">
        <v>123</v>
      </c>
      <c r="T43" s="5"/>
    </row>
    <row r="44" spans="3:27" ht="15.75" x14ac:dyDescent="0.25">
      <c r="F44" s="5"/>
      <c r="Q44" t="s">
        <v>119</v>
      </c>
      <c r="R44" s="57" t="s">
        <v>118</v>
      </c>
      <c r="S44" s="49"/>
      <c r="T44" s="5"/>
    </row>
    <row r="45" spans="3:27" x14ac:dyDescent="0.25">
      <c r="E45" s="5"/>
      <c r="F45" s="5"/>
      <c r="Q45" t="s">
        <v>120</v>
      </c>
      <c r="R45" s="57" t="s">
        <v>121</v>
      </c>
      <c r="S45" t="s">
        <v>124</v>
      </c>
    </row>
    <row r="46" spans="3:27" x14ac:dyDescent="0.25">
      <c r="E46" s="5"/>
      <c r="F46" s="5"/>
      <c r="G46" s="5"/>
      <c r="J46" t="s">
        <v>125</v>
      </c>
      <c r="R46" s="5"/>
      <c r="S46" t="s">
        <v>138</v>
      </c>
      <c r="T46" s="5"/>
    </row>
    <row r="47" spans="3:27" x14ac:dyDescent="0.25">
      <c r="J47" s="58">
        <v>43587</v>
      </c>
      <c r="R47" s="43"/>
    </row>
    <row r="48" spans="3:27" x14ac:dyDescent="0.25">
      <c r="J48" t="s">
        <v>126</v>
      </c>
      <c r="R48" s="44"/>
    </row>
    <row r="49" spans="10:19" x14ac:dyDescent="0.25">
      <c r="J49" t="s">
        <v>127</v>
      </c>
      <c r="R49" s="57"/>
      <c r="S49">
        <f>5000/12</f>
        <v>416.66666666666669</v>
      </c>
    </row>
    <row r="50" spans="10:19" x14ac:dyDescent="0.25">
      <c r="J50" t="s">
        <v>128</v>
      </c>
      <c r="S50">
        <f>2.2/S49</f>
        <v>5.28E-3</v>
      </c>
    </row>
    <row r="51" spans="10:19" x14ac:dyDescent="0.25">
      <c r="J51" t="s">
        <v>129</v>
      </c>
      <c r="S51">
        <f>100*S50</f>
        <v>0.52800000000000002</v>
      </c>
    </row>
    <row r="52" spans="10:19" x14ac:dyDescent="0.25">
      <c r="J52" t="s">
        <v>130</v>
      </c>
      <c r="S52">
        <f>2.2*12</f>
        <v>26.400000000000002</v>
      </c>
    </row>
    <row r="53" spans="10:19" x14ac:dyDescent="0.25">
      <c r="J53" t="s">
        <v>131</v>
      </c>
    </row>
    <row r="54" spans="10:19" x14ac:dyDescent="0.25">
      <c r="J54" t="s">
        <v>132</v>
      </c>
    </row>
    <row r="55" spans="10:19" x14ac:dyDescent="0.25">
      <c r="J55" t="s">
        <v>133</v>
      </c>
    </row>
    <row r="56" spans="10:19" x14ac:dyDescent="0.25">
      <c r="J56" t="s">
        <v>134</v>
      </c>
    </row>
    <row r="57" spans="10:19" x14ac:dyDescent="0.25">
      <c r="J57" t="s">
        <v>135</v>
      </c>
    </row>
    <row r="58" spans="10:19" x14ac:dyDescent="0.25">
      <c r="J58" t="s">
        <v>136</v>
      </c>
    </row>
    <row r="59" spans="10:19" x14ac:dyDescent="0.25">
      <c r="J59" t="s">
        <v>137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E13" sqref="E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1050</f>
        <v>1050</v>
      </c>
      <c r="C3" s="3">
        <f>B3/B$7</f>
        <v>0.25925925925925924</v>
      </c>
      <c r="D3" s="56">
        <f>D$7*C3</f>
        <v>0</v>
      </c>
    </row>
    <row r="4" spans="1:5" x14ac:dyDescent="0.25">
      <c r="A4" t="s">
        <v>79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80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117</v>
      </c>
      <c r="B6" s="56">
        <v>1100</v>
      </c>
      <c r="C6" s="3">
        <f t="shared" si="0"/>
        <v>0.27160493827160492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0.99999999999999989</v>
      </c>
      <c r="D7" s="56">
        <v>0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5"/>
  <sheetViews>
    <sheetView topLeftCell="A7" workbookViewId="0">
      <selection activeCell="A22" sqref="A22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  <row r="25" spans="1:4" x14ac:dyDescent="0.25">
      <c r="A25" t="s">
        <v>149</v>
      </c>
      <c r="B25" t="s">
        <v>105</v>
      </c>
      <c r="C25" t="s">
        <v>102</v>
      </c>
      <c r="D25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2019-04-29T12:42:30Z</dcterms:modified>
</cp:coreProperties>
</file>