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3028DBB8-39CD-44BD-B8F4-5C30BC49E3E5}" xr6:coauthVersionLast="31" xr6:coauthVersionMax="31" xr10:uidLastSave="{00000000-0000-0000-0000-000000000000}"/>
  <bookViews>
    <workbookView xWindow="240" yWindow="105" windowWidth="14805" windowHeight="7785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AZ18" i="1" l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L21" i="1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L20" i="11"/>
  <c r="F20" i="11"/>
  <c r="E20" i="11"/>
  <c r="D20" i="11"/>
  <c r="B20" i="11"/>
  <c r="K19" i="1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L20" i="10"/>
  <c r="F20" i="10"/>
  <c r="E20" i="10"/>
  <c r="D20" i="10"/>
  <c r="B20" i="10"/>
  <c r="K19" i="10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L20" i="6"/>
  <c r="F20" i="6"/>
  <c r="E20" i="6"/>
  <c r="D20" i="6"/>
  <c r="B20" i="6"/>
  <c r="K19" i="6"/>
  <c r="B2" i="6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I65" i="5"/>
  <c r="B62" i="5"/>
  <c r="I60" i="5"/>
  <c r="F60" i="5"/>
  <c r="E60" i="5"/>
  <c r="D60" i="5"/>
  <c r="B60" i="5"/>
  <c r="I55" i="5"/>
  <c r="I50" i="5"/>
  <c r="I45" i="5"/>
  <c r="B42" i="5"/>
  <c r="I40" i="5"/>
  <c r="F40" i="5"/>
  <c r="E40" i="5"/>
  <c r="D40" i="5"/>
  <c r="B40" i="5"/>
  <c r="I30" i="5"/>
  <c r="I25" i="5"/>
  <c r="B22" i="5"/>
  <c r="F20" i="5"/>
  <c r="E20" i="5"/>
  <c r="D20" i="5"/>
  <c r="B20" i="5"/>
  <c r="K19" i="5"/>
  <c r="L20" i="5" s="1"/>
  <c r="B2" i="5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I65" i="4"/>
  <c r="B62" i="4"/>
  <c r="I60" i="4"/>
  <c r="F60" i="4"/>
  <c r="E60" i="4"/>
  <c r="D60" i="4"/>
  <c r="B60" i="4"/>
  <c r="I55" i="4"/>
  <c r="I50" i="4"/>
  <c r="I45" i="4"/>
  <c r="B42" i="4"/>
  <c r="I40" i="4"/>
  <c r="F40" i="4"/>
  <c r="E40" i="4"/>
  <c r="D40" i="4"/>
  <c r="B40" i="4"/>
  <c r="I30" i="4"/>
  <c r="I25" i="4"/>
  <c r="B22" i="4"/>
  <c r="F20" i="4"/>
  <c r="E20" i="4"/>
  <c r="D20" i="4"/>
  <c r="B20" i="4"/>
  <c r="K19" i="4"/>
  <c r="L20" i="4" s="1"/>
  <c r="B2" i="4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L20" i="3"/>
  <c r="F20" i="3"/>
  <c r="E20" i="3"/>
  <c r="D20" i="3"/>
  <c r="B20" i="3"/>
  <c r="K19" i="3"/>
  <c r="B2" i="3"/>
  <c r="A20" i="2" l="1"/>
  <c r="A26" i="2"/>
  <c r="A40" i="2" s="1"/>
  <c r="A120" i="2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5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5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5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5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0" i="1"/>
  <c r="K11" i="1"/>
  <c r="K12" i="1"/>
  <c r="K13" i="1"/>
  <c r="K14" i="1"/>
  <c r="K15" i="1"/>
  <c r="K19" i="2"/>
  <c r="L20" i="2" s="1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0" i="4" l="1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G15" i="17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I15" i="17"/>
  <c r="A466" i="10" l="1"/>
  <c r="A480" i="9"/>
  <c r="A106" i="7"/>
  <c r="A120" i="6"/>
  <c r="A40" i="9"/>
  <c r="A26" i="10"/>
  <c r="A6" i="10"/>
  <c r="A20" i="9"/>
  <c r="B4" i="14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H63" i="17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C30" i="14"/>
  <c r="F6" i="16"/>
  <c r="E16" i="15"/>
  <c r="G16" i="15"/>
  <c r="G45" i="14"/>
  <c r="E19" i="14" s="1"/>
  <c r="B6" i="14" s="1"/>
  <c r="C24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I63" i="17"/>
  <c r="C5" i="1"/>
  <c r="B14" i="14"/>
  <c r="L6" i="14"/>
  <c r="E9" i="14"/>
  <c r="I18" i="15"/>
  <c r="A19" i="15"/>
  <c r="G23" i="15" l="1"/>
  <c r="E23" i="15"/>
  <c r="G22" i="15"/>
  <c r="A20" i="15"/>
  <c r="I19" i="15"/>
  <c r="G85" i="15" l="1"/>
  <c r="E22" i="15"/>
  <c r="I20" i="15"/>
  <c r="A21" i="15"/>
  <c r="I21" i="15" l="1"/>
  <c r="A22" i="15"/>
  <c r="A23" i="15" l="1"/>
  <c r="I22" i="15"/>
  <c r="A24" i="15" l="1"/>
  <c r="I23" i="15"/>
  <c r="A25" i="15" l="1"/>
  <c r="I24" i="15"/>
  <c r="B3" i="14" s="1"/>
  <c r="A26" i="15" l="1"/>
  <c r="I25" i="15"/>
  <c r="A27" i="15" l="1"/>
  <c r="I26" i="15"/>
  <c r="A28" i="15" l="1"/>
  <c r="I27" i="15"/>
  <c r="AV22" i="1"/>
  <c r="A29" i="15" l="1"/>
  <c r="I28" i="15"/>
  <c r="A30" i="15" l="1"/>
  <c r="I29" i="15"/>
  <c r="A31" i="15" l="1"/>
  <c r="I30" i="15"/>
  <c r="A32" i="15" l="1"/>
  <c r="I31" i="15"/>
  <c r="A33" i="15" l="1"/>
  <c r="I32" i="15"/>
  <c r="A34" i="15" l="1"/>
  <c r="I33" i="15"/>
  <c r="A35" i="15" l="1"/>
  <c r="I34" i="15"/>
  <c r="A36" i="15" l="1"/>
  <c r="I35" i="15"/>
  <c r="A37" i="15" l="1"/>
  <c r="I36" i="15"/>
  <c r="A38" i="15" l="1"/>
  <c r="I37" i="15"/>
  <c r="A39" i="15" l="1"/>
  <c r="I38" i="15"/>
  <c r="A40" i="15" l="1"/>
  <c r="I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A41" i="15" l="1"/>
  <c r="I40" i="15"/>
  <c r="AW21" i="1"/>
  <c r="AW40" i="1"/>
  <c r="AW26" i="1"/>
  <c r="AW34" i="1"/>
  <c r="AW43" i="1"/>
  <c r="AW22" i="1"/>
  <c r="AW50" i="1" s="1"/>
  <c r="AW23" i="1"/>
  <c r="AW46" i="1" l="1"/>
  <c r="AW47" i="1" s="1"/>
  <c r="A42" i="15"/>
  <c r="I41" i="15"/>
  <c r="A43" i="15" l="1"/>
  <c r="I42" i="15"/>
  <c r="A44" i="15" l="1"/>
  <c r="I43" i="15"/>
  <c r="A45" i="15" l="1"/>
  <c r="I44" i="15"/>
  <c r="A46" i="15" l="1"/>
  <c r="I45" i="15"/>
  <c r="A47" i="15" l="1"/>
  <c r="I46" i="15"/>
  <c r="A48" i="15" l="1"/>
  <c r="I47" i="15"/>
  <c r="A49" i="15" l="1"/>
  <c r="I48" i="15"/>
  <c r="A50" i="15" l="1"/>
  <c r="I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I50" i="15"/>
  <c r="AS24" i="1"/>
  <c r="AS22" i="1"/>
  <c r="AS50" i="1" s="1"/>
  <c r="AS31" i="1"/>
  <c r="AS34" i="1"/>
  <c r="AS23" i="1"/>
  <c r="AS21" i="1"/>
  <c r="AS46" i="1" l="1"/>
  <c r="A52" i="15"/>
  <c r="I51" i="15"/>
  <c r="A53" i="15" l="1"/>
  <c r="I52" i="15"/>
  <c r="A54" i="15" l="1"/>
  <c r="I53" i="15"/>
  <c r="A55" i="15" l="1"/>
  <c r="I54" i="15"/>
  <c r="A56" i="15" l="1"/>
  <c r="I55" i="15"/>
  <c r="A57" i="15" l="1"/>
  <c r="I56" i="15"/>
  <c r="A58" i="15" l="1"/>
  <c r="I57" i="15"/>
  <c r="A59" i="15" l="1"/>
  <c r="I58" i="15"/>
  <c r="A60" i="15" l="1"/>
  <c r="I59" i="15"/>
  <c r="A61" i="15" l="1"/>
  <c r="I60" i="15"/>
  <c r="A62" i="15" l="1"/>
  <c r="I61" i="15"/>
  <c r="I62" i="15" l="1"/>
  <c r="A63" i="15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64" i="15" l="1"/>
  <c r="I63" i="15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B426" i="3" s="1"/>
  <c r="B440" i="3" s="1"/>
  <c r="C17" i="1"/>
  <c r="B426" i="2" s="1"/>
  <c r="B440" i="2" s="1"/>
  <c r="A65" i="15" l="1"/>
  <c r="I64" i="15"/>
  <c r="AF41" i="1"/>
  <c r="AO21" i="1"/>
  <c r="AO22" i="1"/>
  <c r="AO50" i="1" s="1"/>
  <c r="AO42" i="1"/>
  <c r="AO23" i="1"/>
  <c r="AO46" i="1" l="1"/>
  <c r="A66" i="15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67" i="15" l="1"/>
  <c r="I66" i="15"/>
  <c r="AK31" i="1"/>
  <c r="AK34" i="1"/>
  <c r="AK42" i="1"/>
  <c r="AK43" i="1"/>
  <c r="AK27" i="1"/>
  <c r="AK21" i="1"/>
  <c r="I67" i="15" l="1"/>
  <c r="A68" i="15"/>
  <c r="AK46" i="1"/>
  <c r="AK47" i="1" s="1"/>
  <c r="I68" i="15" l="1"/>
  <c r="A69" i="15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70" i="15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71" i="15"/>
  <c r="AG28" i="1"/>
  <c r="AG22" i="1"/>
  <c r="AG50" i="1" s="1"/>
  <c r="AG43" i="1"/>
  <c r="AG31" i="1"/>
  <c r="AG34" i="1"/>
  <c r="AG32" i="1"/>
  <c r="AG21" i="1"/>
  <c r="I71" i="15" l="1"/>
  <c r="A72" i="15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73" i="15"/>
  <c r="AC31" i="1"/>
  <c r="AC23" i="1"/>
  <c r="AC24" i="1"/>
  <c r="AC20" i="1"/>
  <c r="AC32" i="1"/>
  <c r="AC34" i="1"/>
  <c r="A74" i="15" l="1"/>
  <c r="I73" i="15"/>
  <c r="AC46" i="1"/>
  <c r="AC47" i="1" s="1"/>
  <c r="AS47" i="1"/>
  <c r="AO47" i="1"/>
  <c r="AF46" i="1"/>
  <c r="AF47" i="1" s="1"/>
  <c r="AB46" i="1"/>
  <c r="AB47" i="1" s="1"/>
  <c r="A75" i="15" l="1"/>
  <c r="I74" i="15"/>
  <c r="AJ46" i="1"/>
  <c r="AJ47" i="1" s="1"/>
  <c r="A76" i="15" l="1"/>
  <c r="I75" i="15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A77" i="15" l="1"/>
  <c r="I76" i="15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A78" i="15" l="1"/>
  <c r="I77" i="15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A79" i="15"/>
  <c r="Y46" i="1"/>
  <c r="Y47" i="1" s="1"/>
  <c r="M46" i="1"/>
  <c r="M47" i="1" s="1"/>
  <c r="Q46" i="1"/>
  <c r="Q47" i="1" s="1"/>
  <c r="I46" i="1"/>
  <c r="I47" i="1" s="1"/>
  <c r="A80" i="15" l="1"/>
  <c r="I79" i="15"/>
  <c r="D45" i="1"/>
  <c r="BE45" i="1" s="1"/>
  <c r="BH45" i="1" s="1"/>
  <c r="E45" i="1"/>
  <c r="A81" i="15" l="1"/>
  <c r="I80" i="15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A82" i="15"/>
  <c r="I82" i="15" s="1"/>
  <c r="B5" i="14" s="1"/>
  <c r="E10" i="14" s="1"/>
  <c r="E11" i="14" s="1"/>
  <c r="B13" i="14" s="1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D24" i="15" l="1"/>
  <c r="M6" i="14"/>
  <c r="B15" i="14"/>
  <c r="K6" i="14" s="1"/>
  <c r="L7" i="14" s="1"/>
  <c r="M7" i="14" s="1"/>
  <c r="E17" i="14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BJ43" i="1" s="1"/>
  <c r="AX44" i="1" l="1"/>
  <c r="BJ44" i="1"/>
  <c r="AX33" i="1"/>
  <c r="BJ33" i="1"/>
  <c r="AX37" i="1"/>
  <c r="BJ37" i="1"/>
  <c r="AX42" i="1"/>
  <c r="BJ42" i="1"/>
  <c r="AX31" i="1"/>
  <c r="BJ31" i="1"/>
  <c r="AX28" i="1"/>
  <c r="BJ28" i="1"/>
  <c r="AX25" i="1"/>
  <c r="BJ25" i="1"/>
  <c r="AX29" i="1"/>
  <c r="BJ29" i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K7" i="14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E24" i="15"/>
  <c r="E83" i="15" s="1"/>
  <c r="D83" i="15"/>
  <c r="AX43" i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23" i="1" l="1"/>
  <c r="BJ23" i="1"/>
  <c r="AX38" i="1"/>
  <c r="BJ38" i="1"/>
  <c r="AX32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L8" i="14"/>
  <c r="K8" i="14"/>
  <c r="AL24" i="1"/>
  <c r="B46" i="1"/>
  <c r="C47" i="1" s="1"/>
  <c r="AX21" i="1" l="1"/>
  <c r="BJ21" i="1"/>
  <c r="AX22" i="1"/>
  <c r="BJ22" i="1"/>
  <c r="L9" i="14"/>
  <c r="M9" i="14" s="1"/>
  <c r="K9" i="14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L10" i="14" l="1"/>
  <c r="K10" i="14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AX26" i="1" l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B22" i="14"/>
  <c r="C22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C34" i="14"/>
  <c r="C35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T46" i="1"/>
  <c r="AU47" i="1" s="1"/>
  <c r="AX41" i="1"/>
  <c r="AX46" i="1" s="1"/>
  <c r="BJ41" i="1" l="1"/>
  <c r="BJ46" i="1" s="1"/>
  <c r="AV46" i="1"/>
  <c r="AV47" i="1" s="1"/>
  <c r="BE41" i="1"/>
  <c r="BH41" i="1" l="1"/>
  <c r="BH46" i="1" s="1"/>
  <c r="BE46" i="1"/>
  <c r="BF45" i="1" l="1"/>
  <c r="BG45" i="1" s="1"/>
  <c r="BF26" i="1"/>
  <c r="BG26" i="1" s="1"/>
  <c r="BF43" i="1"/>
  <c r="BG43" i="1" s="1"/>
  <c r="BF23" i="1"/>
  <c r="BG23" i="1" s="1"/>
  <c r="BF40" i="1"/>
  <c r="BG40" i="1" s="1"/>
  <c r="BF20" i="1"/>
  <c r="BG20" i="1" s="1"/>
  <c r="BF22" i="1"/>
  <c r="BG22" i="1" s="1"/>
  <c r="BF32" i="1"/>
  <c r="BG32" i="1" s="1"/>
  <c r="BF25" i="1"/>
  <c r="BG25" i="1" s="1"/>
  <c r="BF29" i="1"/>
  <c r="BG29" i="1" s="1"/>
  <c r="BF24" i="1"/>
  <c r="BG24" i="1" s="1"/>
  <c r="BF39" i="1"/>
  <c r="BG39" i="1" s="1"/>
  <c r="BF42" i="1"/>
  <c r="BG42" i="1" s="1"/>
  <c r="BF31" i="1"/>
  <c r="BG31" i="1" s="1"/>
  <c r="BF33" i="1"/>
  <c r="BG33" i="1" s="1"/>
  <c r="BF35" i="1"/>
  <c r="BG35" i="1" s="1"/>
  <c r="BF28" i="1"/>
  <c r="BG28" i="1" s="1"/>
  <c r="BF34" i="1"/>
  <c r="BG34" i="1" s="1"/>
  <c r="BF37" i="1"/>
  <c r="BG37" i="1" s="1"/>
  <c r="BF44" i="1"/>
  <c r="BG44" i="1" s="1"/>
  <c r="BF27" i="1"/>
  <c r="BG27" i="1" s="1"/>
  <c r="BF38" i="1"/>
  <c r="BG38" i="1" s="1"/>
  <c r="BF21" i="1"/>
  <c r="BG21" i="1" s="1"/>
  <c r="BF36" i="1"/>
  <c r="BG36" i="1" s="1"/>
  <c r="BF30" i="1"/>
  <c r="BG30" i="1" s="1"/>
  <c r="BF41" i="1"/>
  <c r="BG41" i="1" s="1"/>
</calcChain>
</file>

<file path=xl/sharedStrings.xml><?xml version="1.0" encoding="utf-8"?>
<sst xmlns="http://schemas.openxmlformats.org/spreadsheetml/2006/main" count="4771" uniqueCount="236">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</sst>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4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2" fontId="18" fillId="0" borderId="95" xfId="0" applyNumberFormat="1" applyFont="1" applyBorder="1" applyAlignment="1"/>
    <xf numFmtId="2" fontId="18" fillId="0" borderId="96" xfId="0" applyNumberFormat="1" applyFon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5"/>
  <sheetViews>
    <sheetView tabSelected="1" topLeftCell="A16" zoomScaleNormal="100" workbookViewId="0">
      <pane xSplit="1" topLeftCell="AT1" activePane="topRight" state="frozen"/>
      <selection pane="topRight" activeCell="AZ18" sqref="AZ18"/>
    </sheetView>
  </sheetViews>
  <sheetFormatPr defaultColWidth="9.140625" defaultRowHeight="15"/>
  <cols>
    <col min="1" max="1" width="20.140625" style="209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10" customWidth="1"/>
    <col min="14" max="14" width="11.285156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10" customWidth="1"/>
    <col min="21" max="21" width="9.85546875" customWidth="1"/>
    <col min="22" max="22" width="11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2" width="11.140625" customWidth="1"/>
    <col min="43" max="43" width="10.710937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1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3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3"/>
      <c r="B2" s="1"/>
      <c r="C2" s="1"/>
      <c r="D2" s="1"/>
      <c r="E2" s="1"/>
      <c r="F2" s="4"/>
      <c r="G2" s="1"/>
      <c r="H2" s="1"/>
      <c r="I2" s="3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36"/>
      <c r="W2" s="1"/>
      <c r="X2" s="1"/>
      <c r="Y2" s="1"/>
      <c r="Z2" s="38"/>
      <c r="AA2" s="1"/>
      <c r="AB2" s="1"/>
      <c r="AC2" s="37"/>
      <c r="AD2" s="36"/>
      <c r="AE2" s="1"/>
      <c r="AF2" s="1"/>
      <c r="AG2" s="1"/>
      <c r="AH2" s="36"/>
      <c r="AI2" s="1"/>
      <c r="AJ2" s="1"/>
      <c r="AK2" s="1"/>
      <c r="AL2" s="36"/>
      <c r="AM2" s="1"/>
      <c r="AN2" s="1"/>
      <c r="AO2" s="1"/>
      <c r="AP2" s="36"/>
      <c r="AQ2" s="1"/>
      <c r="AR2" s="1"/>
      <c r="AS2" s="1"/>
      <c r="AT2" s="36"/>
      <c r="AU2" s="1"/>
      <c r="AV2" s="1"/>
      <c r="AW2" s="1"/>
      <c r="AX2" s="36"/>
      <c r="AZ2" s="1"/>
      <c r="BA2" s="1"/>
      <c r="BB2" s="1"/>
      <c r="BC2" s="1"/>
    </row>
    <row r="3" spans="1:55" ht="16.5" thickBot="1">
      <c r="A3" s="20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4" t="s">
        <v>4</v>
      </c>
      <c r="B4" s="215">
        <v>2018</v>
      </c>
      <c r="C4" s="268" t="s">
        <v>0</v>
      </c>
      <c r="D4" s="269"/>
      <c r="E4" s="269"/>
      <c r="F4" s="270"/>
      <c r="G4" s="268" t="s">
        <v>1</v>
      </c>
      <c r="H4" s="269"/>
      <c r="I4" s="269"/>
      <c r="J4" s="270"/>
      <c r="K4" s="268" t="s">
        <v>2</v>
      </c>
      <c r="L4" s="269"/>
      <c r="M4" s="269"/>
      <c r="N4" s="270"/>
      <c r="O4" s="268" t="s">
        <v>3</v>
      </c>
      <c r="P4" s="269"/>
      <c r="Q4" s="269"/>
      <c r="R4" s="270"/>
      <c r="S4" s="268" t="s">
        <v>71</v>
      </c>
      <c r="T4" s="269"/>
      <c r="U4" s="269"/>
      <c r="V4" s="270"/>
      <c r="W4" s="268" t="s">
        <v>70</v>
      </c>
      <c r="X4" s="269"/>
      <c r="Y4" s="269"/>
      <c r="Z4" s="270"/>
      <c r="AA4" s="268" t="s">
        <v>72</v>
      </c>
      <c r="AB4" s="269"/>
      <c r="AC4" s="269"/>
      <c r="AD4" s="270"/>
      <c r="AE4" s="268" t="s">
        <v>73</v>
      </c>
      <c r="AF4" s="269"/>
      <c r="AG4" s="269"/>
      <c r="AH4" s="270"/>
      <c r="AI4" s="268" t="s">
        <v>75</v>
      </c>
      <c r="AJ4" s="269"/>
      <c r="AK4" s="269"/>
      <c r="AL4" s="270"/>
      <c r="AM4" s="268" t="s">
        <v>77</v>
      </c>
      <c r="AN4" s="269"/>
      <c r="AO4" s="269"/>
      <c r="AP4" s="270"/>
      <c r="AQ4" s="268" t="s">
        <v>79</v>
      </c>
      <c r="AR4" s="269"/>
      <c r="AS4" s="269"/>
      <c r="AT4" s="270"/>
      <c r="AU4" s="268" t="s">
        <v>84</v>
      </c>
      <c r="AV4" s="269"/>
      <c r="AW4" s="269"/>
      <c r="AX4" s="270"/>
      <c r="AZ4" s="1"/>
      <c r="BA4" s="1"/>
      <c r="BB4" s="1"/>
      <c r="BC4" s="1"/>
    </row>
    <row r="5" spans="1:55" ht="16.5" thickBot="1">
      <c r="A5" s="205" t="s">
        <v>5</v>
      </c>
      <c r="B5" s="27"/>
      <c r="C5" s="277">
        <f>'01'!K19</f>
        <v>15101.890000000001</v>
      </c>
      <c r="D5" s="275"/>
      <c r="E5" s="275"/>
      <c r="F5" s="276"/>
      <c r="G5" s="277">
        <f>'02'!K19</f>
        <v>15101.890000000001</v>
      </c>
      <c r="H5" s="275"/>
      <c r="I5" s="275"/>
      <c r="J5" s="276"/>
      <c r="K5" s="274">
        <f>'03'!K19</f>
        <v>15101.890000000001</v>
      </c>
      <c r="L5" s="275"/>
      <c r="M5" s="275"/>
      <c r="N5" s="276"/>
      <c r="O5" s="274">
        <f>'04'!K19</f>
        <v>15101.890000000001</v>
      </c>
      <c r="P5" s="275"/>
      <c r="Q5" s="275"/>
      <c r="R5" s="276"/>
      <c r="S5" s="274">
        <f>'05'!K19</f>
        <v>15101.890000000001</v>
      </c>
      <c r="T5" s="275"/>
      <c r="U5" s="275"/>
      <c r="V5" s="276"/>
      <c r="W5" s="274">
        <f>'06'!K19</f>
        <v>15101.890000000001</v>
      </c>
      <c r="X5" s="275"/>
      <c r="Y5" s="275"/>
      <c r="Z5" s="276"/>
      <c r="AA5" s="274">
        <f>'07'!K19</f>
        <v>15101.890000000001</v>
      </c>
      <c r="AB5" s="275"/>
      <c r="AC5" s="275"/>
      <c r="AD5" s="276"/>
      <c r="AE5" s="274">
        <f>'08'!K19</f>
        <v>15101.890000000001</v>
      </c>
      <c r="AF5" s="275"/>
      <c r="AG5" s="275"/>
      <c r="AH5" s="276"/>
      <c r="AI5" s="274">
        <f>'09'!K19</f>
        <v>15101.890000000001</v>
      </c>
      <c r="AJ5" s="275"/>
      <c r="AK5" s="275"/>
      <c r="AL5" s="276"/>
      <c r="AM5" s="274">
        <f>'10'!K19</f>
        <v>15101.890000000001</v>
      </c>
      <c r="AN5" s="275"/>
      <c r="AO5" s="275"/>
      <c r="AP5" s="276"/>
      <c r="AQ5" s="274">
        <f>'11'!K19</f>
        <v>15101.890000000001</v>
      </c>
      <c r="AR5" s="275"/>
      <c r="AS5" s="275"/>
      <c r="AT5" s="276"/>
      <c r="AU5" s="274">
        <f>'12'!K19</f>
        <v>15101.890000000001</v>
      </c>
      <c r="AV5" s="275"/>
      <c r="AW5" s="275"/>
      <c r="AX5" s="276"/>
      <c r="AZ5" s="6"/>
      <c r="BA5" s="7"/>
      <c r="BB5" s="1"/>
      <c r="BC5" s="1"/>
    </row>
    <row r="6" spans="1:55" ht="17.25" thickTop="1" thickBot="1">
      <c r="A6" s="206"/>
      <c r="B6" s="8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Z6" s="1"/>
      <c r="BA6" s="1"/>
      <c r="BB6" s="1"/>
      <c r="BC6" s="1"/>
    </row>
    <row r="7" spans="1:55" s="90" customFormat="1" ht="17.25" thickTop="1" thickBot="1">
      <c r="A7" s="23" t="s">
        <v>6</v>
      </c>
      <c r="B7" s="23" t="s">
        <v>53</v>
      </c>
      <c r="C7" s="271" t="s">
        <v>233</v>
      </c>
      <c r="D7" s="272"/>
      <c r="E7" s="272"/>
      <c r="F7" s="273"/>
      <c r="G7" s="271" t="s">
        <v>233</v>
      </c>
      <c r="H7" s="272"/>
      <c r="I7" s="272"/>
      <c r="J7" s="273"/>
      <c r="K7" s="271" t="s">
        <v>233</v>
      </c>
      <c r="L7" s="272"/>
      <c r="M7" s="272"/>
      <c r="N7" s="273"/>
      <c r="O7" s="271" t="s">
        <v>233</v>
      </c>
      <c r="P7" s="272"/>
      <c r="Q7" s="272"/>
      <c r="R7" s="273"/>
      <c r="S7" s="271" t="s">
        <v>233</v>
      </c>
      <c r="T7" s="272"/>
      <c r="U7" s="272"/>
      <c r="V7" s="273"/>
      <c r="W7" s="271" t="s">
        <v>233</v>
      </c>
      <c r="X7" s="272"/>
      <c r="Y7" s="272"/>
      <c r="Z7" s="273"/>
      <c r="AA7" s="271" t="s">
        <v>233</v>
      </c>
      <c r="AB7" s="272"/>
      <c r="AC7" s="272"/>
      <c r="AD7" s="273"/>
      <c r="AE7" s="271" t="s">
        <v>233</v>
      </c>
      <c r="AF7" s="272"/>
      <c r="AG7" s="272"/>
      <c r="AH7" s="273"/>
      <c r="AI7" s="271" t="s">
        <v>233</v>
      </c>
      <c r="AJ7" s="272"/>
      <c r="AK7" s="272"/>
      <c r="AL7" s="273"/>
      <c r="AM7" s="271" t="s">
        <v>233</v>
      </c>
      <c r="AN7" s="272"/>
      <c r="AO7" s="272"/>
      <c r="AP7" s="273"/>
      <c r="AQ7" s="271" t="s">
        <v>233</v>
      </c>
      <c r="AR7" s="272"/>
      <c r="AS7" s="272"/>
      <c r="AT7" s="273"/>
      <c r="AU7" s="271" t="s">
        <v>233</v>
      </c>
      <c r="AV7" s="272"/>
      <c r="AW7" s="272"/>
      <c r="AX7" s="273"/>
      <c r="AZ7" s="9" t="s">
        <v>235</v>
      </c>
      <c r="BA7" s="13" t="s">
        <v>191</v>
      </c>
      <c r="BB7" s="1"/>
      <c r="BC7" s="1"/>
    </row>
    <row r="8" spans="1:55" ht="15.75">
      <c r="A8" s="207" t="s">
        <v>215</v>
      </c>
      <c r="B8" s="193"/>
      <c r="C8" s="278">
        <f>SUM('01'!L25:'01'!L29)</f>
        <v>0</v>
      </c>
      <c r="D8" s="279"/>
      <c r="E8" s="279"/>
      <c r="F8" s="280"/>
      <c r="G8" s="278">
        <f>SUM('02'!L25:'02'!L29)</f>
        <v>0</v>
      </c>
      <c r="H8" s="279"/>
      <c r="I8" s="279"/>
      <c r="J8" s="280"/>
      <c r="K8" s="278">
        <f>SUM('03'!L25:'03'!L29)</f>
        <v>0</v>
      </c>
      <c r="L8" s="279"/>
      <c r="M8" s="279"/>
      <c r="N8" s="280"/>
      <c r="O8" s="278">
        <f>SUM('04'!L25:'04'!L29)</f>
        <v>0</v>
      </c>
      <c r="P8" s="279"/>
      <c r="Q8" s="279"/>
      <c r="R8" s="280"/>
      <c r="S8" s="278">
        <f>SUM('05'!L25:'05'!L29)</f>
        <v>0</v>
      </c>
      <c r="T8" s="279"/>
      <c r="U8" s="279"/>
      <c r="V8" s="280"/>
      <c r="W8" s="278">
        <f>SUM('06'!L25:'06'!L29)</f>
        <v>0</v>
      </c>
      <c r="X8" s="279"/>
      <c r="Y8" s="279"/>
      <c r="Z8" s="280"/>
      <c r="AA8" s="278">
        <f>SUM('07'!L25:'07'!L29)</f>
        <v>0</v>
      </c>
      <c r="AB8" s="279"/>
      <c r="AC8" s="279"/>
      <c r="AD8" s="280"/>
      <c r="AE8" s="278">
        <f>SUM('08'!L25:'08'!L29)</f>
        <v>0</v>
      </c>
      <c r="AF8" s="279"/>
      <c r="AG8" s="279"/>
      <c r="AH8" s="280"/>
      <c r="AI8" s="278">
        <f>SUM('09'!L25:'09'!L29)</f>
        <v>0</v>
      </c>
      <c r="AJ8" s="279"/>
      <c r="AK8" s="279"/>
      <c r="AL8" s="280"/>
      <c r="AM8" s="278">
        <f>SUM('10'!L25:'10'!L29)</f>
        <v>0</v>
      </c>
      <c r="AN8" s="279"/>
      <c r="AO8" s="279"/>
      <c r="AP8" s="280"/>
      <c r="AQ8" s="278">
        <f>SUM('11'!L25:'11'!L29)</f>
        <v>0</v>
      </c>
      <c r="AR8" s="279"/>
      <c r="AS8" s="279"/>
      <c r="AT8" s="280"/>
      <c r="AU8" s="278">
        <f>SUM('12'!L25:'12'!L29)</f>
        <v>0</v>
      </c>
      <c r="AV8" s="279"/>
      <c r="AW8" s="279"/>
      <c r="AX8" s="280"/>
      <c r="AZ8" s="210">
        <f>SUM(C8:AU8)</f>
        <v>0</v>
      </c>
      <c r="BA8" s="113">
        <f t="shared" ref="BA8:BA16" ca="1" si="0">AZ8/BC$17</f>
        <v>0</v>
      </c>
      <c r="BB8" s="1"/>
      <c r="BC8" s="1"/>
    </row>
    <row r="9" spans="1:55" ht="15.75">
      <c r="A9" s="190" t="s">
        <v>216</v>
      </c>
      <c r="B9" s="194"/>
      <c r="C9" s="265">
        <f>SUM('01'!L30:'01'!L34)</f>
        <v>0</v>
      </c>
      <c r="D9" s="266"/>
      <c r="E9" s="266"/>
      <c r="F9" s="267"/>
      <c r="G9" s="265">
        <f>SUM('02'!L30:'02'!L34)</f>
        <v>0</v>
      </c>
      <c r="H9" s="266"/>
      <c r="I9" s="266"/>
      <c r="J9" s="267"/>
      <c r="K9" s="265">
        <f>SUM('03'!L30:'03'!L34)</f>
        <v>0</v>
      </c>
      <c r="L9" s="266"/>
      <c r="M9" s="266"/>
      <c r="N9" s="267"/>
      <c r="O9" s="265">
        <f>SUM('04'!L30:'04'!L34)</f>
        <v>0</v>
      </c>
      <c r="P9" s="266"/>
      <c r="Q9" s="266"/>
      <c r="R9" s="267"/>
      <c r="S9" s="265">
        <f>SUM('05'!L30:'05'!L34)</f>
        <v>0</v>
      </c>
      <c r="T9" s="266"/>
      <c r="U9" s="266"/>
      <c r="V9" s="267"/>
      <c r="W9" s="265">
        <f>SUM('06'!L30:'06'!L34)</f>
        <v>0</v>
      </c>
      <c r="X9" s="266"/>
      <c r="Y9" s="266"/>
      <c r="Z9" s="267"/>
      <c r="AA9" s="265">
        <f>SUM('07'!L30:'07'!L34)</f>
        <v>0</v>
      </c>
      <c r="AB9" s="266"/>
      <c r="AC9" s="266"/>
      <c r="AD9" s="267"/>
      <c r="AE9" s="265">
        <f>SUM('08'!L30:'08'!L34)</f>
        <v>0</v>
      </c>
      <c r="AF9" s="266"/>
      <c r="AG9" s="266"/>
      <c r="AH9" s="267"/>
      <c r="AI9" s="265">
        <f>SUM('09'!L30:'09'!L34)</f>
        <v>0</v>
      </c>
      <c r="AJ9" s="266"/>
      <c r="AK9" s="266"/>
      <c r="AL9" s="267"/>
      <c r="AM9" s="265">
        <f>SUM('10'!L30:'10'!L34)</f>
        <v>0</v>
      </c>
      <c r="AN9" s="266"/>
      <c r="AO9" s="266"/>
      <c r="AP9" s="267"/>
      <c r="AQ9" s="265">
        <f>SUM('11'!L30:'11'!L34)</f>
        <v>0</v>
      </c>
      <c r="AR9" s="266"/>
      <c r="AS9" s="266"/>
      <c r="AT9" s="267"/>
      <c r="AU9" s="265">
        <f>SUM('12'!L30:'12'!L34)</f>
        <v>0</v>
      </c>
      <c r="AV9" s="266"/>
      <c r="AW9" s="266"/>
      <c r="AX9" s="267"/>
      <c r="AZ9" s="211">
        <f t="shared" ref="AZ9:AZ16" si="1">SUM(C9:AW9)</f>
        <v>0</v>
      </c>
      <c r="BA9" s="113">
        <f t="shared" ca="1" si="0"/>
        <v>0</v>
      </c>
      <c r="BB9" s="1"/>
      <c r="BC9" s="1"/>
    </row>
    <row r="10" spans="1:55" ht="15.75">
      <c r="A10" s="191" t="s">
        <v>221</v>
      </c>
      <c r="B10" s="195"/>
      <c r="C10" s="265">
        <f>SUM('01'!L35:'01'!L39)</f>
        <v>0</v>
      </c>
      <c r="D10" s="266"/>
      <c r="E10" s="266"/>
      <c r="F10" s="267"/>
      <c r="G10" s="265">
        <f>SUM('02'!L35:'02'!L39)</f>
        <v>0</v>
      </c>
      <c r="H10" s="266"/>
      <c r="I10" s="266"/>
      <c r="J10" s="267"/>
      <c r="K10" s="265">
        <f>SUM('03'!L35:'03'!L39)</f>
        <v>0</v>
      </c>
      <c r="L10" s="266"/>
      <c r="M10" s="266"/>
      <c r="N10" s="267"/>
      <c r="O10" s="265">
        <f>SUM('04'!L35:'04'!L39)</f>
        <v>0</v>
      </c>
      <c r="P10" s="266"/>
      <c r="Q10" s="266"/>
      <c r="R10" s="267"/>
      <c r="S10" s="265">
        <f>SUM('05'!L35:'05'!L39)</f>
        <v>0</v>
      </c>
      <c r="T10" s="266"/>
      <c r="U10" s="266"/>
      <c r="V10" s="267"/>
      <c r="W10" s="281">
        <f>SUM('06'!L35:'06'!L39)</f>
        <v>0</v>
      </c>
      <c r="X10" s="282"/>
      <c r="Y10" s="282"/>
      <c r="Z10" s="283"/>
      <c r="AA10" s="281">
        <f>SUM('07'!L35:'07'!L39)</f>
        <v>0</v>
      </c>
      <c r="AB10" s="282"/>
      <c r="AC10" s="282"/>
      <c r="AD10" s="283"/>
      <c r="AE10" s="281">
        <f>SUM('08'!L35:'08'!L39)</f>
        <v>0</v>
      </c>
      <c r="AF10" s="282"/>
      <c r="AG10" s="282"/>
      <c r="AH10" s="283"/>
      <c r="AI10" s="281">
        <f>SUM('09'!L35:'09'!L39)</f>
        <v>0</v>
      </c>
      <c r="AJ10" s="282"/>
      <c r="AK10" s="282"/>
      <c r="AL10" s="283"/>
      <c r="AM10" s="281">
        <f>SUM('10'!L35:'10'!L39)</f>
        <v>0</v>
      </c>
      <c r="AN10" s="282"/>
      <c r="AO10" s="282"/>
      <c r="AP10" s="283"/>
      <c r="AQ10" s="281">
        <f>SUM('11'!L35:'11'!L39)</f>
        <v>0</v>
      </c>
      <c r="AR10" s="282"/>
      <c r="AS10" s="282"/>
      <c r="AT10" s="283"/>
      <c r="AU10" s="281">
        <f>SUM('12'!L35:'12'!L39)</f>
        <v>0</v>
      </c>
      <c r="AV10" s="282"/>
      <c r="AW10" s="282"/>
      <c r="AX10" s="283"/>
      <c r="AZ10" s="212">
        <f t="shared" si="1"/>
        <v>0</v>
      </c>
      <c r="BA10" s="113">
        <f t="shared" ca="1" si="0"/>
        <v>0</v>
      </c>
      <c r="BB10" s="1"/>
      <c r="BC10" s="1"/>
    </row>
    <row r="11" spans="1:55" ht="15.75">
      <c r="A11" s="190" t="s">
        <v>217</v>
      </c>
      <c r="B11" s="194"/>
      <c r="C11" s="265">
        <f>SUM('01'!L40:'01'!L44)</f>
        <v>0</v>
      </c>
      <c r="D11" s="266"/>
      <c r="E11" s="266"/>
      <c r="F11" s="267"/>
      <c r="G11" s="265">
        <f>SUM('02'!L40:'02'!L44)</f>
        <v>0</v>
      </c>
      <c r="H11" s="266"/>
      <c r="I11" s="266"/>
      <c r="J11" s="267"/>
      <c r="K11" s="265">
        <f>SUM('03'!L40:'03'!L44)</f>
        <v>0</v>
      </c>
      <c r="L11" s="266"/>
      <c r="M11" s="266"/>
      <c r="N11" s="267"/>
      <c r="O11" s="265">
        <f>SUM('04'!L40:'04'!L44)</f>
        <v>0</v>
      </c>
      <c r="P11" s="266"/>
      <c r="Q11" s="266"/>
      <c r="R11" s="267"/>
      <c r="S11" s="265">
        <f>SUM('05'!L40:'05'!L44)</f>
        <v>0</v>
      </c>
      <c r="T11" s="266"/>
      <c r="U11" s="266"/>
      <c r="V11" s="267"/>
      <c r="W11" s="265">
        <f>SUM('06'!L40:'06'!L44)</f>
        <v>0</v>
      </c>
      <c r="X11" s="266"/>
      <c r="Y11" s="266"/>
      <c r="Z11" s="267"/>
      <c r="AA11" s="265">
        <f>SUM('07'!L40:'07'!L44)</f>
        <v>0</v>
      </c>
      <c r="AB11" s="266"/>
      <c r="AC11" s="266"/>
      <c r="AD11" s="267"/>
      <c r="AE11" s="265">
        <f>SUM('08'!L40:'08'!L44)</f>
        <v>0</v>
      </c>
      <c r="AF11" s="266"/>
      <c r="AG11" s="266"/>
      <c r="AH11" s="267"/>
      <c r="AI11" s="265">
        <f>SUM('09'!L40:'09'!L44)</f>
        <v>0</v>
      </c>
      <c r="AJ11" s="266"/>
      <c r="AK11" s="266"/>
      <c r="AL11" s="267"/>
      <c r="AM11" s="265">
        <f>SUM('10'!L40:'10'!L44)</f>
        <v>0</v>
      </c>
      <c r="AN11" s="266"/>
      <c r="AO11" s="266"/>
      <c r="AP11" s="267"/>
      <c r="AQ11" s="265">
        <f>SUM('11'!L40:'11'!L44)</f>
        <v>0</v>
      </c>
      <c r="AR11" s="266"/>
      <c r="AS11" s="266"/>
      <c r="AT11" s="267"/>
      <c r="AU11" s="265">
        <f>SUM('12'!L40:'12'!L44)</f>
        <v>0</v>
      </c>
      <c r="AV11" s="266"/>
      <c r="AW11" s="266"/>
      <c r="AX11" s="267"/>
      <c r="AZ11" s="211">
        <f t="shared" si="1"/>
        <v>0</v>
      </c>
      <c r="BA11" s="113">
        <f t="shared" ca="1" si="0"/>
        <v>0</v>
      </c>
      <c r="BB11" s="1"/>
      <c r="BC11" s="1"/>
    </row>
    <row r="12" spans="1:55" ht="15.75">
      <c r="A12" s="191" t="s">
        <v>23</v>
      </c>
      <c r="B12" s="195"/>
      <c r="C12" s="265">
        <f>SUM('01'!L45:'01'!L49)</f>
        <v>0</v>
      </c>
      <c r="D12" s="266"/>
      <c r="E12" s="266"/>
      <c r="F12" s="267"/>
      <c r="G12" s="265">
        <f>SUM('02'!L45:'02'!L49)</f>
        <v>0</v>
      </c>
      <c r="H12" s="266"/>
      <c r="I12" s="266"/>
      <c r="J12" s="267"/>
      <c r="K12" s="265">
        <f>SUM('03'!L45:'03'!L49)</f>
        <v>0</v>
      </c>
      <c r="L12" s="266"/>
      <c r="M12" s="266"/>
      <c r="N12" s="267"/>
      <c r="O12" s="265">
        <f>SUM('04'!L45:'04'!L49)</f>
        <v>0</v>
      </c>
      <c r="P12" s="266"/>
      <c r="Q12" s="266"/>
      <c r="R12" s="267"/>
      <c r="S12" s="265">
        <f>SUM('05'!L45:'05'!L49)</f>
        <v>0</v>
      </c>
      <c r="T12" s="266"/>
      <c r="U12" s="266"/>
      <c r="V12" s="267"/>
      <c r="W12" s="281">
        <f>SUM('06'!L45:'06'!L49)</f>
        <v>0</v>
      </c>
      <c r="X12" s="282"/>
      <c r="Y12" s="282"/>
      <c r="Z12" s="283"/>
      <c r="AA12" s="281">
        <f>SUM('07'!L45:'07'!L49)</f>
        <v>0</v>
      </c>
      <c r="AB12" s="282"/>
      <c r="AC12" s="282"/>
      <c r="AD12" s="283"/>
      <c r="AE12" s="281">
        <f>SUM('08'!L45:'08'!L49)</f>
        <v>0</v>
      </c>
      <c r="AF12" s="282"/>
      <c r="AG12" s="282"/>
      <c r="AH12" s="283"/>
      <c r="AI12" s="281">
        <f>SUM('09'!L45:'09'!L49)</f>
        <v>0</v>
      </c>
      <c r="AJ12" s="282"/>
      <c r="AK12" s="282"/>
      <c r="AL12" s="283"/>
      <c r="AM12" s="281">
        <f>SUM('10'!L45:'10'!L49)</f>
        <v>0</v>
      </c>
      <c r="AN12" s="282"/>
      <c r="AO12" s="282"/>
      <c r="AP12" s="283"/>
      <c r="AQ12" s="281">
        <f>SUM('11'!L45:'11'!L49)</f>
        <v>0</v>
      </c>
      <c r="AR12" s="282"/>
      <c r="AS12" s="282"/>
      <c r="AT12" s="283"/>
      <c r="AU12" s="281">
        <f>SUM('12'!L45:'12'!L49)</f>
        <v>0</v>
      </c>
      <c r="AV12" s="282"/>
      <c r="AW12" s="282"/>
      <c r="AX12" s="283"/>
      <c r="AZ12" s="212">
        <f t="shared" si="1"/>
        <v>0</v>
      </c>
      <c r="BA12" s="113">
        <f t="shared" ca="1" si="0"/>
        <v>0</v>
      </c>
      <c r="BB12" s="1"/>
      <c r="BC12" s="1"/>
    </row>
    <row r="13" spans="1:55" ht="15.75">
      <c r="A13" s="190" t="s">
        <v>218</v>
      </c>
      <c r="B13" s="196"/>
      <c r="C13" s="265">
        <f>SUM('01'!L50:'01'!L54)</f>
        <v>0</v>
      </c>
      <c r="D13" s="266"/>
      <c r="E13" s="266"/>
      <c r="F13" s="267"/>
      <c r="G13" s="265">
        <f>SUM('02'!L50:'02'!L54)</f>
        <v>0</v>
      </c>
      <c r="H13" s="266"/>
      <c r="I13" s="266"/>
      <c r="J13" s="267"/>
      <c r="K13" s="265">
        <f>SUM('03'!L50:'03'!L54)</f>
        <v>0</v>
      </c>
      <c r="L13" s="266"/>
      <c r="M13" s="266"/>
      <c r="N13" s="267"/>
      <c r="O13" s="265">
        <f>SUM('04'!L50:'04'!L54)</f>
        <v>0</v>
      </c>
      <c r="P13" s="266"/>
      <c r="Q13" s="266"/>
      <c r="R13" s="267"/>
      <c r="S13" s="265">
        <f>SUM('05'!L50:'05'!L54)</f>
        <v>0</v>
      </c>
      <c r="T13" s="266"/>
      <c r="U13" s="266"/>
      <c r="V13" s="267"/>
      <c r="W13" s="265">
        <f>SUM('06'!L50:'06'!L54)</f>
        <v>0</v>
      </c>
      <c r="X13" s="266"/>
      <c r="Y13" s="266"/>
      <c r="Z13" s="267"/>
      <c r="AA13" s="265">
        <f>SUM('07'!L50:'07'!L54)</f>
        <v>0</v>
      </c>
      <c r="AB13" s="266"/>
      <c r="AC13" s="266"/>
      <c r="AD13" s="267"/>
      <c r="AE13" s="265">
        <f>SUM('08'!L50:'08'!L54)</f>
        <v>0</v>
      </c>
      <c r="AF13" s="266"/>
      <c r="AG13" s="266"/>
      <c r="AH13" s="267"/>
      <c r="AI13" s="265">
        <f>SUM('09'!L50:'09'!L54)</f>
        <v>0</v>
      </c>
      <c r="AJ13" s="266"/>
      <c r="AK13" s="266"/>
      <c r="AL13" s="267"/>
      <c r="AM13" s="265">
        <f>SUM('10'!L50:'10'!L54)</f>
        <v>0</v>
      </c>
      <c r="AN13" s="266"/>
      <c r="AO13" s="266"/>
      <c r="AP13" s="267"/>
      <c r="AQ13" s="265">
        <f>SUM('11'!L50:'11'!L54)</f>
        <v>0</v>
      </c>
      <c r="AR13" s="266"/>
      <c r="AS13" s="266"/>
      <c r="AT13" s="267"/>
      <c r="AU13" s="265">
        <f>SUM('12'!L50:'12'!L54)</f>
        <v>0</v>
      </c>
      <c r="AV13" s="266"/>
      <c r="AW13" s="266"/>
      <c r="AX13" s="267"/>
      <c r="AZ13" s="213">
        <f t="shared" si="1"/>
        <v>0</v>
      </c>
      <c r="BA13" s="113">
        <f t="shared" ca="1" si="0"/>
        <v>0</v>
      </c>
      <c r="BB13" s="1"/>
      <c r="BC13" s="1"/>
    </row>
    <row r="14" spans="1:55" ht="15.75">
      <c r="A14" s="191" t="s">
        <v>219</v>
      </c>
      <c r="B14" s="195"/>
      <c r="C14" s="265">
        <f>SUM('01'!L55:'01'!L59)</f>
        <v>0</v>
      </c>
      <c r="D14" s="266"/>
      <c r="E14" s="266"/>
      <c r="F14" s="267"/>
      <c r="G14" s="265">
        <f>SUM('02'!L55:'02'!L59)</f>
        <v>0</v>
      </c>
      <c r="H14" s="266"/>
      <c r="I14" s="266"/>
      <c r="J14" s="267"/>
      <c r="K14" s="265">
        <f>SUM('03'!L55:'03'!L59)</f>
        <v>0</v>
      </c>
      <c r="L14" s="266"/>
      <c r="M14" s="266"/>
      <c r="N14" s="267"/>
      <c r="O14" s="265">
        <f>SUM('04'!L55:'04'!L59)</f>
        <v>0</v>
      </c>
      <c r="P14" s="266"/>
      <c r="Q14" s="266"/>
      <c r="R14" s="267"/>
      <c r="S14" s="265">
        <f>SUM('05'!L55:'05'!L59)</f>
        <v>0</v>
      </c>
      <c r="T14" s="266"/>
      <c r="U14" s="266"/>
      <c r="V14" s="267"/>
      <c r="W14" s="281">
        <f>SUM('06'!L55:'06'!L59)</f>
        <v>0</v>
      </c>
      <c r="X14" s="282"/>
      <c r="Y14" s="282"/>
      <c r="Z14" s="283"/>
      <c r="AA14" s="281">
        <f>SUM('07'!L55:'07'!L59)</f>
        <v>0</v>
      </c>
      <c r="AB14" s="282"/>
      <c r="AC14" s="282"/>
      <c r="AD14" s="283"/>
      <c r="AE14" s="281">
        <f>SUM('08'!L55:'08'!L59)</f>
        <v>0</v>
      </c>
      <c r="AF14" s="282"/>
      <c r="AG14" s="282"/>
      <c r="AH14" s="283"/>
      <c r="AI14" s="281">
        <f>SUM('09'!L55:'09'!L59)</f>
        <v>0</v>
      </c>
      <c r="AJ14" s="282"/>
      <c r="AK14" s="282"/>
      <c r="AL14" s="283"/>
      <c r="AM14" s="281">
        <f>SUM('10'!L55:'10'!L59)</f>
        <v>0</v>
      </c>
      <c r="AN14" s="282"/>
      <c r="AO14" s="282"/>
      <c r="AP14" s="283"/>
      <c r="AQ14" s="281">
        <f>SUM('11'!L55:'11'!L59)</f>
        <v>0</v>
      </c>
      <c r="AR14" s="282"/>
      <c r="AS14" s="282"/>
      <c r="AT14" s="283"/>
      <c r="AU14" s="281">
        <f>SUM('12'!L55:'12'!L59)</f>
        <v>0</v>
      </c>
      <c r="AV14" s="282"/>
      <c r="AW14" s="282"/>
      <c r="AX14" s="283"/>
      <c r="AZ14" s="212">
        <f t="shared" si="1"/>
        <v>0</v>
      </c>
      <c r="BA14" s="113">
        <f t="shared" ca="1" si="0"/>
        <v>0</v>
      </c>
      <c r="BB14" s="3"/>
      <c r="BC14" s="3"/>
    </row>
    <row r="15" spans="1:55" ht="15.75">
      <c r="A15" s="190" t="s">
        <v>220</v>
      </c>
      <c r="B15" s="194"/>
      <c r="C15" s="265">
        <f>SUM('01'!L60:'01'!L64)</f>
        <v>0</v>
      </c>
      <c r="D15" s="266"/>
      <c r="E15" s="266"/>
      <c r="F15" s="267"/>
      <c r="G15" s="265">
        <f>SUM('02'!L60:'02'!L64)</f>
        <v>0</v>
      </c>
      <c r="H15" s="266"/>
      <c r="I15" s="266"/>
      <c r="J15" s="267"/>
      <c r="K15" s="265">
        <f>SUM('03'!L60:'03'!L64)</f>
        <v>0</v>
      </c>
      <c r="L15" s="266"/>
      <c r="M15" s="266"/>
      <c r="N15" s="267"/>
      <c r="O15" s="265">
        <f>SUM('04'!L60:'04'!L64)</f>
        <v>0</v>
      </c>
      <c r="P15" s="266"/>
      <c r="Q15" s="266"/>
      <c r="R15" s="267"/>
      <c r="S15" s="265">
        <f>SUM('05'!L60:'05'!L64)</f>
        <v>0</v>
      </c>
      <c r="T15" s="266"/>
      <c r="U15" s="266"/>
      <c r="V15" s="267"/>
      <c r="W15" s="265">
        <f>SUM('06'!L60:'06'!L64)</f>
        <v>0</v>
      </c>
      <c r="X15" s="266"/>
      <c r="Y15" s="266"/>
      <c r="Z15" s="267"/>
      <c r="AA15" s="265">
        <f>SUM('07'!L60:'07'!L64)</f>
        <v>0</v>
      </c>
      <c r="AB15" s="266"/>
      <c r="AC15" s="266"/>
      <c r="AD15" s="267"/>
      <c r="AE15" s="265">
        <f>SUM('08'!L60:'08'!L64)</f>
        <v>0</v>
      </c>
      <c r="AF15" s="266"/>
      <c r="AG15" s="266"/>
      <c r="AH15" s="267"/>
      <c r="AI15" s="265">
        <f>SUM('09'!L60:'09'!L64)</f>
        <v>0</v>
      </c>
      <c r="AJ15" s="266"/>
      <c r="AK15" s="266"/>
      <c r="AL15" s="267"/>
      <c r="AM15" s="265">
        <f>SUM('10'!L60:'10'!L64)</f>
        <v>0</v>
      </c>
      <c r="AN15" s="266"/>
      <c r="AO15" s="266"/>
      <c r="AP15" s="267"/>
      <c r="AQ15" s="265">
        <f>SUM('11'!L60:'11'!L64)</f>
        <v>0</v>
      </c>
      <c r="AR15" s="266"/>
      <c r="AS15" s="266"/>
      <c r="AT15" s="267"/>
      <c r="AU15" s="265">
        <f>SUM('12'!L60:'12'!L64)</f>
        <v>0</v>
      </c>
      <c r="AV15" s="266"/>
      <c r="AW15" s="266"/>
      <c r="AX15" s="267"/>
      <c r="AZ15" s="211">
        <f t="shared" si="1"/>
        <v>0</v>
      </c>
      <c r="BA15" s="113">
        <f t="shared" ca="1" si="0"/>
        <v>0</v>
      </c>
      <c r="BB15" s="1"/>
      <c r="BC15" s="1"/>
    </row>
    <row r="16" spans="1:55" ht="16.5" thickBot="1">
      <c r="A16" s="192" t="s">
        <v>42</v>
      </c>
      <c r="B16" s="197"/>
      <c r="C16" s="265">
        <f>SUM('01'!L65:'01'!L69)</f>
        <v>0</v>
      </c>
      <c r="D16" s="266"/>
      <c r="E16" s="266"/>
      <c r="F16" s="267"/>
      <c r="G16" s="265">
        <f>SUM('02'!L65:'02'!L69)</f>
        <v>0</v>
      </c>
      <c r="H16" s="266"/>
      <c r="I16" s="266"/>
      <c r="J16" s="267"/>
      <c r="K16" s="265">
        <f>SUM('03'!L65:'03'!L69)</f>
        <v>0</v>
      </c>
      <c r="L16" s="266"/>
      <c r="M16" s="266"/>
      <c r="N16" s="267"/>
      <c r="O16" s="265">
        <f>SUM('04'!L65:'04'!L69)</f>
        <v>0</v>
      </c>
      <c r="P16" s="266"/>
      <c r="Q16" s="266"/>
      <c r="R16" s="267"/>
      <c r="S16" s="265">
        <f>SUM('05'!L65:'05'!L69)</f>
        <v>0</v>
      </c>
      <c r="T16" s="266"/>
      <c r="U16" s="266"/>
      <c r="V16" s="267"/>
      <c r="W16" s="284">
        <f>SUM('06'!L65:'06'!L69)</f>
        <v>0</v>
      </c>
      <c r="X16" s="285"/>
      <c r="Y16" s="285"/>
      <c r="Z16" s="286"/>
      <c r="AA16" s="284">
        <f>SUM('07'!L65:'07'!L69)</f>
        <v>0</v>
      </c>
      <c r="AB16" s="285"/>
      <c r="AC16" s="285"/>
      <c r="AD16" s="286"/>
      <c r="AE16" s="284">
        <f>SUM('08'!L65:'08'!L69)</f>
        <v>0</v>
      </c>
      <c r="AF16" s="285"/>
      <c r="AG16" s="285"/>
      <c r="AH16" s="286"/>
      <c r="AI16" s="284">
        <f>SUM('09'!L65:'09'!L69)</f>
        <v>0</v>
      </c>
      <c r="AJ16" s="285"/>
      <c r="AK16" s="285"/>
      <c r="AL16" s="286"/>
      <c r="AM16" s="284">
        <f>SUM('10'!L65:'10'!L69)</f>
        <v>0</v>
      </c>
      <c r="AN16" s="285"/>
      <c r="AO16" s="285"/>
      <c r="AP16" s="286"/>
      <c r="AQ16" s="284">
        <f>SUM('11'!L65:'11'!L69)</f>
        <v>0</v>
      </c>
      <c r="AR16" s="285"/>
      <c r="AS16" s="285"/>
      <c r="AT16" s="286"/>
      <c r="AU16" s="284">
        <f>SUM('12'!L65:'12'!L69)</f>
        <v>0</v>
      </c>
      <c r="AV16" s="285"/>
      <c r="AW16" s="285"/>
      <c r="AX16" s="286"/>
      <c r="AZ16" s="214">
        <f t="shared" si="1"/>
        <v>0</v>
      </c>
      <c r="BA16" s="113">
        <f t="shared" ca="1" si="0"/>
        <v>0</v>
      </c>
      <c r="BB16" s="3"/>
      <c r="BC16" s="3"/>
    </row>
    <row r="17" spans="1:62" ht="16.5" thickBot="1">
      <c r="A17" s="216" t="s">
        <v>5</v>
      </c>
      <c r="B17" s="222">
        <f>SUM(B8:B16)</f>
        <v>0</v>
      </c>
      <c r="C17" s="261">
        <f>SUM(C8:C16)</f>
        <v>0</v>
      </c>
      <c r="D17" s="262"/>
      <c r="E17" s="262"/>
      <c r="F17" s="263"/>
      <c r="G17" s="261">
        <f>SUM(G8:G16)</f>
        <v>0</v>
      </c>
      <c r="H17" s="262"/>
      <c r="I17" s="262"/>
      <c r="J17" s="263"/>
      <c r="K17" s="261">
        <f>SUM(K8:K16)</f>
        <v>0</v>
      </c>
      <c r="L17" s="262"/>
      <c r="M17" s="262"/>
      <c r="N17" s="263"/>
      <c r="O17" s="261">
        <f>SUM(O8:O16)</f>
        <v>0</v>
      </c>
      <c r="P17" s="262"/>
      <c r="Q17" s="262"/>
      <c r="R17" s="263"/>
      <c r="S17" s="261">
        <f>SUM(S8:S16)</f>
        <v>0</v>
      </c>
      <c r="T17" s="262"/>
      <c r="U17" s="262"/>
      <c r="V17" s="263"/>
      <c r="W17" s="261">
        <f>SUM(W8:W16)</f>
        <v>0</v>
      </c>
      <c r="X17" s="262"/>
      <c r="Y17" s="262"/>
      <c r="Z17" s="263"/>
      <c r="AA17" s="261">
        <f>SUM(AA8:AA16)</f>
        <v>0</v>
      </c>
      <c r="AB17" s="262"/>
      <c r="AC17" s="262"/>
      <c r="AD17" s="263"/>
      <c r="AE17" s="261">
        <f>SUM(AE8:AE16)</f>
        <v>0</v>
      </c>
      <c r="AF17" s="262"/>
      <c r="AG17" s="262"/>
      <c r="AH17" s="263"/>
      <c r="AI17" s="261">
        <f>SUM(AI8:AI16)</f>
        <v>0</v>
      </c>
      <c r="AJ17" s="262"/>
      <c r="AK17" s="262"/>
      <c r="AL17" s="263"/>
      <c r="AM17" s="261">
        <f>SUM(AM8:AM16)</f>
        <v>0</v>
      </c>
      <c r="AN17" s="262"/>
      <c r="AO17" s="262"/>
      <c r="AP17" s="263"/>
      <c r="AQ17" s="261">
        <f>SUM(AQ8:AQ16)</f>
        <v>0</v>
      </c>
      <c r="AR17" s="262"/>
      <c r="AS17" s="262"/>
      <c r="AT17" s="263"/>
      <c r="AU17" s="261">
        <f>SUM(AU8:AU16)</f>
        <v>0</v>
      </c>
      <c r="AV17" s="262"/>
      <c r="AW17" s="262"/>
      <c r="AX17" s="263"/>
      <c r="AZ17" s="228">
        <f>SUM(AZ8:AZ16)</f>
        <v>0</v>
      </c>
      <c r="BA17" s="113">
        <f ca="1">AZ17/BC$17</f>
        <v>0</v>
      </c>
      <c r="BB17" s="1" t="s">
        <v>83</v>
      </c>
      <c r="BC17" s="1">
        <f ca="1">MONTH(TODAY())</f>
        <v>12</v>
      </c>
      <c r="BD17" s="40"/>
    </row>
    <row r="18" spans="1:62" ht="32.25" customHeight="1" thickTop="1" thickBot="1">
      <c r="A18" s="10"/>
      <c r="B18" s="10"/>
      <c r="C18" s="264"/>
      <c r="D18" s="264"/>
      <c r="E18" s="264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264"/>
      <c r="Q18" s="264"/>
      <c r="R18" s="264"/>
      <c r="S18" s="264"/>
      <c r="T18" s="264"/>
      <c r="U18" s="264"/>
      <c r="V18" s="264"/>
      <c r="W18" s="264"/>
      <c r="X18" s="264"/>
      <c r="Y18" s="264"/>
      <c r="Z18" s="264"/>
      <c r="AA18" s="264"/>
      <c r="AB18" s="264"/>
      <c r="AC18" s="264"/>
      <c r="AD18" s="264"/>
      <c r="AE18" s="264"/>
      <c r="AF18" s="264"/>
      <c r="AG18" s="264"/>
      <c r="AH18" s="264"/>
      <c r="AI18" s="264"/>
      <c r="AJ18" s="264"/>
      <c r="AK18" s="264"/>
      <c r="AL18" s="264"/>
      <c r="AM18" s="264"/>
      <c r="AN18" s="264"/>
      <c r="AO18" s="264"/>
      <c r="AP18" s="264"/>
      <c r="AQ18" s="264"/>
      <c r="AR18" s="264"/>
      <c r="AS18" s="264"/>
      <c r="AT18" s="264"/>
      <c r="AU18" s="264" t="s">
        <v>176</v>
      </c>
      <c r="AV18" s="264"/>
      <c r="AW18" s="264"/>
      <c r="AX18" s="264"/>
      <c r="AZ18" s="132">
        <f>(2500*13)+(600*12)+(550*12)+(95*12)</f>
        <v>47440</v>
      </c>
      <c r="BA18" s="132">
        <f ca="1">12*BA17</f>
        <v>0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9" t="s">
        <v>54</v>
      </c>
      <c r="D19" s="180" t="s">
        <v>214</v>
      </c>
      <c r="E19" s="180" t="s">
        <v>9</v>
      </c>
      <c r="F19" s="181" t="s">
        <v>10</v>
      </c>
      <c r="G19" s="179" t="s">
        <v>54</v>
      </c>
      <c r="H19" s="180" t="s">
        <v>214</v>
      </c>
      <c r="I19" s="180" t="s">
        <v>9</v>
      </c>
      <c r="J19" s="181" t="s">
        <v>10</v>
      </c>
      <c r="K19" s="179" t="s">
        <v>54</v>
      </c>
      <c r="L19" s="180" t="s">
        <v>214</v>
      </c>
      <c r="M19" s="180" t="s">
        <v>9</v>
      </c>
      <c r="N19" s="181" t="s">
        <v>10</v>
      </c>
      <c r="O19" s="179" t="s">
        <v>54</v>
      </c>
      <c r="P19" s="180" t="s">
        <v>214</v>
      </c>
      <c r="Q19" s="180" t="s">
        <v>9</v>
      </c>
      <c r="R19" s="181" t="s">
        <v>10</v>
      </c>
      <c r="S19" s="179" t="s">
        <v>54</v>
      </c>
      <c r="T19" s="180" t="s">
        <v>214</v>
      </c>
      <c r="U19" s="180" t="s">
        <v>9</v>
      </c>
      <c r="V19" s="181" t="s">
        <v>10</v>
      </c>
      <c r="W19" s="179" t="s">
        <v>54</v>
      </c>
      <c r="X19" s="180" t="s">
        <v>214</v>
      </c>
      <c r="Y19" s="180" t="s">
        <v>9</v>
      </c>
      <c r="Z19" s="181" t="s">
        <v>10</v>
      </c>
      <c r="AA19" s="179" t="s">
        <v>54</v>
      </c>
      <c r="AB19" s="180" t="s">
        <v>214</v>
      </c>
      <c r="AC19" s="180" t="s">
        <v>9</v>
      </c>
      <c r="AD19" s="181" t="s">
        <v>10</v>
      </c>
      <c r="AE19" s="179" t="s">
        <v>54</v>
      </c>
      <c r="AF19" s="180" t="s">
        <v>214</v>
      </c>
      <c r="AG19" s="180" t="s">
        <v>9</v>
      </c>
      <c r="AH19" s="181" t="s">
        <v>10</v>
      </c>
      <c r="AI19" s="179" t="s">
        <v>54</v>
      </c>
      <c r="AJ19" s="180" t="s">
        <v>214</v>
      </c>
      <c r="AK19" s="180" t="s">
        <v>9</v>
      </c>
      <c r="AL19" s="181" t="s">
        <v>10</v>
      </c>
      <c r="AM19" s="179" t="s">
        <v>54</v>
      </c>
      <c r="AN19" s="180" t="s">
        <v>214</v>
      </c>
      <c r="AO19" s="180" t="s">
        <v>9</v>
      </c>
      <c r="AP19" s="181" t="s">
        <v>10</v>
      </c>
      <c r="AQ19" s="179" t="s">
        <v>54</v>
      </c>
      <c r="AR19" s="180" t="s">
        <v>214</v>
      </c>
      <c r="AS19" s="180" t="s">
        <v>9</v>
      </c>
      <c r="AT19" s="181" t="s">
        <v>10</v>
      </c>
      <c r="AU19" s="179" t="s">
        <v>54</v>
      </c>
      <c r="AV19" s="180" t="s">
        <v>214</v>
      </c>
      <c r="AW19" s="180" t="s">
        <v>9</v>
      </c>
      <c r="AX19" s="181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2" t="s">
        <v>179</v>
      </c>
      <c r="B20" s="143"/>
      <c r="C20" s="144" t="s">
        <v>0</v>
      </c>
      <c r="D20" s="145">
        <f>'01'!B20</f>
        <v>544</v>
      </c>
      <c r="E20" s="145">
        <f>SUM('01'!D20:F20)</f>
        <v>0</v>
      </c>
      <c r="F20" s="146">
        <f t="shared" ref="F20:F45" si="2">B20+D20-E20</f>
        <v>544</v>
      </c>
      <c r="G20" s="144" t="s">
        <v>1</v>
      </c>
      <c r="H20" s="145">
        <f>'02'!B20</f>
        <v>544</v>
      </c>
      <c r="I20" s="145">
        <f>SUM('02'!D20:F20)</f>
        <v>0</v>
      </c>
      <c r="J20" s="146">
        <f t="shared" ref="J20:J45" si="3">F20+H20-I20</f>
        <v>1088</v>
      </c>
      <c r="K20" s="144" t="s">
        <v>2</v>
      </c>
      <c r="L20" s="145">
        <f>'03'!B20</f>
        <v>544</v>
      </c>
      <c r="M20" s="145">
        <f>SUM('03'!D20:F20)</f>
        <v>0</v>
      </c>
      <c r="N20" s="146">
        <f t="shared" ref="N20:N45" si="4">J20+L20-M20</f>
        <v>1632</v>
      </c>
      <c r="O20" s="144" t="s">
        <v>3</v>
      </c>
      <c r="P20" s="145">
        <f>'04'!B20</f>
        <v>544</v>
      </c>
      <c r="Q20" s="145">
        <f>SUM('04'!D20:F20)</f>
        <v>0</v>
      </c>
      <c r="R20" s="146">
        <f t="shared" ref="R20:R45" si="5">N20+P20-Q20</f>
        <v>2176</v>
      </c>
      <c r="S20" s="144" t="s">
        <v>71</v>
      </c>
      <c r="T20" s="145">
        <f>'05'!B20</f>
        <v>544</v>
      </c>
      <c r="U20" s="145">
        <f>SUM('05'!D20:F20)</f>
        <v>0</v>
      </c>
      <c r="V20" s="146">
        <f t="shared" ref="V20:V45" si="6">R20+T20-U20</f>
        <v>2720</v>
      </c>
      <c r="W20" s="144" t="s">
        <v>70</v>
      </c>
      <c r="X20" s="145">
        <f>'06'!B20</f>
        <v>544</v>
      </c>
      <c r="Y20" s="145">
        <f>SUM('06'!D20:F20)</f>
        <v>0</v>
      </c>
      <c r="Z20" s="146">
        <f t="shared" ref="Z20:Z45" si="7">V20+X20-Y20</f>
        <v>3264</v>
      </c>
      <c r="AA20" s="144" t="s">
        <v>72</v>
      </c>
      <c r="AB20" s="145">
        <f>'07'!B20</f>
        <v>544</v>
      </c>
      <c r="AC20" s="145">
        <f>SUM('07'!D20:F20)</f>
        <v>0</v>
      </c>
      <c r="AD20" s="146">
        <f t="shared" ref="AD20:AD45" si="8">Z20+AB20-AC20</f>
        <v>3808</v>
      </c>
      <c r="AE20" s="144" t="s">
        <v>73</v>
      </c>
      <c r="AF20" s="145">
        <f>'08'!B20</f>
        <v>544</v>
      </c>
      <c r="AG20" s="145">
        <f>SUM('08'!D20:F20)</f>
        <v>0</v>
      </c>
      <c r="AH20" s="146">
        <f t="shared" ref="AH20:AH45" si="9">AD20+AF20-AG20</f>
        <v>4352</v>
      </c>
      <c r="AI20" s="144" t="s">
        <v>76</v>
      </c>
      <c r="AJ20" s="145">
        <f>'09'!B20</f>
        <v>544</v>
      </c>
      <c r="AK20" s="145">
        <f>SUM('09'!D20:F20)</f>
        <v>0</v>
      </c>
      <c r="AL20" s="146">
        <f t="shared" ref="AL20:AL45" si="10">AH20+AJ20-AK20</f>
        <v>4896</v>
      </c>
      <c r="AM20" s="144" t="s">
        <v>77</v>
      </c>
      <c r="AN20" s="145">
        <f>'10'!B20</f>
        <v>544</v>
      </c>
      <c r="AO20" s="145">
        <f>SUM('10'!D20:F20)</f>
        <v>0</v>
      </c>
      <c r="AP20" s="146">
        <f t="shared" ref="AP20:AP45" si="11">AL20+AN20-AO20</f>
        <v>5440</v>
      </c>
      <c r="AQ20" s="144" t="s">
        <v>80</v>
      </c>
      <c r="AR20" s="145">
        <f>'11'!B20</f>
        <v>544</v>
      </c>
      <c r="AS20" s="145">
        <f>SUM('11'!D20:F20)</f>
        <v>0</v>
      </c>
      <c r="AT20" s="146">
        <f t="shared" ref="AT20:AT45" si="12">AP20+AR20-AS20</f>
        <v>5984</v>
      </c>
      <c r="AU20" s="144" t="s">
        <v>84</v>
      </c>
      <c r="AV20" s="145">
        <f>'12'!B20</f>
        <v>544</v>
      </c>
      <c r="AW20" s="145">
        <f>SUM('12'!D20:F20)</f>
        <v>0</v>
      </c>
      <c r="AX20" s="146">
        <f t="shared" ref="AX20:AX45" si="13">AT20+AV20-AW20</f>
        <v>6528</v>
      </c>
      <c r="AZ20" s="124">
        <f t="shared" ref="AZ20:AZ27" si="14">E20+I20+M20+Q20+U20+Y20+AC20+AG20+AK20+AO20+AS20+AW20</f>
        <v>0</v>
      </c>
      <c r="BA20" s="21" t="e">
        <f t="shared" ref="BA20:BA45" si="15">AZ20/AZ$46</f>
        <v>#DIV/0!</v>
      </c>
      <c r="BB20" s="22" t="e">
        <f>_xlfn.RANK.EQ(BA20,$BA$20:$BA$45,)</f>
        <v>#DIV/0!</v>
      </c>
      <c r="BC20" s="22">
        <f t="shared" ref="BC20:BC45" ca="1" si="16">AZ20/BC$17</f>
        <v>0</v>
      </c>
      <c r="BE20" s="224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6528</v>
      </c>
      <c r="BF20" s="21" t="e">
        <f t="shared" ref="BF20:BF45" ca="1" si="18">BE20/BE$46</f>
        <v>#DIV/0!</v>
      </c>
      <c r="BG20" s="22" t="e">
        <f ca="1">_xlfn.RANK.EQ(BF20,$BF$20:$BF$45,)</f>
        <v>#DIV/0!</v>
      </c>
      <c r="BH20" s="22">
        <f t="shared" ref="BH20:BH45" ca="1" si="19">BE20/BC$17</f>
        <v>544</v>
      </c>
      <c r="BJ20" s="224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6528</v>
      </c>
    </row>
    <row r="21" spans="1:62" ht="15.75">
      <c r="A21" s="147" t="s">
        <v>49</v>
      </c>
      <c r="B21" s="148"/>
      <c r="C21" s="149" t="s">
        <v>0</v>
      </c>
      <c r="D21" s="150">
        <f>'01'!B40</f>
        <v>1128</v>
      </c>
      <c r="E21" s="151">
        <f>SUM('01'!D40:F40)</f>
        <v>0</v>
      </c>
      <c r="F21" s="152">
        <f t="shared" si="2"/>
        <v>1128</v>
      </c>
      <c r="G21" s="149" t="s">
        <v>1</v>
      </c>
      <c r="H21" s="150">
        <f>'02'!B40</f>
        <v>1128</v>
      </c>
      <c r="I21" s="151">
        <f>SUM('02'!D40:F40)</f>
        <v>0</v>
      </c>
      <c r="J21" s="152">
        <f t="shared" si="3"/>
        <v>2256</v>
      </c>
      <c r="K21" s="149" t="s">
        <v>2</v>
      </c>
      <c r="L21" s="150">
        <f>'03'!B40</f>
        <v>1128</v>
      </c>
      <c r="M21" s="151">
        <f>SUM('03'!D40:F40)</f>
        <v>0</v>
      </c>
      <c r="N21" s="152">
        <f t="shared" si="4"/>
        <v>3384</v>
      </c>
      <c r="O21" s="149" t="s">
        <v>3</v>
      </c>
      <c r="P21" s="150">
        <f>'04'!B40</f>
        <v>1128</v>
      </c>
      <c r="Q21" s="151">
        <f>SUM('04'!D40:F40)</f>
        <v>0</v>
      </c>
      <c r="R21" s="152">
        <f t="shared" si="5"/>
        <v>4512</v>
      </c>
      <c r="S21" s="149" t="s">
        <v>71</v>
      </c>
      <c r="T21" s="150">
        <f>'05'!B40</f>
        <v>1128</v>
      </c>
      <c r="U21" s="151">
        <f>SUM('05'!D40:F40)</f>
        <v>0</v>
      </c>
      <c r="V21" s="152">
        <f t="shared" si="6"/>
        <v>5640</v>
      </c>
      <c r="W21" s="149" t="s">
        <v>70</v>
      </c>
      <c r="X21" s="150">
        <f>'06'!B40</f>
        <v>1128</v>
      </c>
      <c r="Y21" s="151">
        <f>SUM('06'!D40:F40)</f>
        <v>0</v>
      </c>
      <c r="Z21" s="152">
        <f t="shared" si="7"/>
        <v>6768</v>
      </c>
      <c r="AA21" s="149" t="s">
        <v>72</v>
      </c>
      <c r="AB21" s="150">
        <f>'07'!B40</f>
        <v>1128</v>
      </c>
      <c r="AC21" s="151">
        <f>SUM('07'!D40:F40)</f>
        <v>0</v>
      </c>
      <c r="AD21" s="152">
        <f t="shared" si="8"/>
        <v>7896</v>
      </c>
      <c r="AE21" s="149" t="s">
        <v>73</v>
      </c>
      <c r="AF21" s="150">
        <f>'08'!B40</f>
        <v>1128</v>
      </c>
      <c r="AG21" s="151">
        <f>SUM('08'!D40:F40)</f>
        <v>0</v>
      </c>
      <c r="AH21" s="152">
        <f t="shared" si="9"/>
        <v>9024</v>
      </c>
      <c r="AI21" s="149" t="s">
        <v>76</v>
      </c>
      <c r="AJ21" s="150">
        <f>'09'!B40</f>
        <v>1128</v>
      </c>
      <c r="AK21" s="151">
        <f>SUM('09'!D40:F40)</f>
        <v>0</v>
      </c>
      <c r="AL21" s="152">
        <f t="shared" si="10"/>
        <v>10152</v>
      </c>
      <c r="AM21" s="149" t="s">
        <v>77</v>
      </c>
      <c r="AN21" s="150">
        <f>'10'!B40</f>
        <v>1128</v>
      </c>
      <c r="AO21" s="151">
        <f>SUM('10'!D40:F40)</f>
        <v>0</v>
      </c>
      <c r="AP21" s="152">
        <f t="shared" si="11"/>
        <v>11280</v>
      </c>
      <c r="AQ21" s="149" t="s">
        <v>80</v>
      </c>
      <c r="AR21" s="150">
        <f>'11'!B40</f>
        <v>1128</v>
      </c>
      <c r="AS21" s="151">
        <f>SUM('11'!D40:F40)</f>
        <v>0</v>
      </c>
      <c r="AT21" s="152">
        <f t="shared" si="12"/>
        <v>12408</v>
      </c>
      <c r="AU21" s="149" t="s">
        <v>84</v>
      </c>
      <c r="AV21" s="150">
        <f>'12'!B40</f>
        <v>1128</v>
      </c>
      <c r="AW21" s="151">
        <f>SUM('12'!D40:F40)</f>
        <v>0</v>
      </c>
      <c r="AX21" s="152">
        <f t="shared" si="13"/>
        <v>13536</v>
      </c>
      <c r="AZ21" s="153">
        <f t="shared" si="14"/>
        <v>0</v>
      </c>
      <c r="BA21" s="21" t="e">
        <f t="shared" si="15"/>
        <v>#DIV/0!</v>
      </c>
      <c r="BB21" s="22" t="e">
        <f t="shared" ref="BB21:BB45" si="20">_xlfn.RANK.EQ(BA21,$BA$20:$BA$45,)</f>
        <v>#DIV/0!</v>
      </c>
      <c r="BC21" s="22">
        <f t="shared" ca="1" si="16"/>
        <v>0</v>
      </c>
      <c r="BE21" s="225">
        <f t="shared" ca="1" si="17"/>
        <v>13536</v>
      </c>
      <c r="BF21" s="21" t="e">
        <f t="shared" ca="1" si="18"/>
        <v>#DIV/0!</v>
      </c>
      <c r="BG21" s="22" t="e">
        <f t="shared" ref="BG21:BG45" ca="1" si="21">_xlfn.RANK.EQ(BF21,$BF$20:$BF$45,)</f>
        <v>#DIV/0!</v>
      </c>
      <c r="BH21" s="22">
        <f t="shared" ca="1" si="19"/>
        <v>1128</v>
      </c>
      <c r="BJ21" s="225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13536</v>
      </c>
    </row>
    <row r="22" spans="1:62" ht="15.75">
      <c r="A22" s="154" t="s">
        <v>15</v>
      </c>
      <c r="B22" s="155"/>
      <c r="C22" s="144" t="s">
        <v>0</v>
      </c>
      <c r="D22" s="156">
        <f>'01'!B60</f>
        <v>490</v>
      </c>
      <c r="E22" s="156">
        <f>SUM('01'!D60:F60)</f>
        <v>0</v>
      </c>
      <c r="F22" s="157">
        <f t="shared" si="2"/>
        <v>490</v>
      </c>
      <c r="G22" s="144" t="s">
        <v>1</v>
      </c>
      <c r="H22" s="156">
        <f>'02'!B60</f>
        <v>490</v>
      </c>
      <c r="I22" s="156">
        <f>SUM('02'!D60:F60)</f>
        <v>0</v>
      </c>
      <c r="J22" s="157">
        <f t="shared" si="3"/>
        <v>980</v>
      </c>
      <c r="K22" s="144" t="s">
        <v>2</v>
      </c>
      <c r="L22" s="156">
        <f>'03'!B60</f>
        <v>490</v>
      </c>
      <c r="M22" s="156">
        <f>SUM('03'!D60:F60)</f>
        <v>0</v>
      </c>
      <c r="N22" s="157">
        <f t="shared" si="4"/>
        <v>1470</v>
      </c>
      <c r="O22" s="144" t="s">
        <v>3</v>
      </c>
      <c r="P22" s="156">
        <f>'04'!B60</f>
        <v>490</v>
      </c>
      <c r="Q22" s="156">
        <f>SUM('04'!D60:F60)</f>
        <v>0</v>
      </c>
      <c r="R22" s="157">
        <f t="shared" si="5"/>
        <v>1960</v>
      </c>
      <c r="S22" s="144" t="s">
        <v>71</v>
      </c>
      <c r="T22" s="156">
        <f>'05'!B60</f>
        <v>490</v>
      </c>
      <c r="U22" s="156">
        <f>SUM('05'!D60:F60)</f>
        <v>0</v>
      </c>
      <c r="V22" s="157">
        <f t="shared" si="6"/>
        <v>2450</v>
      </c>
      <c r="W22" s="144" t="s">
        <v>70</v>
      </c>
      <c r="X22" s="156">
        <f>'06'!B60</f>
        <v>490</v>
      </c>
      <c r="Y22" s="156">
        <f>SUM('06'!D60:F60)</f>
        <v>0</v>
      </c>
      <c r="Z22" s="157">
        <f t="shared" si="7"/>
        <v>2940</v>
      </c>
      <c r="AA22" s="144" t="s">
        <v>72</v>
      </c>
      <c r="AB22" s="156">
        <f>'07'!B60</f>
        <v>490</v>
      </c>
      <c r="AC22" s="156">
        <f>SUM('07'!D60:F60)</f>
        <v>0</v>
      </c>
      <c r="AD22" s="157">
        <f t="shared" si="8"/>
        <v>3430</v>
      </c>
      <c r="AE22" s="144" t="s">
        <v>73</v>
      </c>
      <c r="AF22" s="156">
        <f>'08'!B60</f>
        <v>490</v>
      </c>
      <c r="AG22" s="156">
        <f>SUM('08'!D60:F60)</f>
        <v>0</v>
      </c>
      <c r="AH22" s="157">
        <f t="shared" si="9"/>
        <v>3920</v>
      </c>
      <c r="AI22" s="144" t="s">
        <v>76</v>
      </c>
      <c r="AJ22" s="156">
        <f>'09'!B60</f>
        <v>490</v>
      </c>
      <c r="AK22" s="156">
        <f>SUM('09'!D60:F60)</f>
        <v>0</v>
      </c>
      <c r="AL22" s="157">
        <f t="shared" si="10"/>
        <v>4410</v>
      </c>
      <c r="AM22" s="144" t="s">
        <v>77</v>
      </c>
      <c r="AN22" s="156">
        <f>'10'!B60</f>
        <v>490</v>
      </c>
      <c r="AO22" s="156">
        <f>SUM('10'!D60:F60)</f>
        <v>0</v>
      </c>
      <c r="AP22" s="157">
        <f t="shared" si="11"/>
        <v>4900</v>
      </c>
      <c r="AQ22" s="144" t="s">
        <v>80</v>
      </c>
      <c r="AR22" s="156">
        <f>'11'!B60</f>
        <v>490</v>
      </c>
      <c r="AS22" s="156">
        <f>SUM('11'!D60:F60)</f>
        <v>0</v>
      </c>
      <c r="AT22" s="157">
        <f t="shared" si="12"/>
        <v>5390</v>
      </c>
      <c r="AU22" s="144" t="s">
        <v>84</v>
      </c>
      <c r="AV22" s="156">
        <f>'12'!B60</f>
        <v>490</v>
      </c>
      <c r="AW22" s="156">
        <f>SUM('12'!D60:F60)</f>
        <v>0</v>
      </c>
      <c r="AX22" s="157">
        <f t="shared" si="13"/>
        <v>5880</v>
      </c>
      <c r="AZ22" s="158">
        <f t="shared" si="14"/>
        <v>0</v>
      </c>
      <c r="BA22" s="21" t="e">
        <f t="shared" si="15"/>
        <v>#DIV/0!</v>
      </c>
      <c r="BB22" s="22" t="e">
        <f t="shared" si="20"/>
        <v>#DIV/0!</v>
      </c>
      <c r="BC22" s="22">
        <f t="shared" ca="1" si="16"/>
        <v>0</v>
      </c>
      <c r="BE22" s="226">
        <f t="shared" ca="1" si="17"/>
        <v>5880</v>
      </c>
      <c r="BF22" s="21" t="e">
        <f t="shared" ca="1" si="18"/>
        <v>#DIV/0!</v>
      </c>
      <c r="BG22" s="22" t="e">
        <f t="shared" ca="1" si="21"/>
        <v>#DIV/0!</v>
      </c>
      <c r="BH22" s="22">
        <f t="shared" ca="1" si="19"/>
        <v>490</v>
      </c>
      <c r="BJ22" s="226">
        <f t="shared" ca="1" si="22"/>
        <v>5880</v>
      </c>
    </row>
    <row r="23" spans="1:62" ht="15.75">
      <c r="A23" s="147" t="s">
        <v>16</v>
      </c>
      <c r="B23" s="148"/>
      <c r="C23" s="149" t="s">
        <v>0</v>
      </c>
      <c r="D23" s="150">
        <f>'01'!B80</f>
        <v>150</v>
      </c>
      <c r="E23" s="151">
        <f>SUM('01'!D80:F80)</f>
        <v>0</v>
      </c>
      <c r="F23" s="152">
        <f t="shared" si="2"/>
        <v>150</v>
      </c>
      <c r="G23" s="149" t="s">
        <v>1</v>
      </c>
      <c r="H23" s="150">
        <f>'02'!B80</f>
        <v>150</v>
      </c>
      <c r="I23" s="151">
        <f>SUM('02'!D80:F80)</f>
        <v>0</v>
      </c>
      <c r="J23" s="152">
        <f t="shared" si="3"/>
        <v>300</v>
      </c>
      <c r="K23" s="149" t="s">
        <v>2</v>
      </c>
      <c r="L23" s="150">
        <f>'03'!B80</f>
        <v>150</v>
      </c>
      <c r="M23" s="151">
        <f>SUM('03'!D80:F80)</f>
        <v>0</v>
      </c>
      <c r="N23" s="152">
        <f t="shared" si="4"/>
        <v>450</v>
      </c>
      <c r="O23" s="149" t="s">
        <v>3</v>
      </c>
      <c r="P23" s="150">
        <f>'04'!B80</f>
        <v>150</v>
      </c>
      <c r="Q23" s="151">
        <f>SUM('04'!D80:F80)</f>
        <v>0</v>
      </c>
      <c r="R23" s="152">
        <f t="shared" si="5"/>
        <v>600</v>
      </c>
      <c r="S23" s="149" t="s">
        <v>71</v>
      </c>
      <c r="T23" s="150">
        <f>'05'!B80</f>
        <v>150</v>
      </c>
      <c r="U23" s="151">
        <f>SUM('05'!D80:F80)</f>
        <v>0</v>
      </c>
      <c r="V23" s="152">
        <f t="shared" si="6"/>
        <v>750</v>
      </c>
      <c r="W23" s="149" t="s">
        <v>70</v>
      </c>
      <c r="X23" s="150">
        <f>'06'!B80</f>
        <v>150</v>
      </c>
      <c r="Y23" s="151">
        <f>SUM('06'!D80:F80)</f>
        <v>0</v>
      </c>
      <c r="Z23" s="152">
        <f t="shared" si="7"/>
        <v>900</v>
      </c>
      <c r="AA23" s="149" t="s">
        <v>72</v>
      </c>
      <c r="AB23" s="150">
        <f>'07'!B80</f>
        <v>150</v>
      </c>
      <c r="AC23" s="151">
        <f>SUM('07'!D80:F80)</f>
        <v>0</v>
      </c>
      <c r="AD23" s="152">
        <f t="shared" si="8"/>
        <v>1050</v>
      </c>
      <c r="AE23" s="149" t="s">
        <v>73</v>
      </c>
      <c r="AF23" s="150">
        <f>'08'!B80</f>
        <v>150</v>
      </c>
      <c r="AG23" s="151">
        <f>SUM('08'!D80:F80)</f>
        <v>0</v>
      </c>
      <c r="AH23" s="152">
        <f t="shared" si="9"/>
        <v>1200</v>
      </c>
      <c r="AI23" s="149" t="s">
        <v>76</v>
      </c>
      <c r="AJ23" s="150">
        <f>'09'!B80</f>
        <v>150</v>
      </c>
      <c r="AK23" s="151">
        <f>SUM('09'!D80:F80)</f>
        <v>0</v>
      </c>
      <c r="AL23" s="152">
        <f t="shared" si="10"/>
        <v>1350</v>
      </c>
      <c r="AM23" s="149" t="s">
        <v>77</v>
      </c>
      <c r="AN23" s="150">
        <f>'10'!B80</f>
        <v>150</v>
      </c>
      <c r="AO23" s="151">
        <f>SUM('10'!D80:F80)</f>
        <v>0</v>
      </c>
      <c r="AP23" s="152">
        <f t="shared" si="11"/>
        <v>1500</v>
      </c>
      <c r="AQ23" s="149" t="s">
        <v>80</v>
      </c>
      <c r="AR23" s="150">
        <f>'11'!B80</f>
        <v>150</v>
      </c>
      <c r="AS23" s="151">
        <f>SUM('11'!D80:F80)</f>
        <v>0</v>
      </c>
      <c r="AT23" s="152">
        <f t="shared" si="12"/>
        <v>1650</v>
      </c>
      <c r="AU23" s="149" t="s">
        <v>84</v>
      </c>
      <c r="AV23" s="150">
        <f>'12'!B80</f>
        <v>150</v>
      </c>
      <c r="AW23" s="151">
        <f>SUM('12'!D80:F80)</f>
        <v>0</v>
      </c>
      <c r="AX23" s="152">
        <f t="shared" si="13"/>
        <v>1800</v>
      </c>
      <c r="AZ23" s="153">
        <f t="shared" si="14"/>
        <v>0</v>
      </c>
      <c r="BA23" s="21" t="e">
        <f t="shared" si="15"/>
        <v>#DIV/0!</v>
      </c>
      <c r="BB23" s="22" t="e">
        <f t="shared" si="20"/>
        <v>#DIV/0!</v>
      </c>
      <c r="BC23" s="22">
        <f t="shared" ca="1" si="16"/>
        <v>0</v>
      </c>
      <c r="BE23" s="225">
        <f t="shared" ca="1" si="17"/>
        <v>1800</v>
      </c>
      <c r="BF23" s="21" t="e">
        <f t="shared" ca="1" si="18"/>
        <v>#DIV/0!</v>
      </c>
      <c r="BG23" s="22" t="e">
        <f t="shared" ca="1" si="21"/>
        <v>#DIV/0!</v>
      </c>
      <c r="BH23" s="22">
        <f t="shared" ca="1" si="19"/>
        <v>150</v>
      </c>
      <c r="BJ23" s="225">
        <f t="shared" ca="1" si="22"/>
        <v>1800</v>
      </c>
    </row>
    <row r="24" spans="1:62" ht="15.75">
      <c r="A24" s="154" t="s">
        <v>17</v>
      </c>
      <c r="B24" s="155"/>
      <c r="C24" s="144" t="s">
        <v>0</v>
      </c>
      <c r="D24" s="156">
        <f>'01'!B100</f>
        <v>160</v>
      </c>
      <c r="E24" s="156">
        <f>SUM('01'!D100:F100)</f>
        <v>0</v>
      </c>
      <c r="F24" s="157">
        <f t="shared" si="2"/>
        <v>160</v>
      </c>
      <c r="G24" s="144" t="s">
        <v>1</v>
      </c>
      <c r="H24" s="156">
        <f>'02'!B100</f>
        <v>160</v>
      </c>
      <c r="I24" s="156">
        <f>SUM('02'!D100:F100)</f>
        <v>0</v>
      </c>
      <c r="J24" s="157">
        <f t="shared" si="3"/>
        <v>320</v>
      </c>
      <c r="K24" s="144" t="s">
        <v>2</v>
      </c>
      <c r="L24" s="156">
        <f>'03'!B100</f>
        <v>160</v>
      </c>
      <c r="M24" s="156">
        <f>SUM('03'!D100:F100)</f>
        <v>0</v>
      </c>
      <c r="N24" s="157">
        <f t="shared" si="4"/>
        <v>480</v>
      </c>
      <c r="O24" s="144" t="s">
        <v>3</v>
      </c>
      <c r="P24" s="156">
        <f>'04'!B100</f>
        <v>160</v>
      </c>
      <c r="Q24" s="156">
        <f>SUM('04'!D100:F100)</f>
        <v>0</v>
      </c>
      <c r="R24" s="157">
        <f t="shared" si="5"/>
        <v>640</v>
      </c>
      <c r="S24" s="144" t="s">
        <v>71</v>
      </c>
      <c r="T24" s="156">
        <f>'05'!B100</f>
        <v>160</v>
      </c>
      <c r="U24" s="156">
        <f>SUM('05'!D100:F100)</f>
        <v>0</v>
      </c>
      <c r="V24" s="157">
        <f t="shared" si="6"/>
        <v>800</v>
      </c>
      <c r="W24" s="144" t="s">
        <v>70</v>
      </c>
      <c r="X24" s="156">
        <f>'06'!B100</f>
        <v>160</v>
      </c>
      <c r="Y24" s="156">
        <f>SUM('06'!D100:F100)</f>
        <v>0</v>
      </c>
      <c r="Z24" s="157">
        <f t="shared" si="7"/>
        <v>960</v>
      </c>
      <c r="AA24" s="144" t="s">
        <v>72</v>
      </c>
      <c r="AB24" s="156">
        <f>'07'!B100</f>
        <v>160</v>
      </c>
      <c r="AC24" s="156">
        <f>SUM('07'!D100:F100)</f>
        <v>0</v>
      </c>
      <c r="AD24" s="157">
        <f t="shared" si="8"/>
        <v>1120</v>
      </c>
      <c r="AE24" s="144" t="s">
        <v>73</v>
      </c>
      <c r="AF24" s="156">
        <f>'08'!B100</f>
        <v>160</v>
      </c>
      <c r="AG24" s="156">
        <f>SUM('08'!D100:F100)</f>
        <v>0</v>
      </c>
      <c r="AH24" s="157">
        <f t="shared" si="9"/>
        <v>1280</v>
      </c>
      <c r="AI24" s="144" t="s">
        <v>76</v>
      </c>
      <c r="AJ24" s="156">
        <f>'09'!B100</f>
        <v>160</v>
      </c>
      <c r="AK24" s="156">
        <f>SUM('09'!D100:F100)</f>
        <v>0</v>
      </c>
      <c r="AL24" s="157">
        <f t="shared" si="10"/>
        <v>1440</v>
      </c>
      <c r="AM24" s="144" t="s">
        <v>77</v>
      </c>
      <c r="AN24" s="156">
        <f>'10'!B100</f>
        <v>160</v>
      </c>
      <c r="AO24" s="156">
        <f>SUM('10'!D100:F100)</f>
        <v>0</v>
      </c>
      <c r="AP24" s="157">
        <f t="shared" si="11"/>
        <v>1600</v>
      </c>
      <c r="AQ24" s="144" t="s">
        <v>80</v>
      </c>
      <c r="AR24" s="156">
        <f>'11'!B100</f>
        <v>160</v>
      </c>
      <c r="AS24" s="156">
        <f>SUM('11'!D100:F100)</f>
        <v>0</v>
      </c>
      <c r="AT24" s="157">
        <f t="shared" si="12"/>
        <v>1760</v>
      </c>
      <c r="AU24" s="144" t="s">
        <v>84</v>
      </c>
      <c r="AV24" s="156">
        <f>'12'!B100</f>
        <v>160</v>
      </c>
      <c r="AW24" s="156">
        <f>SUM('12'!D100:F100)</f>
        <v>0</v>
      </c>
      <c r="AX24" s="157">
        <f t="shared" si="13"/>
        <v>1920</v>
      </c>
      <c r="AZ24" s="158">
        <f t="shared" si="14"/>
        <v>0</v>
      </c>
      <c r="BA24" s="21" t="e">
        <f t="shared" si="15"/>
        <v>#DIV/0!</v>
      </c>
      <c r="BB24" s="22" t="e">
        <f t="shared" si="20"/>
        <v>#DIV/0!</v>
      </c>
      <c r="BC24" s="22">
        <f t="shared" ca="1" si="16"/>
        <v>0</v>
      </c>
      <c r="BE24" s="226">
        <f t="shared" ca="1" si="17"/>
        <v>1920</v>
      </c>
      <c r="BF24" s="21" t="e">
        <f t="shared" ca="1" si="18"/>
        <v>#DIV/0!</v>
      </c>
      <c r="BG24" s="22" t="e">
        <f t="shared" ca="1" si="21"/>
        <v>#DIV/0!</v>
      </c>
      <c r="BH24" s="22">
        <f t="shared" ca="1" si="19"/>
        <v>160</v>
      </c>
      <c r="BJ24" s="226">
        <f t="shared" ca="1" si="22"/>
        <v>1920</v>
      </c>
    </row>
    <row r="25" spans="1:62" ht="15.75">
      <c r="A25" s="147" t="s">
        <v>50</v>
      </c>
      <c r="B25" s="148"/>
      <c r="C25" s="149" t="s">
        <v>0</v>
      </c>
      <c r="D25" s="150">
        <f>'01'!B120</f>
        <v>405</v>
      </c>
      <c r="E25" s="151">
        <f>SUM('01'!D120:F120)</f>
        <v>0</v>
      </c>
      <c r="F25" s="152">
        <f t="shared" si="2"/>
        <v>405</v>
      </c>
      <c r="G25" s="149" t="s">
        <v>1</v>
      </c>
      <c r="H25" s="150">
        <f>'02'!B120</f>
        <v>405</v>
      </c>
      <c r="I25" s="151">
        <f>SUM('02'!D120:F120)</f>
        <v>0</v>
      </c>
      <c r="J25" s="152">
        <f t="shared" si="3"/>
        <v>810</v>
      </c>
      <c r="K25" s="149" t="s">
        <v>2</v>
      </c>
      <c r="L25" s="150">
        <f>'03'!B120</f>
        <v>405</v>
      </c>
      <c r="M25" s="151">
        <f>SUM('03'!D120:F120)</f>
        <v>0</v>
      </c>
      <c r="N25" s="152">
        <f t="shared" si="4"/>
        <v>1215</v>
      </c>
      <c r="O25" s="149" t="s">
        <v>3</v>
      </c>
      <c r="P25" s="150">
        <f>'04'!B120</f>
        <v>405</v>
      </c>
      <c r="Q25" s="151">
        <f>SUM('04'!D120:F120)</f>
        <v>0</v>
      </c>
      <c r="R25" s="152">
        <f t="shared" si="5"/>
        <v>1620</v>
      </c>
      <c r="S25" s="149" t="s">
        <v>71</v>
      </c>
      <c r="T25" s="150">
        <f>'05'!B120</f>
        <v>405</v>
      </c>
      <c r="U25" s="151">
        <f>SUM('05'!D120:F120)</f>
        <v>0</v>
      </c>
      <c r="V25" s="152">
        <f t="shared" si="6"/>
        <v>2025</v>
      </c>
      <c r="W25" s="149" t="s">
        <v>70</v>
      </c>
      <c r="X25" s="150">
        <f>'06'!B120</f>
        <v>405</v>
      </c>
      <c r="Y25" s="151">
        <f>SUM('06'!D120:F120)</f>
        <v>0</v>
      </c>
      <c r="Z25" s="152">
        <f t="shared" si="7"/>
        <v>2430</v>
      </c>
      <c r="AA25" s="149" t="s">
        <v>72</v>
      </c>
      <c r="AB25" s="150">
        <f>'07'!B120</f>
        <v>405</v>
      </c>
      <c r="AC25" s="151">
        <f>SUM('07'!D120:F120)</f>
        <v>0</v>
      </c>
      <c r="AD25" s="152">
        <f t="shared" si="8"/>
        <v>2835</v>
      </c>
      <c r="AE25" s="149" t="s">
        <v>73</v>
      </c>
      <c r="AF25" s="150">
        <f>'08'!B120</f>
        <v>405</v>
      </c>
      <c r="AG25" s="151">
        <f>SUM('08'!D120:F120)</f>
        <v>0</v>
      </c>
      <c r="AH25" s="152">
        <f t="shared" si="9"/>
        <v>3240</v>
      </c>
      <c r="AI25" s="149" t="s">
        <v>76</v>
      </c>
      <c r="AJ25" s="150">
        <f>'09'!B120</f>
        <v>405</v>
      </c>
      <c r="AK25" s="151">
        <f>SUM('09'!D120:F120)</f>
        <v>0</v>
      </c>
      <c r="AL25" s="152">
        <f t="shared" si="10"/>
        <v>3645</v>
      </c>
      <c r="AM25" s="149" t="s">
        <v>77</v>
      </c>
      <c r="AN25" s="150">
        <f>'10'!B120</f>
        <v>405</v>
      </c>
      <c r="AO25" s="151">
        <f>SUM('10'!D120:F120)</f>
        <v>0</v>
      </c>
      <c r="AP25" s="152">
        <f t="shared" si="11"/>
        <v>4050</v>
      </c>
      <c r="AQ25" s="149" t="s">
        <v>80</v>
      </c>
      <c r="AR25" s="150">
        <f>'11'!B120</f>
        <v>405</v>
      </c>
      <c r="AS25" s="151">
        <f>SUM('11'!D120:F120)</f>
        <v>0</v>
      </c>
      <c r="AT25" s="152">
        <f t="shared" si="12"/>
        <v>4455</v>
      </c>
      <c r="AU25" s="149" t="s">
        <v>84</v>
      </c>
      <c r="AV25" s="150">
        <f>'12'!B120</f>
        <v>405</v>
      </c>
      <c r="AW25" s="151">
        <f>SUM('12'!D120:F120)</f>
        <v>0</v>
      </c>
      <c r="AX25" s="152">
        <f t="shared" si="13"/>
        <v>4860</v>
      </c>
      <c r="AZ25" s="153">
        <f t="shared" si="14"/>
        <v>0</v>
      </c>
      <c r="BA25" s="21" t="e">
        <f t="shared" si="15"/>
        <v>#DIV/0!</v>
      </c>
      <c r="BB25" s="22" t="e">
        <f t="shared" si="20"/>
        <v>#DIV/0!</v>
      </c>
      <c r="BC25" s="22">
        <f t="shared" ca="1" si="16"/>
        <v>0</v>
      </c>
      <c r="BE25" s="225">
        <f t="shared" ca="1" si="17"/>
        <v>4860</v>
      </c>
      <c r="BF25" s="21" t="e">
        <f t="shared" ca="1" si="18"/>
        <v>#DIV/0!</v>
      </c>
      <c r="BG25" s="22" t="e">
        <f t="shared" ca="1" si="21"/>
        <v>#DIV/0!</v>
      </c>
      <c r="BH25" s="22">
        <f t="shared" ca="1" si="19"/>
        <v>405</v>
      </c>
      <c r="BJ25" s="225">
        <f t="shared" ca="1" si="22"/>
        <v>4860</v>
      </c>
    </row>
    <row r="26" spans="1:62" ht="15.75">
      <c r="A26" s="154" t="s">
        <v>51</v>
      </c>
      <c r="B26" s="155"/>
      <c r="C26" s="144" t="s">
        <v>0</v>
      </c>
      <c r="D26" s="156">
        <f>'01'!B140</f>
        <v>48</v>
      </c>
      <c r="E26" s="156">
        <f>SUM('01'!D140:F140)</f>
        <v>0</v>
      </c>
      <c r="F26" s="157">
        <f t="shared" si="2"/>
        <v>48</v>
      </c>
      <c r="G26" s="144" t="s">
        <v>1</v>
      </c>
      <c r="H26" s="156">
        <f>'02'!B140</f>
        <v>48</v>
      </c>
      <c r="I26" s="156">
        <f>SUM('02'!D140:F140)</f>
        <v>0</v>
      </c>
      <c r="J26" s="157">
        <f t="shared" si="3"/>
        <v>96</v>
      </c>
      <c r="K26" s="144" t="s">
        <v>2</v>
      </c>
      <c r="L26" s="156">
        <f>'03'!B140</f>
        <v>48</v>
      </c>
      <c r="M26" s="156">
        <f>SUM('03'!D140:F140)</f>
        <v>0</v>
      </c>
      <c r="N26" s="157">
        <f t="shared" si="4"/>
        <v>144</v>
      </c>
      <c r="O26" s="144" t="s">
        <v>3</v>
      </c>
      <c r="P26" s="156">
        <f>'04'!B140</f>
        <v>48</v>
      </c>
      <c r="Q26" s="156">
        <f>SUM('04'!D140:F140)</f>
        <v>0</v>
      </c>
      <c r="R26" s="157">
        <f t="shared" si="5"/>
        <v>192</v>
      </c>
      <c r="S26" s="144" t="s">
        <v>71</v>
      </c>
      <c r="T26" s="156">
        <f>'05'!B140</f>
        <v>48</v>
      </c>
      <c r="U26" s="156">
        <f>SUM('05'!D140:F140)</f>
        <v>0</v>
      </c>
      <c r="V26" s="157">
        <f t="shared" si="6"/>
        <v>240</v>
      </c>
      <c r="W26" s="144" t="s">
        <v>70</v>
      </c>
      <c r="X26" s="156">
        <f>'06'!B140</f>
        <v>48</v>
      </c>
      <c r="Y26" s="156">
        <f>SUM('06'!D140:F140)</f>
        <v>0</v>
      </c>
      <c r="Z26" s="157">
        <f t="shared" si="7"/>
        <v>288</v>
      </c>
      <c r="AA26" s="144" t="s">
        <v>72</v>
      </c>
      <c r="AB26" s="156">
        <f>'07'!B140</f>
        <v>48</v>
      </c>
      <c r="AC26" s="156">
        <f>SUM('07'!D140:F140)</f>
        <v>0</v>
      </c>
      <c r="AD26" s="157">
        <f t="shared" si="8"/>
        <v>336</v>
      </c>
      <c r="AE26" s="144" t="s">
        <v>73</v>
      </c>
      <c r="AF26" s="156">
        <f>'08'!B140</f>
        <v>48</v>
      </c>
      <c r="AG26" s="156">
        <f>SUM('08'!D140:F140)</f>
        <v>0</v>
      </c>
      <c r="AH26" s="157">
        <f t="shared" si="9"/>
        <v>384</v>
      </c>
      <c r="AI26" s="144" t="s">
        <v>76</v>
      </c>
      <c r="AJ26" s="156">
        <f>'09'!B140</f>
        <v>48</v>
      </c>
      <c r="AK26" s="156">
        <f>SUM('09'!D140:F140)</f>
        <v>0</v>
      </c>
      <c r="AL26" s="157">
        <f t="shared" si="10"/>
        <v>432</v>
      </c>
      <c r="AM26" s="144" t="s">
        <v>77</v>
      </c>
      <c r="AN26" s="156">
        <f>'10'!B140</f>
        <v>48</v>
      </c>
      <c r="AO26" s="156">
        <f>SUM('10'!D140:F140)</f>
        <v>0</v>
      </c>
      <c r="AP26" s="157">
        <f t="shared" si="11"/>
        <v>480</v>
      </c>
      <c r="AQ26" s="144" t="s">
        <v>80</v>
      </c>
      <c r="AR26" s="156">
        <f>'11'!B140</f>
        <v>48</v>
      </c>
      <c r="AS26" s="156">
        <f>SUM('11'!D140:F140)</f>
        <v>0</v>
      </c>
      <c r="AT26" s="157">
        <f t="shared" si="12"/>
        <v>528</v>
      </c>
      <c r="AU26" s="144" t="s">
        <v>84</v>
      </c>
      <c r="AV26" s="156">
        <f>'12'!B140</f>
        <v>48</v>
      </c>
      <c r="AW26" s="156">
        <f>SUM('12'!D140:F140)</f>
        <v>0</v>
      </c>
      <c r="AX26" s="157">
        <f t="shared" si="13"/>
        <v>576</v>
      </c>
      <c r="AZ26" s="158">
        <f t="shared" si="14"/>
        <v>0</v>
      </c>
      <c r="BA26" s="21" t="e">
        <f t="shared" si="15"/>
        <v>#DIV/0!</v>
      </c>
      <c r="BB26" s="22" t="e">
        <f t="shared" si="20"/>
        <v>#DIV/0!</v>
      </c>
      <c r="BC26" s="22">
        <f t="shared" ca="1" si="16"/>
        <v>0</v>
      </c>
      <c r="BE26" s="226">
        <f t="shared" ca="1" si="17"/>
        <v>576</v>
      </c>
      <c r="BF26" s="21" t="e">
        <f t="shared" ca="1" si="18"/>
        <v>#DIV/0!</v>
      </c>
      <c r="BG26" s="22" t="e">
        <f t="shared" ca="1" si="21"/>
        <v>#DIV/0!</v>
      </c>
      <c r="BH26" s="22">
        <f t="shared" ca="1" si="19"/>
        <v>48</v>
      </c>
      <c r="BJ26" s="226">
        <f t="shared" ca="1" si="22"/>
        <v>576</v>
      </c>
    </row>
    <row r="27" spans="1:62" ht="16.5" thickBot="1">
      <c r="A27" s="184" t="s">
        <v>18</v>
      </c>
      <c r="B27" s="185"/>
      <c r="C27" s="186" t="s">
        <v>0</v>
      </c>
      <c r="D27" s="187">
        <f>'01'!B160</f>
        <v>50</v>
      </c>
      <c r="E27" s="187">
        <f>SUM('01'!D160:F160)</f>
        <v>0</v>
      </c>
      <c r="F27" s="188">
        <f t="shared" si="2"/>
        <v>50</v>
      </c>
      <c r="G27" s="186" t="s">
        <v>1</v>
      </c>
      <c r="H27" s="187">
        <f>'02'!B160</f>
        <v>50</v>
      </c>
      <c r="I27" s="187">
        <f>SUM('02'!D160:F160)</f>
        <v>0</v>
      </c>
      <c r="J27" s="188">
        <f t="shared" si="3"/>
        <v>100</v>
      </c>
      <c r="K27" s="186" t="s">
        <v>2</v>
      </c>
      <c r="L27" s="187">
        <f>'03'!B160</f>
        <v>50</v>
      </c>
      <c r="M27" s="187">
        <f>SUM('03'!D160:F160)</f>
        <v>0</v>
      </c>
      <c r="N27" s="188">
        <f t="shared" si="4"/>
        <v>150</v>
      </c>
      <c r="O27" s="186" t="s">
        <v>3</v>
      </c>
      <c r="P27" s="187">
        <f>'04'!B160</f>
        <v>50</v>
      </c>
      <c r="Q27" s="187">
        <f>SUM('04'!D160:F160)</f>
        <v>0</v>
      </c>
      <c r="R27" s="188">
        <f t="shared" si="5"/>
        <v>200</v>
      </c>
      <c r="S27" s="186" t="s">
        <v>71</v>
      </c>
      <c r="T27" s="187">
        <f>'05'!B160</f>
        <v>50</v>
      </c>
      <c r="U27" s="187">
        <f>SUM('05'!D160:F160)</f>
        <v>0</v>
      </c>
      <c r="V27" s="188">
        <f t="shared" si="6"/>
        <v>250</v>
      </c>
      <c r="W27" s="186" t="s">
        <v>70</v>
      </c>
      <c r="X27" s="187">
        <f>'06'!B160</f>
        <v>50</v>
      </c>
      <c r="Y27" s="187">
        <f>SUM('06'!D160:F160)</f>
        <v>0</v>
      </c>
      <c r="Z27" s="188">
        <f t="shared" si="7"/>
        <v>300</v>
      </c>
      <c r="AA27" s="186" t="s">
        <v>72</v>
      </c>
      <c r="AB27" s="187">
        <f>'07'!B160</f>
        <v>50</v>
      </c>
      <c r="AC27" s="187">
        <f>SUM('07'!D160:F160)</f>
        <v>0</v>
      </c>
      <c r="AD27" s="188">
        <f t="shared" si="8"/>
        <v>350</v>
      </c>
      <c r="AE27" s="186" t="s">
        <v>73</v>
      </c>
      <c r="AF27" s="187">
        <f>'08'!B160</f>
        <v>50</v>
      </c>
      <c r="AG27" s="187">
        <f>SUM('08'!D160:F160)</f>
        <v>0</v>
      </c>
      <c r="AH27" s="188">
        <f t="shared" si="9"/>
        <v>400</v>
      </c>
      <c r="AI27" s="186" t="s">
        <v>76</v>
      </c>
      <c r="AJ27" s="187">
        <f>'09'!B160</f>
        <v>50</v>
      </c>
      <c r="AK27" s="187">
        <f>SUM('09'!D160:F160)</f>
        <v>0</v>
      </c>
      <c r="AL27" s="188">
        <f t="shared" si="10"/>
        <v>450</v>
      </c>
      <c r="AM27" s="186" t="s">
        <v>77</v>
      </c>
      <c r="AN27" s="187">
        <f>'10'!B160</f>
        <v>50</v>
      </c>
      <c r="AO27" s="187">
        <f>SUM('10'!D160:F160)</f>
        <v>0</v>
      </c>
      <c r="AP27" s="188">
        <f t="shared" si="11"/>
        <v>500</v>
      </c>
      <c r="AQ27" s="186" t="s">
        <v>80</v>
      </c>
      <c r="AR27" s="187">
        <f>'11'!B160</f>
        <v>50</v>
      </c>
      <c r="AS27" s="187">
        <f>SUM('11'!D160:F160)</f>
        <v>0</v>
      </c>
      <c r="AT27" s="188">
        <f t="shared" si="12"/>
        <v>550</v>
      </c>
      <c r="AU27" s="186" t="s">
        <v>84</v>
      </c>
      <c r="AV27" s="187">
        <f>'12'!B160</f>
        <v>50</v>
      </c>
      <c r="AW27" s="187">
        <f>SUM('12'!D160:F160)</f>
        <v>0</v>
      </c>
      <c r="AX27" s="188">
        <f t="shared" si="13"/>
        <v>600</v>
      </c>
      <c r="AZ27" s="189">
        <f t="shared" si="14"/>
        <v>0</v>
      </c>
      <c r="BA27" s="21" t="e">
        <f t="shared" si="15"/>
        <v>#DIV/0!</v>
      </c>
      <c r="BB27" s="22" t="e">
        <f t="shared" si="20"/>
        <v>#DIV/0!</v>
      </c>
      <c r="BC27" s="22">
        <f t="shared" ca="1" si="16"/>
        <v>0</v>
      </c>
      <c r="BE27" s="225">
        <f t="shared" ca="1" si="17"/>
        <v>600</v>
      </c>
      <c r="BF27" s="21" t="e">
        <f t="shared" ca="1" si="18"/>
        <v>#DIV/0!</v>
      </c>
      <c r="BG27" s="22" t="e">
        <f t="shared" ca="1" si="21"/>
        <v>#DIV/0!</v>
      </c>
      <c r="BH27" s="22">
        <f t="shared" ca="1" si="19"/>
        <v>50</v>
      </c>
      <c r="BJ27" s="225">
        <f t="shared" ca="1" si="22"/>
        <v>600</v>
      </c>
    </row>
    <row r="28" spans="1:62" ht="15.75">
      <c r="A28" s="164" t="s">
        <v>19</v>
      </c>
      <c r="B28" s="143"/>
      <c r="C28" s="182" t="s">
        <v>0</v>
      </c>
      <c r="D28" s="156">
        <f>'01'!B180</f>
        <v>200</v>
      </c>
      <c r="E28" s="156">
        <f>SUM('01'!D180:F180)</f>
        <v>0</v>
      </c>
      <c r="F28" s="160">
        <f t="shared" si="2"/>
        <v>200</v>
      </c>
      <c r="G28" s="182" t="s">
        <v>1</v>
      </c>
      <c r="H28" s="156">
        <f>'02'!B180</f>
        <v>200</v>
      </c>
      <c r="I28" s="156">
        <f>SUM('02'!D180:F180)</f>
        <v>0</v>
      </c>
      <c r="J28" s="160">
        <f t="shared" si="3"/>
        <v>400</v>
      </c>
      <c r="K28" s="182" t="s">
        <v>2</v>
      </c>
      <c r="L28" s="156">
        <f>'03'!B180</f>
        <v>200</v>
      </c>
      <c r="M28" s="156">
        <f>SUM('03'!D180:F180)</f>
        <v>0</v>
      </c>
      <c r="N28" s="160">
        <f t="shared" si="4"/>
        <v>600</v>
      </c>
      <c r="O28" s="182" t="s">
        <v>3</v>
      </c>
      <c r="P28" s="156">
        <f>'04'!B180</f>
        <v>200</v>
      </c>
      <c r="Q28" s="156">
        <f>SUM('04'!D180:F180)</f>
        <v>0</v>
      </c>
      <c r="R28" s="160">
        <f t="shared" si="5"/>
        <v>800</v>
      </c>
      <c r="S28" s="182" t="s">
        <v>71</v>
      </c>
      <c r="T28" s="156">
        <f>'05'!B180</f>
        <v>200</v>
      </c>
      <c r="U28" s="156">
        <f>SUM('05'!D180:F180)</f>
        <v>0</v>
      </c>
      <c r="V28" s="160">
        <f t="shared" si="6"/>
        <v>1000</v>
      </c>
      <c r="W28" s="182" t="s">
        <v>70</v>
      </c>
      <c r="X28" s="156">
        <f>'06'!B180</f>
        <v>200</v>
      </c>
      <c r="Y28" s="156">
        <f>SUM('06'!D180:F180)</f>
        <v>0</v>
      </c>
      <c r="Z28" s="160">
        <f t="shared" si="7"/>
        <v>1200</v>
      </c>
      <c r="AA28" s="182" t="s">
        <v>72</v>
      </c>
      <c r="AB28" s="156">
        <f>'07'!B180</f>
        <v>200</v>
      </c>
      <c r="AC28" s="156">
        <f>SUM('07'!D180:F180)</f>
        <v>0</v>
      </c>
      <c r="AD28" s="160">
        <f t="shared" si="8"/>
        <v>1400</v>
      </c>
      <c r="AE28" s="182" t="s">
        <v>73</v>
      </c>
      <c r="AF28" s="156">
        <f>'08'!B180</f>
        <v>200</v>
      </c>
      <c r="AG28" s="156">
        <f>SUM('08'!D180:F180)</f>
        <v>0</v>
      </c>
      <c r="AH28" s="160">
        <f t="shared" si="9"/>
        <v>1600</v>
      </c>
      <c r="AI28" s="182" t="s">
        <v>76</v>
      </c>
      <c r="AJ28" s="156">
        <f>'09'!B180</f>
        <v>200</v>
      </c>
      <c r="AK28" s="156">
        <f>SUM('09'!D180:F180)</f>
        <v>0</v>
      </c>
      <c r="AL28" s="160">
        <f t="shared" si="10"/>
        <v>1800</v>
      </c>
      <c r="AM28" s="182" t="s">
        <v>77</v>
      </c>
      <c r="AN28" s="156">
        <f>'10'!B180</f>
        <v>200</v>
      </c>
      <c r="AO28" s="156">
        <f>SUM('10'!D180:F180)</f>
        <v>0</v>
      </c>
      <c r="AP28" s="160">
        <f t="shared" si="11"/>
        <v>2000</v>
      </c>
      <c r="AQ28" s="182" t="s">
        <v>80</v>
      </c>
      <c r="AR28" s="156">
        <f>'11'!B180</f>
        <v>200</v>
      </c>
      <c r="AS28" s="156">
        <f>SUM('11'!D180:F180)</f>
        <v>0</v>
      </c>
      <c r="AT28" s="160">
        <f t="shared" si="12"/>
        <v>2200</v>
      </c>
      <c r="AU28" s="182" t="s">
        <v>84</v>
      </c>
      <c r="AV28" s="156">
        <f>'12'!B180</f>
        <v>200</v>
      </c>
      <c r="AW28" s="156">
        <f>SUM('12'!D180:F180)</f>
        <v>0</v>
      </c>
      <c r="AX28" s="160">
        <f t="shared" si="13"/>
        <v>2400</v>
      </c>
      <c r="AZ28" s="183">
        <f t="shared" ref="AZ28:AZ45" si="23">E28+I28+M28+Q28+U28+Y28+AC28+AG28+AK28+AO28+AS28+AW28</f>
        <v>0</v>
      </c>
      <c r="BA28" s="21" t="e">
        <f t="shared" si="15"/>
        <v>#DIV/0!</v>
      </c>
      <c r="BB28" s="22" t="e">
        <f t="shared" si="20"/>
        <v>#DIV/0!</v>
      </c>
      <c r="BC28" s="22">
        <f t="shared" ca="1" si="16"/>
        <v>0</v>
      </c>
      <c r="BE28" s="224">
        <f t="shared" ca="1" si="17"/>
        <v>2400</v>
      </c>
      <c r="BF28" s="21" t="e">
        <f t="shared" ca="1" si="18"/>
        <v>#DIV/0!</v>
      </c>
      <c r="BG28" s="22" t="e">
        <f t="shared" ca="1" si="21"/>
        <v>#DIV/0!</v>
      </c>
      <c r="BH28" s="22">
        <f t="shared" ca="1" si="19"/>
        <v>200</v>
      </c>
      <c r="BJ28" s="224">
        <f t="shared" ca="1" si="22"/>
        <v>2400</v>
      </c>
    </row>
    <row r="29" spans="1:62" ht="15.75">
      <c r="A29" s="147" t="s">
        <v>20</v>
      </c>
      <c r="B29" s="148"/>
      <c r="C29" s="149" t="s">
        <v>0</v>
      </c>
      <c r="D29" s="150">
        <f>'01'!B200</f>
        <v>70</v>
      </c>
      <c r="E29" s="151">
        <f>SUM('01'!D200:F200)</f>
        <v>0</v>
      </c>
      <c r="F29" s="161">
        <f t="shared" si="2"/>
        <v>70</v>
      </c>
      <c r="G29" s="149" t="s">
        <v>1</v>
      </c>
      <c r="H29" s="150">
        <f>'02'!B200</f>
        <v>70</v>
      </c>
      <c r="I29" s="151">
        <f>SUM('02'!D200:F200)</f>
        <v>0</v>
      </c>
      <c r="J29" s="161">
        <f t="shared" si="3"/>
        <v>140</v>
      </c>
      <c r="K29" s="149" t="s">
        <v>2</v>
      </c>
      <c r="L29" s="150">
        <f>'03'!B200</f>
        <v>70</v>
      </c>
      <c r="M29" s="151">
        <f>SUM('03'!D200:F200)</f>
        <v>0</v>
      </c>
      <c r="N29" s="161">
        <f t="shared" si="4"/>
        <v>210</v>
      </c>
      <c r="O29" s="149" t="s">
        <v>3</v>
      </c>
      <c r="P29" s="150">
        <f>'04'!B200</f>
        <v>70</v>
      </c>
      <c r="Q29" s="151">
        <f>SUM('04'!D200:F200)</f>
        <v>0</v>
      </c>
      <c r="R29" s="161">
        <f t="shared" si="5"/>
        <v>280</v>
      </c>
      <c r="S29" s="149" t="s">
        <v>71</v>
      </c>
      <c r="T29" s="150">
        <f>'05'!B200</f>
        <v>70</v>
      </c>
      <c r="U29" s="151">
        <f>SUM('05'!D200:F200)</f>
        <v>0</v>
      </c>
      <c r="V29" s="161">
        <f t="shared" si="6"/>
        <v>350</v>
      </c>
      <c r="W29" s="149" t="s">
        <v>70</v>
      </c>
      <c r="X29" s="150">
        <f>'06'!B200</f>
        <v>70</v>
      </c>
      <c r="Y29" s="151">
        <f>SUM('06'!D200:F200)</f>
        <v>0</v>
      </c>
      <c r="Z29" s="161">
        <f t="shared" si="7"/>
        <v>420</v>
      </c>
      <c r="AA29" s="149" t="s">
        <v>72</v>
      </c>
      <c r="AB29" s="150">
        <f>'07'!B200</f>
        <v>70</v>
      </c>
      <c r="AC29" s="151">
        <f>SUM('07'!D200:F200)</f>
        <v>0</v>
      </c>
      <c r="AD29" s="161">
        <f t="shared" si="8"/>
        <v>490</v>
      </c>
      <c r="AE29" s="149" t="s">
        <v>73</v>
      </c>
      <c r="AF29" s="150">
        <f>'08'!B200</f>
        <v>70</v>
      </c>
      <c r="AG29" s="151">
        <f>SUM('08'!D200:F200)</f>
        <v>0</v>
      </c>
      <c r="AH29" s="161">
        <f t="shared" si="9"/>
        <v>560</v>
      </c>
      <c r="AI29" s="149" t="s">
        <v>76</v>
      </c>
      <c r="AJ29" s="150">
        <f>'09'!B200</f>
        <v>70</v>
      </c>
      <c r="AK29" s="151">
        <f>SUM('09'!D200:F200)</f>
        <v>0</v>
      </c>
      <c r="AL29" s="161">
        <f t="shared" si="10"/>
        <v>630</v>
      </c>
      <c r="AM29" s="149" t="s">
        <v>77</v>
      </c>
      <c r="AN29" s="150">
        <f>'10'!B200</f>
        <v>70</v>
      </c>
      <c r="AO29" s="151">
        <f>SUM('10'!D200:F200)</f>
        <v>0</v>
      </c>
      <c r="AP29" s="161">
        <f t="shared" si="11"/>
        <v>700</v>
      </c>
      <c r="AQ29" s="149" t="s">
        <v>80</v>
      </c>
      <c r="AR29" s="150">
        <f>'11'!B200</f>
        <v>70</v>
      </c>
      <c r="AS29" s="151">
        <f>SUM('11'!D200:F200)</f>
        <v>0</v>
      </c>
      <c r="AT29" s="161">
        <f t="shared" si="12"/>
        <v>770</v>
      </c>
      <c r="AU29" s="149" t="s">
        <v>84</v>
      </c>
      <c r="AV29" s="150">
        <f>'12'!B200</f>
        <v>70</v>
      </c>
      <c r="AW29" s="151">
        <f>SUM('12'!D200:F200)</f>
        <v>0</v>
      </c>
      <c r="AX29" s="161">
        <f t="shared" si="13"/>
        <v>840</v>
      </c>
      <c r="AZ29" s="153">
        <f t="shared" si="23"/>
        <v>0</v>
      </c>
      <c r="BA29" s="21" t="e">
        <f t="shared" si="15"/>
        <v>#DIV/0!</v>
      </c>
      <c r="BB29" s="22" t="e">
        <f t="shared" si="20"/>
        <v>#DIV/0!</v>
      </c>
      <c r="BC29" s="22">
        <f t="shared" ca="1" si="16"/>
        <v>0</v>
      </c>
      <c r="BE29" s="225">
        <f t="shared" ca="1" si="17"/>
        <v>840</v>
      </c>
      <c r="BF29" s="21" t="e">
        <f t="shared" ca="1" si="18"/>
        <v>#DIV/0!</v>
      </c>
      <c r="BG29" s="22" t="e">
        <f t="shared" ca="1" si="21"/>
        <v>#DIV/0!</v>
      </c>
      <c r="BH29" s="22">
        <f t="shared" ca="1" si="19"/>
        <v>70</v>
      </c>
      <c r="BJ29" s="225">
        <f t="shared" ca="1" si="22"/>
        <v>840</v>
      </c>
    </row>
    <row r="30" spans="1:62" ht="15.75">
      <c r="A30" s="154" t="s">
        <v>21</v>
      </c>
      <c r="B30" s="155"/>
      <c r="C30" s="144" t="s">
        <v>0</v>
      </c>
      <c r="D30" s="156">
        <f>'01'!B220</f>
        <v>35</v>
      </c>
      <c r="E30" s="156">
        <f>SUM('01'!D220:F220)</f>
        <v>0</v>
      </c>
      <c r="F30" s="162">
        <f t="shared" si="2"/>
        <v>35</v>
      </c>
      <c r="G30" s="144" t="s">
        <v>1</v>
      </c>
      <c r="H30" s="156">
        <f>'02'!B220</f>
        <v>35</v>
      </c>
      <c r="I30" s="156">
        <f>SUM('02'!D220:F220)</f>
        <v>0</v>
      </c>
      <c r="J30" s="162">
        <f t="shared" si="3"/>
        <v>70</v>
      </c>
      <c r="K30" s="144" t="s">
        <v>2</v>
      </c>
      <c r="L30" s="156">
        <f>'03'!B220</f>
        <v>35</v>
      </c>
      <c r="M30" s="156">
        <f>SUM('03'!D220:F220)</f>
        <v>0</v>
      </c>
      <c r="N30" s="162">
        <f t="shared" si="4"/>
        <v>105</v>
      </c>
      <c r="O30" s="144" t="s">
        <v>3</v>
      </c>
      <c r="P30" s="156">
        <f>'04'!B220</f>
        <v>35</v>
      </c>
      <c r="Q30" s="156">
        <f>SUM('04'!D220:F220)</f>
        <v>0</v>
      </c>
      <c r="R30" s="162">
        <f t="shared" si="5"/>
        <v>140</v>
      </c>
      <c r="S30" s="144" t="s">
        <v>71</v>
      </c>
      <c r="T30" s="156">
        <f>'05'!B220</f>
        <v>35</v>
      </c>
      <c r="U30" s="156">
        <f>SUM('05'!D220:F220)</f>
        <v>0</v>
      </c>
      <c r="V30" s="162">
        <f t="shared" si="6"/>
        <v>175</v>
      </c>
      <c r="W30" s="144" t="s">
        <v>70</v>
      </c>
      <c r="X30" s="156">
        <f>'06'!B220</f>
        <v>35</v>
      </c>
      <c r="Y30" s="156">
        <f>SUM('06'!D220:F220)</f>
        <v>0</v>
      </c>
      <c r="Z30" s="162">
        <f t="shared" si="7"/>
        <v>210</v>
      </c>
      <c r="AA30" s="144" t="s">
        <v>72</v>
      </c>
      <c r="AB30" s="156">
        <f>'07'!B220</f>
        <v>35</v>
      </c>
      <c r="AC30" s="156">
        <f>SUM('07'!D220:F220)</f>
        <v>0</v>
      </c>
      <c r="AD30" s="162">
        <f t="shared" si="8"/>
        <v>245</v>
      </c>
      <c r="AE30" s="144" t="s">
        <v>73</v>
      </c>
      <c r="AF30" s="156">
        <f>'08'!B220</f>
        <v>35</v>
      </c>
      <c r="AG30" s="156">
        <f>SUM('08'!D220:F220)</f>
        <v>0</v>
      </c>
      <c r="AH30" s="162">
        <f t="shared" si="9"/>
        <v>280</v>
      </c>
      <c r="AI30" s="144" t="s">
        <v>76</v>
      </c>
      <c r="AJ30" s="156">
        <f>'09'!B220</f>
        <v>35</v>
      </c>
      <c r="AK30" s="156">
        <f>SUM('09'!D220:F220)</f>
        <v>0</v>
      </c>
      <c r="AL30" s="162">
        <f t="shared" si="10"/>
        <v>315</v>
      </c>
      <c r="AM30" s="144" t="s">
        <v>77</v>
      </c>
      <c r="AN30" s="156">
        <f>'10'!B220</f>
        <v>35</v>
      </c>
      <c r="AO30" s="156">
        <f>SUM('10'!D220:F220)</f>
        <v>0</v>
      </c>
      <c r="AP30" s="162">
        <f t="shared" si="11"/>
        <v>350</v>
      </c>
      <c r="AQ30" s="144" t="s">
        <v>80</v>
      </c>
      <c r="AR30" s="156">
        <f>'11'!B220</f>
        <v>35</v>
      </c>
      <c r="AS30" s="156">
        <f>SUM('11'!D220:F220)</f>
        <v>0</v>
      </c>
      <c r="AT30" s="162">
        <f t="shared" si="12"/>
        <v>385</v>
      </c>
      <c r="AU30" s="144" t="s">
        <v>84</v>
      </c>
      <c r="AV30" s="156">
        <f>'12'!B220</f>
        <v>35</v>
      </c>
      <c r="AW30" s="156">
        <f>SUM('12'!D220:F220)</f>
        <v>0</v>
      </c>
      <c r="AX30" s="162">
        <f t="shared" si="13"/>
        <v>420</v>
      </c>
      <c r="AZ30" s="158">
        <f t="shared" si="23"/>
        <v>0</v>
      </c>
      <c r="BA30" s="21" t="e">
        <f t="shared" si="15"/>
        <v>#DIV/0!</v>
      </c>
      <c r="BB30" s="22" t="e">
        <f t="shared" si="20"/>
        <v>#DIV/0!</v>
      </c>
      <c r="BC30" s="22">
        <f t="shared" ca="1" si="16"/>
        <v>0</v>
      </c>
      <c r="BE30" s="226">
        <f t="shared" ca="1" si="17"/>
        <v>420</v>
      </c>
      <c r="BF30" s="21" t="e">
        <f t="shared" ca="1" si="18"/>
        <v>#DIV/0!</v>
      </c>
      <c r="BG30" s="22" t="e">
        <f t="shared" ca="1" si="21"/>
        <v>#DIV/0!</v>
      </c>
      <c r="BH30" s="22">
        <f t="shared" ca="1" si="19"/>
        <v>35</v>
      </c>
      <c r="BJ30" s="226">
        <f t="shared" ca="1" si="22"/>
        <v>420</v>
      </c>
    </row>
    <row r="31" spans="1:62" ht="15.75">
      <c r="A31" s="147" t="s">
        <v>22</v>
      </c>
      <c r="B31" s="148"/>
      <c r="C31" s="149" t="s">
        <v>0</v>
      </c>
      <c r="D31" s="150">
        <f>'01'!B240</f>
        <v>20</v>
      </c>
      <c r="E31" s="151">
        <f>SUM('01'!D240:F240)</f>
        <v>0</v>
      </c>
      <c r="F31" s="161">
        <f t="shared" si="2"/>
        <v>20</v>
      </c>
      <c r="G31" s="149" t="s">
        <v>1</v>
      </c>
      <c r="H31" s="150">
        <f>'02'!B240</f>
        <v>20</v>
      </c>
      <c r="I31" s="151">
        <f>SUM('02'!D240:F240)</f>
        <v>0</v>
      </c>
      <c r="J31" s="161">
        <f t="shared" si="3"/>
        <v>40</v>
      </c>
      <c r="K31" s="149" t="s">
        <v>2</v>
      </c>
      <c r="L31" s="150">
        <f>'03'!B240</f>
        <v>20</v>
      </c>
      <c r="M31" s="151">
        <f>SUM('03'!D240:F240)</f>
        <v>0</v>
      </c>
      <c r="N31" s="161">
        <f t="shared" si="4"/>
        <v>60</v>
      </c>
      <c r="O31" s="149" t="s">
        <v>3</v>
      </c>
      <c r="P31" s="150">
        <f>'04'!B240</f>
        <v>20</v>
      </c>
      <c r="Q31" s="151">
        <f>SUM('04'!D240:F240)</f>
        <v>0</v>
      </c>
      <c r="R31" s="161">
        <f t="shared" si="5"/>
        <v>80</v>
      </c>
      <c r="S31" s="149" t="s">
        <v>71</v>
      </c>
      <c r="T31" s="150">
        <f>'05'!B240</f>
        <v>20</v>
      </c>
      <c r="U31" s="151">
        <f>SUM('05'!D240:F240)</f>
        <v>0</v>
      </c>
      <c r="V31" s="161">
        <f t="shared" si="6"/>
        <v>100</v>
      </c>
      <c r="W31" s="149" t="s">
        <v>70</v>
      </c>
      <c r="X31" s="150">
        <f>'06'!B240</f>
        <v>20</v>
      </c>
      <c r="Y31" s="151">
        <f>SUM('06'!D240:F240)</f>
        <v>0</v>
      </c>
      <c r="Z31" s="161">
        <f t="shared" si="7"/>
        <v>120</v>
      </c>
      <c r="AA31" s="149" t="s">
        <v>72</v>
      </c>
      <c r="AB31" s="150">
        <f>'07'!B240</f>
        <v>20</v>
      </c>
      <c r="AC31" s="151">
        <f>SUM('07'!D240:F240)</f>
        <v>0</v>
      </c>
      <c r="AD31" s="161">
        <f t="shared" si="8"/>
        <v>140</v>
      </c>
      <c r="AE31" s="149" t="s">
        <v>73</v>
      </c>
      <c r="AF31" s="150">
        <f>'08'!B240</f>
        <v>20</v>
      </c>
      <c r="AG31" s="151">
        <f>SUM('08'!D240:F240)</f>
        <v>0</v>
      </c>
      <c r="AH31" s="161">
        <f t="shared" si="9"/>
        <v>160</v>
      </c>
      <c r="AI31" s="149" t="s">
        <v>76</v>
      </c>
      <c r="AJ31" s="150">
        <f>'09'!B240</f>
        <v>20</v>
      </c>
      <c r="AK31" s="151">
        <f>SUM('09'!D240:F240)</f>
        <v>0</v>
      </c>
      <c r="AL31" s="161">
        <f t="shared" si="10"/>
        <v>180</v>
      </c>
      <c r="AM31" s="149" t="s">
        <v>77</v>
      </c>
      <c r="AN31" s="150">
        <f>'10'!B240</f>
        <v>20</v>
      </c>
      <c r="AO31" s="151">
        <f>SUM('10'!D240:F240)</f>
        <v>0</v>
      </c>
      <c r="AP31" s="161">
        <f t="shared" si="11"/>
        <v>200</v>
      </c>
      <c r="AQ31" s="149" t="s">
        <v>80</v>
      </c>
      <c r="AR31" s="150">
        <f>'11'!B240</f>
        <v>20</v>
      </c>
      <c r="AS31" s="151">
        <f>SUM('11'!D240:F240)</f>
        <v>0</v>
      </c>
      <c r="AT31" s="161">
        <f t="shared" si="12"/>
        <v>220</v>
      </c>
      <c r="AU31" s="149" t="s">
        <v>84</v>
      </c>
      <c r="AV31" s="150">
        <f>'12'!B240</f>
        <v>20</v>
      </c>
      <c r="AW31" s="151">
        <f>SUM('12'!D240:F240)</f>
        <v>0</v>
      </c>
      <c r="AX31" s="161">
        <f t="shared" si="13"/>
        <v>240</v>
      </c>
      <c r="AZ31" s="153">
        <f t="shared" si="23"/>
        <v>0</v>
      </c>
      <c r="BA31" s="21" t="e">
        <f t="shared" si="15"/>
        <v>#DIV/0!</v>
      </c>
      <c r="BB31" s="22" t="e">
        <f t="shared" si="20"/>
        <v>#DIV/0!</v>
      </c>
      <c r="BC31" s="22">
        <f t="shared" ca="1" si="16"/>
        <v>0</v>
      </c>
      <c r="BE31" s="225">
        <f t="shared" ca="1" si="17"/>
        <v>240</v>
      </c>
      <c r="BF31" s="21" t="e">
        <f t="shared" ca="1" si="18"/>
        <v>#DIV/0!</v>
      </c>
      <c r="BG31" s="22" t="e">
        <f t="shared" ca="1" si="21"/>
        <v>#DIV/0!</v>
      </c>
      <c r="BH31" s="22">
        <f t="shared" ca="1" si="19"/>
        <v>20</v>
      </c>
      <c r="BJ31" s="225">
        <f t="shared" ca="1" si="22"/>
        <v>240</v>
      </c>
    </row>
    <row r="32" spans="1:62" ht="15.75">
      <c r="A32" s="154" t="s">
        <v>152</v>
      </c>
      <c r="B32" s="155"/>
      <c r="C32" s="144" t="s">
        <v>0</v>
      </c>
      <c r="D32" s="156">
        <f>'01'!B260</f>
        <v>50</v>
      </c>
      <c r="E32" s="156">
        <f>SUM('01'!D260:F260)</f>
        <v>0</v>
      </c>
      <c r="F32" s="162">
        <f t="shared" si="2"/>
        <v>50</v>
      </c>
      <c r="G32" s="144" t="s">
        <v>1</v>
      </c>
      <c r="H32" s="156">
        <f>'02'!B260</f>
        <v>50</v>
      </c>
      <c r="I32" s="156">
        <f>SUM('02'!D260:F260)</f>
        <v>0</v>
      </c>
      <c r="J32" s="162">
        <f t="shared" si="3"/>
        <v>100</v>
      </c>
      <c r="K32" s="144" t="s">
        <v>2</v>
      </c>
      <c r="L32" s="156">
        <f>'03'!B260</f>
        <v>50</v>
      </c>
      <c r="M32" s="156">
        <f>SUM('03'!D260:F260)</f>
        <v>0</v>
      </c>
      <c r="N32" s="162">
        <f t="shared" si="4"/>
        <v>150</v>
      </c>
      <c r="O32" s="144" t="s">
        <v>3</v>
      </c>
      <c r="P32" s="156">
        <f>'04'!B260</f>
        <v>50</v>
      </c>
      <c r="Q32" s="156">
        <f>SUM('04'!D260:F260)</f>
        <v>0</v>
      </c>
      <c r="R32" s="162">
        <f t="shared" si="5"/>
        <v>200</v>
      </c>
      <c r="S32" s="144" t="s">
        <v>71</v>
      </c>
      <c r="T32" s="156">
        <f>'05'!B260</f>
        <v>50</v>
      </c>
      <c r="U32" s="156">
        <f>SUM('05'!D260:F260)</f>
        <v>0</v>
      </c>
      <c r="V32" s="162">
        <f t="shared" si="6"/>
        <v>250</v>
      </c>
      <c r="W32" s="144" t="s">
        <v>70</v>
      </c>
      <c r="X32" s="156">
        <f>'06'!B260</f>
        <v>50</v>
      </c>
      <c r="Y32" s="156">
        <f>SUM('06'!D260:F260)</f>
        <v>0</v>
      </c>
      <c r="Z32" s="162">
        <f t="shared" si="7"/>
        <v>300</v>
      </c>
      <c r="AA32" s="144" t="s">
        <v>72</v>
      </c>
      <c r="AB32" s="156">
        <f>'07'!B260</f>
        <v>50</v>
      </c>
      <c r="AC32" s="156">
        <f>SUM('07'!D260:F260)</f>
        <v>0</v>
      </c>
      <c r="AD32" s="162">
        <f t="shared" si="8"/>
        <v>350</v>
      </c>
      <c r="AE32" s="144" t="s">
        <v>73</v>
      </c>
      <c r="AF32" s="156">
        <f>'08'!B260</f>
        <v>50</v>
      </c>
      <c r="AG32" s="156">
        <f>SUM('08'!D260:F260)</f>
        <v>0</v>
      </c>
      <c r="AH32" s="162">
        <f t="shared" si="9"/>
        <v>400</v>
      </c>
      <c r="AI32" s="144" t="s">
        <v>76</v>
      </c>
      <c r="AJ32" s="156">
        <f>'09'!B260</f>
        <v>50</v>
      </c>
      <c r="AK32" s="156">
        <f>SUM('09'!D260:F260)</f>
        <v>0</v>
      </c>
      <c r="AL32" s="162">
        <f t="shared" si="10"/>
        <v>450</v>
      </c>
      <c r="AM32" s="144" t="s">
        <v>77</v>
      </c>
      <c r="AN32" s="156">
        <f>'10'!B260</f>
        <v>50</v>
      </c>
      <c r="AO32" s="156">
        <f>SUM('10'!D260:F260)</f>
        <v>0</v>
      </c>
      <c r="AP32" s="162">
        <f t="shared" si="11"/>
        <v>500</v>
      </c>
      <c r="AQ32" s="144" t="s">
        <v>80</v>
      </c>
      <c r="AR32" s="156">
        <f>'11'!B260</f>
        <v>50</v>
      </c>
      <c r="AS32" s="156">
        <f>SUM('11'!D260:F260)</f>
        <v>0</v>
      </c>
      <c r="AT32" s="162">
        <f t="shared" si="12"/>
        <v>550</v>
      </c>
      <c r="AU32" s="144" t="s">
        <v>84</v>
      </c>
      <c r="AV32" s="156">
        <f>'12'!B260</f>
        <v>50</v>
      </c>
      <c r="AW32" s="156">
        <f>SUM('12'!D260:F260)</f>
        <v>0</v>
      </c>
      <c r="AX32" s="162">
        <f t="shared" si="13"/>
        <v>600</v>
      </c>
      <c r="AZ32" s="158">
        <f t="shared" si="23"/>
        <v>0</v>
      </c>
      <c r="BA32" s="21" t="e">
        <f t="shared" si="15"/>
        <v>#DIV/0!</v>
      </c>
      <c r="BB32" s="22" t="e">
        <f t="shared" si="20"/>
        <v>#DIV/0!</v>
      </c>
      <c r="BC32" s="22">
        <f t="shared" ca="1" si="16"/>
        <v>0</v>
      </c>
      <c r="BE32" s="226">
        <f t="shared" ca="1" si="17"/>
        <v>600</v>
      </c>
      <c r="BF32" s="21" t="e">
        <f t="shared" ca="1" si="18"/>
        <v>#DIV/0!</v>
      </c>
      <c r="BG32" s="22" t="e">
        <f t="shared" ca="1" si="21"/>
        <v>#DIV/0!</v>
      </c>
      <c r="BH32" s="22">
        <f t="shared" ca="1" si="19"/>
        <v>50</v>
      </c>
      <c r="BJ32" s="226">
        <f t="shared" ca="1" si="22"/>
        <v>600</v>
      </c>
    </row>
    <row r="33" spans="1:62" ht="15.75">
      <c r="A33" s="147" t="s">
        <v>85</v>
      </c>
      <c r="B33" s="148"/>
      <c r="C33" s="149" t="s">
        <v>0</v>
      </c>
      <c r="D33" s="150">
        <f>'01'!B280</f>
        <v>50</v>
      </c>
      <c r="E33" s="151">
        <f>SUM('01'!D280:F280)</f>
        <v>0</v>
      </c>
      <c r="F33" s="161">
        <f t="shared" si="2"/>
        <v>50</v>
      </c>
      <c r="G33" s="149" t="s">
        <v>1</v>
      </c>
      <c r="H33" s="150">
        <f>'02'!B280</f>
        <v>50</v>
      </c>
      <c r="I33" s="151">
        <f>SUM('02'!D280:F280)</f>
        <v>0</v>
      </c>
      <c r="J33" s="161">
        <f t="shared" si="3"/>
        <v>100</v>
      </c>
      <c r="K33" s="149" t="s">
        <v>2</v>
      </c>
      <c r="L33" s="150">
        <f>'03'!B280</f>
        <v>50</v>
      </c>
      <c r="M33" s="151">
        <f>SUM('03'!D280:F280)</f>
        <v>0</v>
      </c>
      <c r="N33" s="161">
        <f t="shared" si="4"/>
        <v>150</v>
      </c>
      <c r="O33" s="149" t="s">
        <v>3</v>
      </c>
      <c r="P33" s="150">
        <f>'04'!B280</f>
        <v>50</v>
      </c>
      <c r="Q33" s="151">
        <f>SUM('04'!D280:F280)</f>
        <v>0</v>
      </c>
      <c r="R33" s="161">
        <f t="shared" si="5"/>
        <v>200</v>
      </c>
      <c r="S33" s="149" t="s">
        <v>71</v>
      </c>
      <c r="T33" s="150">
        <f>'05'!B280</f>
        <v>50</v>
      </c>
      <c r="U33" s="151">
        <f>SUM('05'!D280:F280)</f>
        <v>0</v>
      </c>
      <c r="V33" s="161">
        <f t="shared" si="6"/>
        <v>250</v>
      </c>
      <c r="W33" s="149" t="s">
        <v>70</v>
      </c>
      <c r="X33" s="150">
        <f>'06'!B280</f>
        <v>50</v>
      </c>
      <c r="Y33" s="151">
        <f>SUM('06'!D280:F280)</f>
        <v>0</v>
      </c>
      <c r="Z33" s="161">
        <f t="shared" si="7"/>
        <v>300</v>
      </c>
      <c r="AA33" s="149" t="s">
        <v>72</v>
      </c>
      <c r="AB33" s="150">
        <f>'07'!B280</f>
        <v>50</v>
      </c>
      <c r="AC33" s="151">
        <f>SUM('07'!D280:F280)</f>
        <v>0</v>
      </c>
      <c r="AD33" s="161">
        <f t="shared" si="8"/>
        <v>350</v>
      </c>
      <c r="AE33" s="149" t="s">
        <v>73</v>
      </c>
      <c r="AF33" s="150">
        <f>'08'!B280</f>
        <v>50</v>
      </c>
      <c r="AG33" s="151">
        <f>SUM('08'!D280:F280)</f>
        <v>0</v>
      </c>
      <c r="AH33" s="161">
        <f t="shared" si="9"/>
        <v>400</v>
      </c>
      <c r="AI33" s="149" t="s">
        <v>76</v>
      </c>
      <c r="AJ33" s="150">
        <f>'09'!B280</f>
        <v>50</v>
      </c>
      <c r="AK33" s="151">
        <f>SUM('09'!D280:F280)</f>
        <v>0</v>
      </c>
      <c r="AL33" s="161">
        <f t="shared" si="10"/>
        <v>450</v>
      </c>
      <c r="AM33" s="149" t="s">
        <v>77</v>
      </c>
      <c r="AN33" s="150">
        <f>'10'!B280</f>
        <v>50</v>
      </c>
      <c r="AO33" s="151">
        <f>SUM('10'!D280:F280)</f>
        <v>0</v>
      </c>
      <c r="AP33" s="161">
        <f t="shared" si="11"/>
        <v>500</v>
      </c>
      <c r="AQ33" s="149" t="s">
        <v>80</v>
      </c>
      <c r="AR33" s="150">
        <f>'11'!B280</f>
        <v>50</v>
      </c>
      <c r="AS33" s="151">
        <f>SUM('11'!D280:F280)</f>
        <v>0</v>
      </c>
      <c r="AT33" s="161">
        <f t="shared" si="12"/>
        <v>550</v>
      </c>
      <c r="AU33" s="149" t="s">
        <v>84</v>
      </c>
      <c r="AV33" s="150">
        <f>'12'!B280</f>
        <v>50</v>
      </c>
      <c r="AW33" s="151">
        <f>SUM('12'!D280:F280)</f>
        <v>0</v>
      </c>
      <c r="AX33" s="161">
        <f t="shared" si="13"/>
        <v>600</v>
      </c>
      <c r="AZ33" s="153">
        <f t="shared" si="23"/>
        <v>0</v>
      </c>
      <c r="BA33" s="21" t="e">
        <f t="shared" si="15"/>
        <v>#DIV/0!</v>
      </c>
      <c r="BB33" s="22" t="e">
        <f t="shared" si="20"/>
        <v>#DIV/0!</v>
      </c>
      <c r="BC33" s="22">
        <f t="shared" ca="1" si="16"/>
        <v>0</v>
      </c>
      <c r="BE33" s="225">
        <f t="shared" ca="1" si="17"/>
        <v>600</v>
      </c>
      <c r="BF33" s="21" t="e">
        <f t="shared" ca="1" si="18"/>
        <v>#DIV/0!</v>
      </c>
      <c r="BG33" s="22" t="e">
        <f t="shared" ca="1" si="21"/>
        <v>#DIV/0!</v>
      </c>
      <c r="BH33" s="22">
        <f t="shared" ca="1" si="19"/>
        <v>50</v>
      </c>
      <c r="BJ33" s="225">
        <f t="shared" ca="1" si="22"/>
        <v>600</v>
      </c>
    </row>
    <row r="34" spans="1:62" ht="15.75">
      <c r="A34" s="154" t="s">
        <v>23</v>
      </c>
      <c r="B34" s="155"/>
      <c r="C34" s="144" t="s">
        <v>0</v>
      </c>
      <c r="D34" s="156">
        <f>'01'!B300</f>
        <v>90</v>
      </c>
      <c r="E34" s="156">
        <f>SUM('01'!D300:F300)</f>
        <v>0</v>
      </c>
      <c r="F34" s="162">
        <f t="shared" si="2"/>
        <v>90</v>
      </c>
      <c r="G34" s="144" t="s">
        <v>1</v>
      </c>
      <c r="H34" s="156">
        <f>'02'!B300</f>
        <v>90</v>
      </c>
      <c r="I34" s="156">
        <f>SUM('02'!D300:F300)</f>
        <v>0</v>
      </c>
      <c r="J34" s="162">
        <f t="shared" si="3"/>
        <v>180</v>
      </c>
      <c r="K34" s="144" t="s">
        <v>2</v>
      </c>
      <c r="L34" s="156">
        <f>'03'!B300</f>
        <v>90</v>
      </c>
      <c r="M34" s="156">
        <f>SUM('03'!D300:F300)</f>
        <v>0</v>
      </c>
      <c r="N34" s="162">
        <f t="shared" si="4"/>
        <v>270</v>
      </c>
      <c r="O34" s="144" t="s">
        <v>3</v>
      </c>
      <c r="P34" s="156">
        <f>'04'!B300</f>
        <v>90</v>
      </c>
      <c r="Q34" s="156">
        <f>SUM('04'!D300:F300)</f>
        <v>0</v>
      </c>
      <c r="R34" s="162">
        <f t="shared" si="5"/>
        <v>360</v>
      </c>
      <c r="S34" s="144" t="s">
        <v>71</v>
      </c>
      <c r="T34" s="156">
        <f>'05'!B300</f>
        <v>90</v>
      </c>
      <c r="U34" s="156">
        <f>SUM('05'!D300:F300)</f>
        <v>0</v>
      </c>
      <c r="V34" s="162">
        <f t="shared" si="6"/>
        <v>450</v>
      </c>
      <c r="W34" s="144" t="s">
        <v>70</v>
      </c>
      <c r="X34" s="156">
        <f>'06'!B300</f>
        <v>90</v>
      </c>
      <c r="Y34" s="156">
        <f>SUM('06'!D300:F300)</f>
        <v>0</v>
      </c>
      <c r="Z34" s="162">
        <f t="shared" si="7"/>
        <v>540</v>
      </c>
      <c r="AA34" s="144" t="s">
        <v>72</v>
      </c>
      <c r="AB34" s="156">
        <f>'07'!B300</f>
        <v>90</v>
      </c>
      <c r="AC34" s="156">
        <f>SUM('07'!D300:F300)</f>
        <v>0</v>
      </c>
      <c r="AD34" s="162">
        <f t="shared" si="8"/>
        <v>630</v>
      </c>
      <c r="AE34" s="144" t="s">
        <v>73</v>
      </c>
      <c r="AF34" s="156">
        <f>'08'!B300</f>
        <v>90</v>
      </c>
      <c r="AG34" s="156">
        <f>SUM('08'!D300:F300)</f>
        <v>0</v>
      </c>
      <c r="AH34" s="162">
        <f t="shared" si="9"/>
        <v>720</v>
      </c>
      <c r="AI34" s="144" t="s">
        <v>76</v>
      </c>
      <c r="AJ34" s="156">
        <f>'09'!B300</f>
        <v>90</v>
      </c>
      <c r="AK34" s="156">
        <f>SUM('09'!D300:F300)</f>
        <v>0</v>
      </c>
      <c r="AL34" s="162">
        <f t="shared" si="10"/>
        <v>810</v>
      </c>
      <c r="AM34" s="144" t="s">
        <v>77</v>
      </c>
      <c r="AN34" s="156">
        <f>'10'!B300</f>
        <v>90</v>
      </c>
      <c r="AO34" s="156">
        <f>SUM('10'!D300:F300)</f>
        <v>0</v>
      </c>
      <c r="AP34" s="162">
        <f t="shared" si="11"/>
        <v>900</v>
      </c>
      <c r="AQ34" s="144" t="s">
        <v>80</v>
      </c>
      <c r="AR34" s="156">
        <f>'11'!B300</f>
        <v>90</v>
      </c>
      <c r="AS34" s="156">
        <f>SUM('11'!D300:F300)</f>
        <v>0</v>
      </c>
      <c r="AT34" s="162">
        <f t="shared" si="12"/>
        <v>990</v>
      </c>
      <c r="AU34" s="144" t="s">
        <v>84</v>
      </c>
      <c r="AV34" s="156">
        <f>'12'!B300</f>
        <v>90</v>
      </c>
      <c r="AW34" s="156">
        <f>SUM('12'!D300:F300)</f>
        <v>0</v>
      </c>
      <c r="AX34" s="162">
        <f t="shared" si="13"/>
        <v>1080</v>
      </c>
      <c r="AZ34" s="153">
        <f t="shared" si="23"/>
        <v>0</v>
      </c>
      <c r="BA34" s="21" t="e">
        <f t="shared" si="15"/>
        <v>#DIV/0!</v>
      </c>
      <c r="BB34" s="22" t="e">
        <f t="shared" si="20"/>
        <v>#DIV/0!</v>
      </c>
      <c r="BC34" s="22">
        <f t="shared" ca="1" si="16"/>
        <v>0</v>
      </c>
      <c r="BE34" s="226">
        <f t="shared" ca="1" si="17"/>
        <v>1080</v>
      </c>
      <c r="BF34" s="21" t="e">
        <f t="shared" ca="1" si="18"/>
        <v>#DIV/0!</v>
      </c>
      <c r="BG34" s="22" t="e">
        <f t="shared" ca="1" si="21"/>
        <v>#DIV/0!</v>
      </c>
      <c r="BH34" s="22">
        <f t="shared" ca="1" si="19"/>
        <v>90</v>
      </c>
      <c r="BJ34" s="226">
        <f t="shared" ca="1" si="22"/>
        <v>1080</v>
      </c>
    </row>
    <row r="35" spans="1:62" ht="16.5" thickBot="1">
      <c r="A35" s="184" t="s">
        <v>86</v>
      </c>
      <c r="B35" s="185"/>
      <c r="C35" s="186" t="s">
        <v>0</v>
      </c>
      <c r="D35" s="187">
        <f>'01'!B320</f>
        <v>115</v>
      </c>
      <c r="E35" s="187">
        <f>SUM('01'!D320:F320)</f>
        <v>0</v>
      </c>
      <c r="F35" s="188">
        <f t="shared" si="2"/>
        <v>115</v>
      </c>
      <c r="G35" s="186" t="s">
        <v>1</v>
      </c>
      <c r="H35" s="187">
        <f>'02'!B320</f>
        <v>115</v>
      </c>
      <c r="I35" s="187">
        <f>SUM('02'!D320:F320)</f>
        <v>0</v>
      </c>
      <c r="J35" s="188">
        <f t="shared" si="3"/>
        <v>230</v>
      </c>
      <c r="K35" s="186" t="s">
        <v>2</v>
      </c>
      <c r="L35" s="187">
        <f>'03'!B320</f>
        <v>115</v>
      </c>
      <c r="M35" s="187">
        <f>SUM('03'!D320:F320)</f>
        <v>0</v>
      </c>
      <c r="N35" s="188">
        <f t="shared" si="4"/>
        <v>345</v>
      </c>
      <c r="O35" s="186" t="s">
        <v>3</v>
      </c>
      <c r="P35" s="187">
        <f>'04'!B320</f>
        <v>115</v>
      </c>
      <c r="Q35" s="187">
        <f>SUM('04'!D320:F320)</f>
        <v>0</v>
      </c>
      <c r="R35" s="188">
        <f t="shared" si="5"/>
        <v>460</v>
      </c>
      <c r="S35" s="186" t="s">
        <v>71</v>
      </c>
      <c r="T35" s="187">
        <f>'05'!B320</f>
        <v>115</v>
      </c>
      <c r="U35" s="187">
        <f>SUM('05'!D320:F320)</f>
        <v>0</v>
      </c>
      <c r="V35" s="188">
        <f t="shared" si="6"/>
        <v>575</v>
      </c>
      <c r="W35" s="186" t="s">
        <v>70</v>
      </c>
      <c r="X35" s="187">
        <f>'06'!B320</f>
        <v>115</v>
      </c>
      <c r="Y35" s="187">
        <f>SUM('06'!D320:F320)</f>
        <v>0</v>
      </c>
      <c r="Z35" s="188">
        <f t="shared" si="7"/>
        <v>690</v>
      </c>
      <c r="AA35" s="186" t="s">
        <v>72</v>
      </c>
      <c r="AB35" s="187">
        <f>'07'!B320</f>
        <v>115</v>
      </c>
      <c r="AC35" s="187">
        <f>SUM('07'!D320:F320)</f>
        <v>0</v>
      </c>
      <c r="AD35" s="188">
        <f t="shared" si="8"/>
        <v>805</v>
      </c>
      <c r="AE35" s="186" t="s">
        <v>73</v>
      </c>
      <c r="AF35" s="187">
        <f>'08'!B320</f>
        <v>115</v>
      </c>
      <c r="AG35" s="187">
        <f>SUM('08'!D320:F320)</f>
        <v>0</v>
      </c>
      <c r="AH35" s="188">
        <f t="shared" si="9"/>
        <v>920</v>
      </c>
      <c r="AI35" s="186" t="s">
        <v>76</v>
      </c>
      <c r="AJ35" s="187">
        <f>'09'!B320</f>
        <v>115</v>
      </c>
      <c r="AK35" s="187">
        <f>SUM('09'!D320:F320)</f>
        <v>0</v>
      </c>
      <c r="AL35" s="188">
        <f t="shared" si="10"/>
        <v>1035</v>
      </c>
      <c r="AM35" s="186" t="s">
        <v>77</v>
      </c>
      <c r="AN35" s="187">
        <f>'10'!B320</f>
        <v>115</v>
      </c>
      <c r="AO35" s="187">
        <f>SUM('10'!D320:F320)</f>
        <v>0</v>
      </c>
      <c r="AP35" s="188">
        <f t="shared" si="11"/>
        <v>1150</v>
      </c>
      <c r="AQ35" s="186" t="s">
        <v>80</v>
      </c>
      <c r="AR35" s="187">
        <f>'11'!B320</f>
        <v>115</v>
      </c>
      <c r="AS35" s="187">
        <f>SUM('11'!D320:F320)</f>
        <v>0</v>
      </c>
      <c r="AT35" s="188">
        <f t="shared" si="12"/>
        <v>1265</v>
      </c>
      <c r="AU35" s="186" t="s">
        <v>84</v>
      </c>
      <c r="AV35" s="187">
        <f>'12'!B320</f>
        <v>115</v>
      </c>
      <c r="AW35" s="187">
        <f>SUM('12'!D320:F320)</f>
        <v>0</v>
      </c>
      <c r="AX35" s="188">
        <f t="shared" si="13"/>
        <v>1380</v>
      </c>
      <c r="AZ35" s="189">
        <f t="shared" si="23"/>
        <v>0</v>
      </c>
      <c r="BA35" s="21" t="e">
        <f t="shared" si="15"/>
        <v>#DIV/0!</v>
      </c>
      <c r="BB35" s="22" t="e">
        <f t="shared" si="20"/>
        <v>#DIV/0!</v>
      </c>
      <c r="BC35" s="22">
        <f t="shared" ca="1" si="16"/>
        <v>0</v>
      </c>
      <c r="BE35" s="225">
        <f t="shared" ca="1" si="17"/>
        <v>1380</v>
      </c>
      <c r="BF35" s="21" t="e">
        <f t="shared" ca="1" si="18"/>
        <v>#DIV/0!</v>
      </c>
      <c r="BG35" s="22" t="e">
        <f t="shared" ca="1" si="21"/>
        <v>#DIV/0!</v>
      </c>
      <c r="BH35" s="22">
        <f t="shared" ca="1" si="19"/>
        <v>115</v>
      </c>
      <c r="BJ35" s="225">
        <f t="shared" ca="1" si="22"/>
        <v>1380</v>
      </c>
    </row>
    <row r="36" spans="1:62" ht="15.75">
      <c r="A36" s="164" t="s">
        <v>164</v>
      </c>
      <c r="B36" s="143"/>
      <c r="C36" s="144" t="s">
        <v>0</v>
      </c>
      <c r="D36" s="165">
        <f>'01'!B340</f>
        <v>90</v>
      </c>
      <c r="E36" s="165">
        <f>SUM('01'!D340:F340)</f>
        <v>0</v>
      </c>
      <c r="F36" s="157">
        <f t="shared" si="2"/>
        <v>90</v>
      </c>
      <c r="G36" s="144" t="s">
        <v>1</v>
      </c>
      <c r="H36" s="165">
        <f>'02'!B340</f>
        <v>90</v>
      </c>
      <c r="I36" s="165">
        <f>SUM('02'!D340:F340)</f>
        <v>0</v>
      </c>
      <c r="J36" s="157">
        <f t="shared" si="3"/>
        <v>180</v>
      </c>
      <c r="K36" s="144" t="s">
        <v>2</v>
      </c>
      <c r="L36" s="165">
        <f>'03'!B340</f>
        <v>90</v>
      </c>
      <c r="M36" s="165">
        <f>SUM('03'!D340:F340)</f>
        <v>0</v>
      </c>
      <c r="N36" s="157">
        <f t="shared" si="4"/>
        <v>270</v>
      </c>
      <c r="O36" s="144" t="s">
        <v>3</v>
      </c>
      <c r="P36" s="165">
        <f>'04'!B340</f>
        <v>90</v>
      </c>
      <c r="Q36" s="165">
        <f>SUM('04'!D340:F340)</f>
        <v>0</v>
      </c>
      <c r="R36" s="157">
        <f t="shared" si="5"/>
        <v>360</v>
      </c>
      <c r="S36" s="144" t="s">
        <v>71</v>
      </c>
      <c r="T36" s="165">
        <f>'05'!B340</f>
        <v>90</v>
      </c>
      <c r="U36" s="165">
        <f>SUM('05'!D340:F340)</f>
        <v>0</v>
      </c>
      <c r="V36" s="157">
        <f t="shared" si="6"/>
        <v>450</v>
      </c>
      <c r="W36" s="144" t="s">
        <v>70</v>
      </c>
      <c r="X36" s="165">
        <f>'06'!B340</f>
        <v>90</v>
      </c>
      <c r="Y36" s="165">
        <f>SUM('06'!D340:F340)</f>
        <v>0</v>
      </c>
      <c r="Z36" s="157">
        <f t="shared" si="7"/>
        <v>540</v>
      </c>
      <c r="AA36" s="144" t="s">
        <v>72</v>
      </c>
      <c r="AB36" s="165">
        <f>'07'!B340</f>
        <v>90</v>
      </c>
      <c r="AC36" s="165">
        <f>SUM('07'!D340:F340)</f>
        <v>0</v>
      </c>
      <c r="AD36" s="157">
        <f t="shared" si="8"/>
        <v>630</v>
      </c>
      <c r="AE36" s="144" t="s">
        <v>73</v>
      </c>
      <c r="AF36" s="165">
        <f>'08'!B340</f>
        <v>90</v>
      </c>
      <c r="AG36" s="165">
        <f>SUM('08'!D340:F340)</f>
        <v>0</v>
      </c>
      <c r="AH36" s="157">
        <f t="shared" si="9"/>
        <v>720</v>
      </c>
      <c r="AI36" s="144" t="s">
        <v>76</v>
      </c>
      <c r="AJ36" s="165">
        <f>'09'!B340</f>
        <v>90</v>
      </c>
      <c r="AK36" s="165">
        <f>SUM('09'!D340:F340)</f>
        <v>0</v>
      </c>
      <c r="AL36" s="157">
        <f t="shared" si="10"/>
        <v>810</v>
      </c>
      <c r="AM36" s="144" t="s">
        <v>77</v>
      </c>
      <c r="AN36" s="165">
        <f>'10'!B340</f>
        <v>90</v>
      </c>
      <c r="AO36" s="165">
        <f>SUM('10'!D340:F340)</f>
        <v>0</v>
      </c>
      <c r="AP36" s="157">
        <f t="shared" si="11"/>
        <v>900</v>
      </c>
      <c r="AQ36" s="144" t="s">
        <v>80</v>
      </c>
      <c r="AR36" s="165">
        <f>'11'!B340</f>
        <v>90</v>
      </c>
      <c r="AS36" s="165">
        <f>SUM('11'!D340:F340)</f>
        <v>0</v>
      </c>
      <c r="AT36" s="157">
        <f t="shared" si="12"/>
        <v>990</v>
      </c>
      <c r="AU36" s="144" t="s">
        <v>84</v>
      </c>
      <c r="AV36" s="165">
        <f>'12'!B340</f>
        <v>90</v>
      </c>
      <c r="AW36" s="165">
        <f>SUM('12'!D340:F340)</f>
        <v>0</v>
      </c>
      <c r="AX36" s="157">
        <f t="shared" si="13"/>
        <v>1080</v>
      </c>
      <c r="AZ36" s="183">
        <f t="shared" si="23"/>
        <v>0</v>
      </c>
      <c r="BA36" s="21" t="e">
        <f t="shared" si="15"/>
        <v>#DIV/0!</v>
      </c>
      <c r="BB36" s="22" t="e">
        <f t="shared" si="20"/>
        <v>#DIV/0!</v>
      </c>
      <c r="BC36" s="22">
        <f t="shared" ca="1" si="16"/>
        <v>0</v>
      </c>
      <c r="BE36" s="224">
        <f t="shared" ca="1" si="17"/>
        <v>1080</v>
      </c>
      <c r="BF36" s="21" t="e">
        <f t="shared" ca="1" si="18"/>
        <v>#DIV/0!</v>
      </c>
      <c r="BG36" s="22" t="e">
        <f t="shared" ca="1" si="21"/>
        <v>#DIV/0!</v>
      </c>
      <c r="BH36" s="22">
        <f t="shared" ca="1" si="19"/>
        <v>90</v>
      </c>
      <c r="BJ36" s="224">
        <f t="shared" ca="1" si="22"/>
        <v>1080</v>
      </c>
    </row>
    <row r="37" spans="1:62" ht="15.75">
      <c r="A37" s="147" t="s">
        <v>24</v>
      </c>
      <c r="B37" s="148"/>
      <c r="C37" s="149" t="s">
        <v>0</v>
      </c>
      <c r="D37" s="166">
        <f>'01'!B360</f>
        <v>45</v>
      </c>
      <c r="E37" s="166">
        <f>SUM('01'!D360:F360)</f>
        <v>0</v>
      </c>
      <c r="F37" s="152">
        <f t="shared" si="2"/>
        <v>45</v>
      </c>
      <c r="G37" s="149" t="s">
        <v>1</v>
      </c>
      <c r="H37" s="166">
        <f>'02'!B360</f>
        <v>45</v>
      </c>
      <c r="I37" s="166">
        <f>SUM('02'!D360:F360)</f>
        <v>0</v>
      </c>
      <c r="J37" s="152">
        <f t="shared" si="3"/>
        <v>90</v>
      </c>
      <c r="K37" s="149" t="s">
        <v>2</v>
      </c>
      <c r="L37" s="166">
        <f>'03'!B360</f>
        <v>45</v>
      </c>
      <c r="M37" s="166">
        <f>SUM('03'!D360:F360)</f>
        <v>0</v>
      </c>
      <c r="N37" s="152">
        <f t="shared" si="4"/>
        <v>135</v>
      </c>
      <c r="O37" s="149" t="s">
        <v>3</v>
      </c>
      <c r="P37" s="166">
        <f>'04'!B360</f>
        <v>45</v>
      </c>
      <c r="Q37" s="166">
        <f>SUM('04'!D360:F360)</f>
        <v>0</v>
      </c>
      <c r="R37" s="152">
        <f t="shared" si="5"/>
        <v>180</v>
      </c>
      <c r="S37" s="149" t="s">
        <v>71</v>
      </c>
      <c r="T37" s="166">
        <f>'05'!B360</f>
        <v>45</v>
      </c>
      <c r="U37" s="166">
        <f>SUM('05'!D360:F360)</f>
        <v>0</v>
      </c>
      <c r="V37" s="152">
        <f t="shared" si="6"/>
        <v>225</v>
      </c>
      <c r="W37" s="149" t="s">
        <v>70</v>
      </c>
      <c r="X37" s="166">
        <f>'06'!B360</f>
        <v>45</v>
      </c>
      <c r="Y37" s="166">
        <f>SUM('06'!D360:F360)</f>
        <v>0</v>
      </c>
      <c r="Z37" s="152">
        <f t="shared" si="7"/>
        <v>270</v>
      </c>
      <c r="AA37" s="149" t="s">
        <v>72</v>
      </c>
      <c r="AB37" s="166">
        <f>'07'!B360</f>
        <v>45</v>
      </c>
      <c r="AC37" s="166">
        <f>SUM('07'!D360:F360)</f>
        <v>0</v>
      </c>
      <c r="AD37" s="152">
        <f t="shared" si="8"/>
        <v>315</v>
      </c>
      <c r="AE37" s="149" t="s">
        <v>73</v>
      </c>
      <c r="AF37" s="166">
        <f>'08'!B360</f>
        <v>45</v>
      </c>
      <c r="AG37" s="166">
        <f>SUM('08'!D360:F360)</f>
        <v>0</v>
      </c>
      <c r="AH37" s="152">
        <f t="shared" si="9"/>
        <v>360</v>
      </c>
      <c r="AI37" s="149" t="s">
        <v>76</v>
      </c>
      <c r="AJ37" s="166">
        <f>'09'!B360</f>
        <v>45</v>
      </c>
      <c r="AK37" s="166">
        <f>SUM('09'!D360:F360)</f>
        <v>0</v>
      </c>
      <c r="AL37" s="152">
        <f t="shared" si="10"/>
        <v>405</v>
      </c>
      <c r="AM37" s="149" t="s">
        <v>77</v>
      </c>
      <c r="AN37" s="166">
        <f>'10'!B360</f>
        <v>45</v>
      </c>
      <c r="AO37" s="166">
        <f>SUM('10'!D360:F360)</f>
        <v>0</v>
      </c>
      <c r="AP37" s="152">
        <f t="shared" si="11"/>
        <v>450</v>
      </c>
      <c r="AQ37" s="149" t="s">
        <v>80</v>
      </c>
      <c r="AR37" s="166">
        <f>'11'!B360</f>
        <v>45</v>
      </c>
      <c r="AS37" s="166">
        <f>SUM('11'!D360:F360)</f>
        <v>0</v>
      </c>
      <c r="AT37" s="152">
        <f t="shared" si="12"/>
        <v>495</v>
      </c>
      <c r="AU37" s="149" t="s">
        <v>84</v>
      </c>
      <c r="AV37" s="166">
        <f>'12'!B360</f>
        <v>45</v>
      </c>
      <c r="AW37" s="166">
        <f>SUM('12'!D360:F360)</f>
        <v>0</v>
      </c>
      <c r="AX37" s="152">
        <f t="shared" si="13"/>
        <v>540</v>
      </c>
      <c r="AZ37" s="153">
        <f t="shared" si="23"/>
        <v>0</v>
      </c>
      <c r="BA37" s="21" t="e">
        <f t="shared" si="15"/>
        <v>#DIV/0!</v>
      </c>
      <c r="BB37" s="22" t="e">
        <f t="shared" si="20"/>
        <v>#DIV/0!</v>
      </c>
      <c r="BC37" s="22">
        <f t="shared" ca="1" si="16"/>
        <v>0</v>
      </c>
      <c r="BE37" s="225">
        <f t="shared" ca="1" si="17"/>
        <v>540</v>
      </c>
      <c r="BF37" s="21" t="e">
        <f t="shared" ca="1" si="18"/>
        <v>#DIV/0!</v>
      </c>
      <c r="BG37" s="22" t="e">
        <f t="shared" ca="1" si="21"/>
        <v>#DIV/0!</v>
      </c>
      <c r="BH37" s="22">
        <f t="shared" ca="1" si="19"/>
        <v>45</v>
      </c>
      <c r="BJ37" s="225">
        <f t="shared" ca="1" si="22"/>
        <v>540</v>
      </c>
    </row>
    <row r="38" spans="1:62" ht="15.75">
      <c r="A38" s="154" t="s">
        <v>25</v>
      </c>
      <c r="B38" s="155"/>
      <c r="C38" s="144" t="s">
        <v>0</v>
      </c>
      <c r="D38" s="167">
        <f>'01'!B380</f>
        <v>70</v>
      </c>
      <c r="E38" s="167">
        <f>SUM('01'!D380:F380)</f>
        <v>0</v>
      </c>
      <c r="F38" s="157">
        <f t="shared" si="2"/>
        <v>70</v>
      </c>
      <c r="G38" s="144" t="s">
        <v>1</v>
      </c>
      <c r="H38" s="167">
        <f>'02'!B380</f>
        <v>70</v>
      </c>
      <c r="I38" s="167">
        <f>SUM('02'!D380:F380)</f>
        <v>0</v>
      </c>
      <c r="J38" s="157">
        <f t="shared" si="3"/>
        <v>140</v>
      </c>
      <c r="K38" s="144" t="s">
        <v>2</v>
      </c>
      <c r="L38" s="167">
        <f>'03'!B380</f>
        <v>70</v>
      </c>
      <c r="M38" s="167">
        <f>SUM('03'!D380:F380)</f>
        <v>0</v>
      </c>
      <c r="N38" s="157">
        <f t="shared" si="4"/>
        <v>210</v>
      </c>
      <c r="O38" s="144" t="s">
        <v>3</v>
      </c>
      <c r="P38" s="167">
        <f>'04'!B380</f>
        <v>70</v>
      </c>
      <c r="Q38" s="167">
        <f>SUM('04'!D380:F380)</f>
        <v>0</v>
      </c>
      <c r="R38" s="157">
        <f t="shared" si="5"/>
        <v>280</v>
      </c>
      <c r="S38" s="144" t="s">
        <v>71</v>
      </c>
      <c r="T38" s="167">
        <f>'05'!B380</f>
        <v>70</v>
      </c>
      <c r="U38" s="167">
        <f>SUM('05'!D380:F380)</f>
        <v>0</v>
      </c>
      <c r="V38" s="157">
        <f t="shared" si="6"/>
        <v>350</v>
      </c>
      <c r="W38" s="144" t="s">
        <v>70</v>
      </c>
      <c r="X38" s="167">
        <f>'06'!B380</f>
        <v>70</v>
      </c>
      <c r="Y38" s="167">
        <f>SUM('06'!D380:F380)</f>
        <v>0</v>
      </c>
      <c r="Z38" s="157">
        <f t="shared" si="7"/>
        <v>420</v>
      </c>
      <c r="AA38" s="144" t="s">
        <v>72</v>
      </c>
      <c r="AB38" s="167">
        <f>'07'!B380</f>
        <v>70</v>
      </c>
      <c r="AC38" s="167">
        <f>SUM('07'!D380:F380)</f>
        <v>0</v>
      </c>
      <c r="AD38" s="157">
        <f t="shared" si="8"/>
        <v>490</v>
      </c>
      <c r="AE38" s="144" t="s">
        <v>73</v>
      </c>
      <c r="AF38" s="167">
        <f>'08'!B380</f>
        <v>70</v>
      </c>
      <c r="AG38" s="167">
        <f>SUM('08'!D380:F380)</f>
        <v>0</v>
      </c>
      <c r="AH38" s="157">
        <f t="shared" si="9"/>
        <v>560</v>
      </c>
      <c r="AI38" s="144" t="s">
        <v>76</v>
      </c>
      <c r="AJ38" s="167">
        <f>'09'!B380</f>
        <v>70</v>
      </c>
      <c r="AK38" s="167">
        <f>SUM('09'!D380:F380)</f>
        <v>0</v>
      </c>
      <c r="AL38" s="157">
        <f t="shared" si="10"/>
        <v>630</v>
      </c>
      <c r="AM38" s="144" t="s">
        <v>77</v>
      </c>
      <c r="AN38" s="167">
        <f>'10'!B380</f>
        <v>70</v>
      </c>
      <c r="AO38" s="167">
        <f>SUM('10'!D380:F380)</f>
        <v>0</v>
      </c>
      <c r="AP38" s="157">
        <f t="shared" si="11"/>
        <v>700</v>
      </c>
      <c r="AQ38" s="144" t="s">
        <v>80</v>
      </c>
      <c r="AR38" s="167">
        <f>'11'!B380</f>
        <v>70</v>
      </c>
      <c r="AS38" s="167">
        <f>SUM('11'!D380:F380)</f>
        <v>0</v>
      </c>
      <c r="AT38" s="157">
        <f t="shared" si="12"/>
        <v>770</v>
      </c>
      <c r="AU38" s="144" t="s">
        <v>84</v>
      </c>
      <c r="AV38" s="167">
        <f>'12'!B380</f>
        <v>70</v>
      </c>
      <c r="AW38" s="167">
        <f>SUM('12'!D380:F380)</f>
        <v>0</v>
      </c>
      <c r="AX38" s="157">
        <f t="shared" si="13"/>
        <v>840</v>
      </c>
      <c r="AZ38" s="158">
        <f t="shared" si="23"/>
        <v>0</v>
      </c>
      <c r="BA38" s="21" t="e">
        <f t="shared" si="15"/>
        <v>#DIV/0!</v>
      </c>
      <c r="BB38" s="22" t="e">
        <f t="shared" si="20"/>
        <v>#DIV/0!</v>
      </c>
      <c r="BC38" s="22">
        <f t="shared" ca="1" si="16"/>
        <v>0</v>
      </c>
      <c r="BE38" s="226">
        <f t="shared" ca="1" si="17"/>
        <v>840</v>
      </c>
      <c r="BF38" s="21" t="e">
        <f t="shared" ca="1" si="18"/>
        <v>#DIV/0!</v>
      </c>
      <c r="BG38" s="22" t="e">
        <f t="shared" ca="1" si="21"/>
        <v>#DIV/0!</v>
      </c>
      <c r="BH38" s="22">
        <f t="shared" ca="1" si="19"/>
        <v>70</v>
      </c>
      <c r="BJ38" s="226">
        <f t="shared" ca="1" si="22"/>
        <v>840</v>
      </c>
    </row>
    <row r="39" spans="1:62" ht="15.75">
      <c r="A39" s="147" t="s">
        <v>26</v>
      </c>
      <c r="B39" s="148"/>
      <c r="C39" s="149" t="s">
        <v>0</v>
      </c>
      <c r="D39" s="166">
        <f>'01'!B400</f>
        <v>20</v>
      </c>
      <c r="E39" s="166">
        <f>SUM('01'!D400:F400)</f>
        <v>0</v>
      </c>
      <c r="F39" s="152">
        <f t="shared" si="2"/>
        <v>20</v>
      </c>
      <c r="G39" s="149" t="s">
        <v>1</v>
      </c>
      <c r="H39" s="166">
        <f>'02'!B400</f>
        <v>20</v>
      </c>
      <c r="I39" s="166">
        <f>SUM('02'!D400:F400)</f>
        <v>0</v>
      </c>
      <c r="J39" s="152">
        <f t="shared" si="3"/>
        <v>40</v>
      </c>
      <c r="K39" s="149" t="s">
        <v>2</v>
      </c>
      <c r="L39" s="166">
        <f>'03'!B400</f>
        <v>20</v>
      </c>
      <c r="M39" s="166">
        <f>SUM('03'!D400:F400)</f>
        <v>0</v>
      </c>
      <c r="N39" s="152">
        <f t="shared" si="4"/>
        <v>60</v>
      </c>
      <c r="O39" s="149" t="s">
        <v>3</v>
      </c>
      <c r="P39" s="166">
        <f>'04'!B400</f>
        <v>20</v>
      </c>
      <c r="Q39" s="166">
        <f>SUM('04'!D400:F400)</f>
        <v>0</v>
      </c>
      <c r="R39" s="152">
        <f t="shared" si="5"/>
        <v>80</v>
      </c>
      <c r="S39" s="149" t="s">
        <v>71</v>
      </c>
      <c r="T39" s="166">
        <f>'05'!B400</f>
        <v>20</v>
      </c>
      <c r="U39" s="166">
        <f>SUM('05'!D400:F400)</f>
        <v>0</v>
      </c>
      <c r="V39" s="152">
        <f t="shared" si="6"/>
        <v>100</v>
      </c>
      <c r="W39" s="149" t="s">
        <v>70</v>
      </c>
      <c r="X39" s="166">
        <f>'06'!B400</f>
        <v>20</v>
      </c>
      <c r="Y39" s="166">
        <f>SUM('06'!D400:F400)</f>
        <v>0</v>
      </c>
      <c r="Z39" s="152">
        <f t="shared" si="7"/>
        <v>120</v>
      </c>
      <c r="AA39" s="149" t="s">
        <v>72</v>
      </c>
      <c r="AB39" s="166">
        <f>'07'!B400</f>
        <v>20</v>
      </c>
      <c r="AC39" s="166">
        <f>SUM('07'!D400:F400)</f>
        <v>0</v>
      </c>
      <c r="AD39" s="152">
        <f t="shared" si="8"/>
        <v>140</v>
      </c>
      <c r="AE39" s="149" t="s">
        <v>73</v>
      </c>
      <c r="AF39" s="166">
        <f>'08'!B400</f>
        <v>20</v>
      </c>
      <c r="AG39" s="166">
        <f>SUM('08'!D400:F400)</f>
        <v>0</v>
      </c>
      <c r="AH39" s="152">
        <f t="shared" si="9"/>
        <v>160</v>
      </c>
      <c r="AI39" s="149" t="s">
        <v>76</v>
      </c>
      <c r="AJ39" s="166">
        <f>'09'!B400</f>
        <v>20</v>
      </c>
      <c r="AK39" s="166">
        <f>SUM('09'!D400:F400)</f>
        <v>0</v>
      </c>
      <c r="AL39" s="152">
        <f t="shared" si="10"/>
        <v>180</v>
      </c>
      <c r="AM39" s="149" t="s">
        <v>77</v>
      </c>
      <c r="AN39" s="166">
        <f>'10'!B400</f>
        <v>20</v>
      </c>
      <c r="AO39" s="166">
        <f>SUM('10'!D400:F400)</f>
        <v>0</v>
      </c>
      <c r="AP39" s="152">
        <f t="shared" si="11"/>
        <v>200</v>
      </c>
      <c r="AQ39" s="149" t="s">
        <v>80</v>
      </c>
      <c r="AR39" s="166">
        <f>'11'!B400</f>
        <v>20</v>
      </c>
      <c r="AS39" s="166">
        <f>SUM('11'!D400:F400)</f>
        <v>0</v>
      </c>
      <c r="AT39" s="152">
        <f t="shared" si="12"/>
        <v>220</v>
      </c>
      <c r="AU39" s="149" t="s">
        <v>84</v>
      </c>
      <c r="AV39" s="166">
        <f>'12'!B400</f>
        <v>20</v>
      </c>
      <c r="AW39" s="166">
        <f>SUM('12'!D400:F400)</f>
        <v>0</v>
      </c>
      <c r="AX39" s="152">
        <f t="shared" si="13"/>
        <v>240</v>
      </c>
      <c r="AZ39" s="153">
        <f t="shared" si="23"/>
        <v>0</v>
      </c>
      <c r="BA39" s="21" t="e">
        <f t="shared" si="15"/>
        <v>#DIV/0!</v>
      </c>
      <c r="BB39" s="22" t="e">
        <f t="shared" si="20"/>
        <v>#DIV/0!</v>
      </c>
      <c r="BC39" s="22">
        <f t="shared" ca="1" si="16"/>
        <v>0</v>
      </c>
      <c r="BE39" s="225">
        <f t="shared" ca="1" si="17"/>
        <v>240</v>
      </c>
      <c r="BF39" s="21" t="e">
        <f t="shared" ca="1" si="18"/>
        <v>#DIV/0!</v>
      </c>
      <c r="BG39" s="22" t="e">
        <f t="shared" ca="1" si="21"/>
        <v>#DIV/0!</v>
      </c>
      <c r="BH39" s="22">
        <f t="shared" ca="1" si="19"/>
        <v>20</v>
      </c>
      <c r="BJ39" s="225">
        <f t="shared" ca="1" si="22"/>
        <v>240</v>
      </c>
    </row>
    <row r="40" spans="1:62" ht="15.75">
      <c r="A40" s="154" t="s">
        <v>52</v>
      </c>
      <c r="B40" s="155"/>
      <c r="C40" s="144" t="s">
        <v>0</v>
      </c>
      <c r="D40" s="167">
        <f>'01'!B420</f>
        <v>20</v>
      </c>
      <c r="E40" s="167">
        <f>SUM('01'!D420:F420)</f>
        <v>0</v>
      </c>
      <c r="F40" s="157">
        <f t="shared" si="2"/>
        <v>20</v>
      </c>
      <c r="G40" s="144" t="s">
        <v>1</v>
      </c>
      <c r="H40" s="167">
        <f>'02'!B420</f>
        <v>20</v>
      </c>
      <c r="I40" s="167">
        <f>SUM('02'!D420:F420)</f>
        <v>0</v>
      </c>
      <c r="J40" s="157">
        <f t="shared" si="3"/>
        <v>40</v>
      </c>
      <c r="K40" s="144" t="s">
        <v>2</v>
      </c>
      <c r="L40" s="167">
        <f>'03'!B420</f>
        <v>20</v>
      </c>
      <c r="M40" s="167">
        <f>SUM('03'!D420:F420)</f>
        <v>0</v>
      </c>
      <c r="N40" s="157">
        <f>J40+L40-M40</f>
        <v>60</v>
      </c>
      <c r="O40" s="144" t="s">
        <v>3</v>
      </c>
      <c r="P40" s="167">
        <f>'04'!B420</f>
        <v>20</v>
      </c>
      <c r="Q40" s="167">
        <f>SUM('04'!D420:F420)</f>
        <v>0</v>
      </c>
      <c r="R40" s="157">
        <f t="shared" si="5"/>
        <v>80</v>
      </c>
      <c r="S40" s="144" t="s">
        <v>71</v>
      </c>
      <c r="T40" s="167">
        <f>'05'!B420</f>
        <v>20</v>
      </c>
      <c r="U40" s="167">
        <f>SUM('05'!D420:F420)</f>
        <v>0</v>
      </c>
      <c r="V40" s="157">
        <f t="shared" si="6"/>
        <v>100</v>
      </c>
      <c r="W40" s="144" t="s">
        <v>70</v>
      </c>
      <c r="X40" s="167">
        <f>'06'!B420</f>
        <v>20</v>
      </c>
      <c r="Y40" s="167">
        <f>SUM('06'!D420:F420)</f>
        <v>0</v>
      </c>
      <c r="Z40" s="157">
        <f t="shared" si="7"/>
        <v>120</v>
      </c>
      <c r="AA40" s="144" t="s">
        <v>72</v>
      </c>
      <c r="AB40" s="167">
        <f>'07'!B420</f>
        <v>20</v>
      </c>
      <c r="AC40" s="167">
        <f>SUM('07'!D420:F420)</f>
        <v>0</v>
      </c>
      <c r="AD40" s="157">
        <f t="shared" si="8"/>
        <v>140</v>
      </c>
      <c r="AE40" s="144" t="s">
        <v>73</v>
      </c>
      <c r="AF40" s="167">
        <f>'08'!B420</f>
        <v>20</v>
      </c>
      <c r="AG40" s="167">
        <f>SUM('08'!D420:F420)</f>
        <v>0</v>
      </c>
      <c r="AH40" s="157">
        <f t="shared" si="9"/>
        <v>160</v>
      </c>
      <c r="AI40" s="144" t="s">
        <v>76</v>
      </c>
      <c r="AJ40" s="167">
        <f>'09'!B420</f>
        <v>20</v>
      </c>
      <c r="AK40" s="167">
        <f>SUM('09'!D420:F420)</f>
        <v>0</v>
      </c>
      <c r="AL40" s="157">
        <f t="shared" si="10"/>
        <v>180</v>
      </c>
      <c r="AM40" s="144" t="s">
        <v>77</v>
      </c>
      <c r="AN40" s="167">
        <f>'10'!B420</f>
        <v>20</v>
      </c>
      <c r="AO40" s="167">
        <f>SUM('10'!D420:F420)</f>
        <v>0</v>
      </c>
      <c r="AP40" s="157">
        <f t="shared" si="11"/>
        <v>200</v>
      </c>
      <c r="AQ40" s="144" t="s">
        <v>80</v>
      </c>
      <c r="AR40" s="167">
        <f>'11'!B420</f>
        <v>20</v>
      </c>
      <c r="AS40" s="167">
        <f>SUM('11'!D420:F420)</f>
        <v>0</v>
      </c>
      <c r="AT40" s="157">
        <f t="shared" si="12"/>
        <v>220</v>
      </c>
      <c r="AU40" s="144" t="s">
        <v>84</v>
      </c>
      <c r="AV40" s="167">
        <f>'12'!B420</f>
        <v>20</v>
      </c>
      <c r="AW40" s="167">
        <f>SUM('12'!D420:F420)</f>
        <v>0</v>
      </c>
      <c r="AX40" s="157">
        <f t="shared" si="13"/>
        <v>240</v>
      </c>
      <c r="AZ40" s="158">
        <f t="shared" si="23"/>
        <v>0</v>
      </c>
      <c r="BA40" s="21" t="e">
        <f t="shared" si="15"/>
        <v>#DIV/0!</v>
      </c>
      <c r="BB40" s="22" t="e">
        <f t="shared" si="20"/>
        <v>#DIV/0!</v>
      </c>
      <c r="BC40" s="22">
        <f t="shared" ca="1" si="16"/>
        <v>0</v>
      </c>
      <c r="BE40" s="226">
        <f t="shared" ca="1" si="17"/>
        <v>240</v>
      </c>
      <c r="BF40" s="21" t="e">
        <f t="shared" ca="1" si="18"/>
        <v>#DIV/0!</v>
      </c>
      <c r="BG40" s="22" t="e">
        <f t="shared" ca="1" si="21"/>
        <v>#DIV/0!</v>
      </c>
      <c r="BH40" s="22">
        <f t="shared" ca="1" si="19"/>
        <v>20</v>
      </c>
      <c r="BJ40" s="226">
        <f t="shared" ca="1" si="22"/>
        <v>240</v>
      </c>
    </row>
    <row r="41" spans="1:62" ht="15.75">
      <c r="A41" s="147" t="s">
        <v>27</v>
      </c>
      <c r="B41" s="148"/>
      <c r="C41" s="149" t="s">
        <v>0</v>
      </c>
      <c r="D41" s="166">
        <f>'01'!B440</f>
        <v>-3900</v>
      </c>
      <c r="E41" s="166">
        <f>SUM('01'!D440:F440)</f>
        <v>0</v>
      </c>
      <c r="F41" s="152">
        <f t="shared" si="2"/>
        <v>-3900</v>
      </c>
      <c r="G41" s="149" t="s">
        <v>1</v>
      </c>
      <c r="H41" s="166">
        <f>'02'!B440</f>
        <v>-3900</v>
      </c>
      <c r="I41" s="166">
        <f>SUM('02'!D440:F440)</f>
        <v>0</v>
      </c>
      <c r="J41" s="152">
        <f t="shared" si="3"/>
        <v>-7800</v>
      </c>
      <c r="K41" s="149" t="s">
        <v>2</v>
      </c>
      <c r="L41" s="166">
        <f>'03'!B440</f>
        <v>-3900</v>
      </c>
      <c r="M41" s="166">
        <f>SUM('03'!D440:F440)</f>
        <v>0</v>
      </c>
      <c r="N41" s="152">
        <f t="shared" si="4"/>
        <v>-11700</v>
      </c>
      <c r="O41" s="149" t="s">
        <v>3</v>
      </c>
      <c r="P41" s="166">
        <f>'04'!B440</f>
        <v>-3900</v>
      </c>
      <c r="Q41" s="166">
        <f>SUM('04'!D440:F440)</f>
        <v>0</v>
      </c>
      <c r="R41" s="152">
        <f t="shared" si="5"/>
        <v>-15600</v>
      </c>
      <c r="S41" s="149" t="s">
        <v>71</v>
      </c>
      <c r="T41" s="166">
        <f>'05'!B440</f>
        <v>-3900</v>
      </c>
      <c r="U41" s="166">
        <f>SUM('05'!D440:F440)</f>
        <v>0</v>
      </c>
      <c r="V41" s="152">
        <f t="shared" si="6"/>
        <v>-19500</v>
      </c>
      <c r="W41" s="149" t="s">
        <v>70</v>
      </c>
      <c r="X41" s="166">
        <f>'06'!B440</f>
        <v>-3900</v>
      </c>
      <c r="Y41" s="166">
        <f>SUM('06'!D440:F440)</f>
        <v>0</v>
      </c>
      <c r="Z41" s="152">
        <f t="shared" si="7"/>
        <v>-23400</v>
      </c>
      <c r="AA41" s="149" t="s">
        <v>72</v>
      </c>
      <c r="AB41" s="166">
        <f>'07'!B440</f>
        <v>-3900</v>
      </c>
      <c r="AC41" s="166">
        <f>SUM('07'!D440:F440)</f>
        <v>0</v>
      </c>
      <c r="AD41" s="152">
        <f t="shared" si="8"/>
        <v>-27300</v>
      </c>
      <c r="AE41" s="149" t="s">
        <v>73</v>
      </c>
      <c r="AF41" s="166">
        <f>'08'!B440</f>
        <v>-3900</v>
      </c>
      <c r="AG41" s="166">
        <f>SUM('08'!D440:F440)</f>
        <v>0</v>
      </c>
      <c r="AH41" s="152">
        <f t="shared" si="9"/>
        <v>-31200</v>
      </c>
      <c r="AI41" s="149" t="s">
        <v>76</v>
      </c>
      <c r="AJ41" s="166">
        <f>'09'!B440</f>
        <v>-3900</v>
      </c>
      <c r="AK41" s="166">
        <f>SUM('09'!D440:F440)</f>
        <v>0</v>
      </c>
      <c r="AL41" s="152">
        <f t="shared" si="10"/>
        <v>-35100</v>
      </c>
      <c r="AM41" s="149" t="s">
        <v>77</v>
      </c>
      <c r="AN41" s="166">
        <f>'10'!B440</f>
        <v>-3900</v>
      </c>
      <c r="AO41" s="166">
        <f>SUM('10'!D440:F440)</f>
        <v>0</v>
      </c>
      <c r="AP41" s="152">
        <f t="shared" si="11"/>
        <v>-39000</v>
      </c>
      <c r="AQ41" s="149" t="s">
        <v>80</v>
      </c>
      <c r="AR41" s="166">
        <f>'11'!B440</f>
        <v>-3900</v>
      </c>
      <c r="AS41" s="166">
        <f>SUM('11'!D440:F440)</f>
        <v>0</v>
      </c>
      <c r="AT41" s="152">
        <f t="shared" si="12"/>
        <v>-42900</v>
      </c>
      <c r="AU41" s="149" t="s">
        <v>84</v>
      </c>
      <c r="AV41" s="166">
        <f>'12'!B440</f>
        <v>-3900</v>
      </c>
      <c r="AW41" s="166">
        <f>SUM('12'!D440:F440)</f>
        <v>0</v>
      </c>
      <c r="AX41" s="152">
        <f t="shared" si="13"/>
        <v>-46800</v>
      </c>
      <c r="AZ41" s="153">
        <f t="shared" si="23"/>
        <v>0</v>
      </c>
      <c r="BA41" s="21" t="e">
        <f t="shared" si="15"/>
        <v>#DIV/0!</v>
      </c>
      <c r="BB41" s="22" t="e">
        <f t="shared" si="20"/>
        <v>#DIV/0!</v>
      </c>
      <c r="BC41" s="22">
        <f t="shared" ca="1" si="16"/>
        <v>0</v>
      </c>
      <c r="BE41" s="225">
        <f t="shared" ca="1" si="17"/>
        <v>-46800</v>
      </c>
      <c r="BF41" s="21" t="e">
        <f t="shared" ca="1" si="18"/>
        <v>#DIV/0!</v>
      </c>
      <c r="BG41" s="22" t="e">
        <f t="shared" ca="1" si="21"/>
        <v>#DIV/0!</v>
      </c>
      <c r="BH41" s="22">
        <f t="shared" ca="1" si="19"/>
        <v>-3900</v>
      </c>
      <c r="BJ41" s="225">
        <f t="shared" ca="1" si="22"/>
        <v>-46800</v>
      </c>
    </row>
    <row r="42" spans="1:62" ht="15.75">
      <c r="A42" s="154" t="s">
        <v>155</v>
      </c>
      <c r="B42" s="155"/>
      <c r="C42" s="144" t="s">
        <v>0</v>
      </c>
      <c r="D42" s="167">
        <f>'01'!B460</f>
        <v>0</v>
      </c>
      <c r="E42" s="167">
        <f>SUM('01'!D460:F460)</f>
        <v>0</v>
      </c>
      <c r="F42" s="157">
        <f t="shared" si="2"/>
        <v>0</v>
      </c>
      <c r="G42" s="144" t="s">
        <v>1</v>
      </c>
      <c r="H42" s="167">
        <f>'02'!B460</f>
        <v>0</v>
      </c>
      <c r="I42" s="167">
        <f>SUM('02'!D460:F460)</f>
        <v>0</v>
      </c>
      <c r="J42" s="157">
        <f t="shared" si="3"/>
        <v>0</v>
      </c>
      <c r="K42" s="144" t="s">
        <v>2</v>
      </c>
      <c r="L42" s="167">
        <f>'03'!B460</f>
        <v>0</v>
      </c>
      <c r="M42" s="167">
        <f>SUM('03'!D460:F460)</f>
        <v>0</v>
      </c>
      <c r="N42" s="157">
        <f t="shared" si="4"/>
        <v>0</v>
      </c>
      <c r="O42" s="144" t="s">
        <v>3</v>
      </c>
      <c r="P42" s="167">
        <f>'04'!B460</f>
        <v>0</v>
      </c>
      <c r="Q42" s="167">
        <f>SUM('04'!D460:F460)</f>
        <v>0</v>
      </c>
      <c r="R42" s="157">
        <f t="shared" si="5"/>
        <v>0</v>
      </c>
      <c r="S42" s="144" t="s">
        <v>71</v>
      </c>
      <c r="T42" s="167">
        <f>'05'!B460</f>
        <v>0</v>
      </c>
      <c r="U42" s="167">
        <f>SUM('05'!D460:F460)</f>
        <v>0</v>
      </c>
      <c r="V42" s="157">
        <f t="shared" si="6"/>
        <v>0</v>
      </c>
      <c r="W42" s="144" t="s">
        <v>70</v>
      </c>
      <c r="X42" s="167">
        <f>'06'!B460</f>
        <v>0</v>
      </c>
      <c r="Y42" s="167">
        <f>SUM('06'!D460:F460)</f>
        <v>0</v>
      </c>
      <c r="Z42" s="157">
        <f t="shared" si="7"/>
        <v>0</v>
      </c>
      <c r="AA42" s="144" t="s">
        <v>72</v>
      </c>
      <c r="AB42" s="167">
        <f>'07'!B460</f>
        <v>0</v>
      </c>
      <c r="AC42" s="167">
        <f>SUM('07'!D460:F460)</f>
        <v>0</v>
      </c>
      <c r="AD42" s="157">
        <f t="shared" si="8"/>
        <v>0</v>
      </c>
      <c r="AE42" s="144" t="s">
        <v>73</v>
      </c>
      <c r="AF42" s="167">
        <f>'08'!B460</f>
        <v>0</v>
      </c>
      <c r="AG42" s="167">
        <f>SUM('08'!D460:F460)</f>
        <v>0</v>
      </c>
      <c r="AH42" s="157">
        <f t="shared" si="9"/>
        <v>0</v>
      </c>
      <c r="AI42" s="144" t="s">
        <v>76</v>
      </c>
      <c r="AJ42" s="167">
        <f>'09'!B460</f>
        <v>0</v>
      </c>
      <c r="AK42" s="167">
        <f>SUM('09'!D460:F460)</f>
        <v>0</v>
      </c>
      <c r="AL42" s="157">
        <f t="shared" si="10"/>
        <v>0</v>
      </c>
      <c r="AM42" s="144" t="s">
        <v>77</v>
      </c>
      <c r="AN42" s="167">
        <f>'10'!B460</f>
        <v>0</v>
      </c>
      <c r="AO42" s="167">
        <f>SUM('10'!D460:F460)</f>
        <v>0</v>
      </c>
      <c r="AP42" s="157">
        <f t="shared" si="11"/>
        <v>0</v>
      </c>
      <c r="AQ42" s="144" t="s">
        <v>80</v>
      </c>
      <c r="AR42" s="167">
        <f>'11'!B460</f>
        <v>0</v>
      </c>
      <c r="AS42" s="167">
        <f>SUM('11'!D460:F460)</f>
        <v>0</v>
      </c>
      <c r="AT42" s="157">
        <f t="shared" si="12"/>
        <v>0</v>
      </c>
      <c r="AU42" s="144" t="s">
        <v>84</v>
      </c>
      <c r="AV42" s="167">
        <f>'12'!B460</f>
        <v>0</v>
      </c>
      <c r="AW42" s="167">
        <f>SUM('12'!D460:F460)</f>
        <v>0</v>
      </c>
      <c r="AX42" s="157">
        <f t="shared" si="13"/>
        <v>0</v>
      </c>
      <c r="AZ42" s="158">
        <f t="shared" si="23"/>
        <v>0</v>
      </c>
      <c r="BA42" s="21" t="e">
        <f t="shared" si="15"/>
        <v>#DIV/0!</v>
      </c>
      <c r="BB42" s="22" t="e">
        <f t="shared" si="20"/>
        <v>#DIV/0!</v>
      </c>
      <c r="BC42" s="22">
        <f t="shared" ca="1" si="16"/>
        <v>0</v>
      </c>
      <c r="BE42" s="226">
        <f t="shared" ca="1" si="17"/>
        <v>0</v>
      </c>
      <c r="BF42" s="21" t="e">
        <f t="shared" ca="1" si="18"/>
        <v>#DIV/0!</v>
      </c>
      <c r="BG42" s="22" t="e">
        <f t="shared" ca="1" si="21"/>
        <v>#DIV/0!</v>
      </c>
      <c r="BH42" s="22">
        <f t="shared" ca="1" si="19"/>
        <v>0</v>
      </c>
      <c r="BJ42" s="226">
        <f t="shared" ca="1" si="22"/>
        <v>0</v>
      </c>
    </row>
    <row r="43" spans="1:62" ht="15.75">
      <c r="A43" s="163" t="s">
        <v>174</v>
      </c>
      <c r="B43" s="159"/>
      <c r="C43" s="149" t="s">
        <v>0</v>
      </c>
      <c r="D43" s="150">
        <f>'01'!B480</f>
        <v>50</v>
      </c>
      <c r="E43" s="150">
        <f>SUM('01'!D480:F480)</f>
        <v>0</v>
      </c>
      <c r="F43" s="152">
        <f t="shared" si="2"/>
        <v>50</v>
      </c>
      <c r="G43" s="149" t="s">
        <v>1</v>
      </c>
      <c r="H43" s="150">
        <f>'02'!B480</f>
        <v>50</v>
      </c>
      <c r="I43" s="150">
        <f>SUM('02'!D480:F480)</f>
        <v>0</v>
      </c>
      <c r="J43" s="152">
        <f t="shared" si="3"/>
        <v>100</v>
      </c>
      <c r="K43" s="149" t="s">
        <v>2</v>
      </c>
      <c r="L43" s="150">
        <f>'03'!B480</f>
        <v>50</v>
      </c>
      <c r="M43" s="150">
        <f>SUM('03'!D480:F480)</f>
        <v>0</v>
      </c>
      <c r="N43" s="152">
        <f t="shared" si="4"/>
        <v>150</v>
      </c>
      <c r="O43" s="149" t="s">
        <v>3</v>
      </c>
      <c r="P43" s="150">
        <f>'04'!B480</f>
        <v>50</v>
      </c>
      <c r="Q43" s="150">
        <f>SUM('04'!D480:F480)</f>
        <v>0</v>
      </c>
      <c r="R43" s="152">
        <f t="shared" si="5"/>
        <v>200</v>
      </c>
      <c r="S43" s="149" t="s">
        <v>71</v>
      </c>
      <c r="T43" s="150">
        <f>'05'!B480</f>
        <v>50</v>
      </c>
      <c r="U43" s="150">
        <f>SUM('05'!D480:F480)</f>
        <v>0</v>
      </c>
      <c r="V43" s="152">
        <f t="shared" si="6"/>
        <v>250</v>
      </c>
      <c r="W43" s="149" t="s">
        <v>70</v>
      </c>
      <c r="X43" s="150">
        <f>'06'!B480</f>
        <v>50</v>
      </c>
      <c r="Y43" s="150">
        <f>SUM('06'!D480:F480)</f>
        <v>0</v>
      </c>
      <c r="Z43" s="152">
        <f t="shared" si="7"/>
        <v>300</v>
      </c>
      <c r="AA43" s="149" t="s">
        <v>72</v>
      </c>
      <c r="AB43" s="150">
        <f>'07'!B480</f>
        <v>50</v>
      </c>
      <c r="AC43" s="150">
        <f>SUM('07'!D480:F480)</f>
        <v>0</v>
      </c>
      <c r="AD43" s="152">
        <f t="shared" si="8"/>
        <v>350</v>
      </c>
      <c r="AE43" s="149" t="s">
        <v>73</v>
      </c>
      <c r="AF43" s="150">
        <f>'08'!B480</f>
        <v>50</v>
      </c>
      <c r="AG43" s="150">
        <f>SUM('08'!D480:F480)</f>
        <v>0</v>
      </c>
      <c r="AH43" s="152">
        <f t="shared" si="9"/>
        <v>400</v>
      </c>
      <c r="AI43" s="149" t="s">
        <v>76</v>
      </c>
      <c r="AJ43" s="150">
        <f>'09'!B480</f>
        <v>50</v>
      </c>
      <c r="AK43" s="150">
        <f>SUM('09'!D480:F480)</f>
        <v>0</v>
      </c>
      <c r="AL43" s="152">
        <f t="shared" si="10"/>
        <v>450</v>
      </c>
      <c r="AM43" s="149" t="s">
        <v>77</v>
      </c>
      <c r="AN43" s="150">
        <f>'10'!B480</f>
        <v>50</v>
      </c>
      <c r="AO43" s="150">
        <f>SUM('10'!D480:F480)</f>
        <v>0</v>
      </c>
      <c r="AP43" s="152">
        <f t="shared" si="11"/>
        <v>500</v>
      </c>
      <c r="AQ43" s="149" t="s">
        <v>80</v>
      </c>
      <c r="AR43" s="150">
        <f>'11'!B480</f>
        <v>50</v>
      </c>
      <c r="AS43" s="150">
        <f>SUM('11'!D480:F480)</f>
        <v>0</v>
      </c>
      <c r="AT43" s="152">
        <f t="shared" si="12"/>
        <v>550</v>
      </c>
      <c r="AU43" s="149" t="s">
        <v>84</v>
      </c>
      <c r="AV43" s="150">
        <f>'12'!B480</f>
        <v>50</v>
      </c>
      <c r="AW43" s="150">
        <f>SUM('12'!D480:F480)</f>
        <v>0</v>
      </c>
      <c r="AX43" s="152">
        <f t="shared" si="13"/>
        <v>600</v>
      </c>
      <c r="AZ43" s="153">
        <f t="shared" si="23"/>
        <v>0</v>
      </c>
      <c r="BA43" s="21" t="e">
        <f t="shared" si="15"/>
        <v>#DIV/0!</v>
      </c>
      <c r="BB43" s="22" t="e">
        <f t="shared" si="20"/>
        <v>#DIV/0!</v>
      </c>
      <c r="BC43" s="22">
        <f t="shared" ca="1" si="16"/>
        <v>0</v>
      </c>
      <c r="BE43" s="225">
        <f t="shared" ca="1" si="17"/>
        <v>600</v>
      </c>
      <c r="BF43" s="21" t="e">
        <f t="shared" ca="1" si="18"/>
        <v>#DIV/0!</v>
      </c>
      <c r="BG43" s="22" t="e">
        <f t="shared" ca="1" si="21"/>
        <v>#DIV/0!</v>
      </c>
      <c r="BH43" s="22">
        <f t="shared" ca="1" si="19"/>
        <v>50</v>
      </c>
      <c r="BJ43" s="225">
        <f t="shared" ca="1" si="22"/>
        <v>600</v>
      </c>
    </row>
    <row r="44" spans="1:62" ht="15.75">
      <c r="A44" s="168" t="s">
        <v>29</v>
      </c>
      <c r="B44" s="169"/>
      <c r="C44" s="144" t="s">
        <v>0</v>
      </c>
      <c r="D44" s="170">
        <f>'01'!B500</f>
        <v>0</v>
      </c>
      <c r="E44" s="170">
        <f>SUM('01'!D500:F500)</f>
        <v>0</v>
      </c>
      <c r="F44" s="171">
        <f t="shared" si="2"/>
        <v>0</v>
      </c>
      <c r="G44" s="144" t="s">
        <v>1</v>
      </c>
      <c r="H44" s="170">
        <f>'02'!B500</f>
        <v>0</v>
      </c>
      <c r="I44" s="170">
        <f>SUM('02'!D500:F500)</f>
        <v>0</v>
      </c>
      <c r="J44" s="171">
        <f t="shared" si="3"/>
        <v>0</v>
      </c>
      <c r="K44" s="144" t="s">
        <v>2</v>
      </c>
      <c r="L44" s="170">
        <f>'03'!B500</f>
        <v>0</v>
      </c>
      <c r="M44" s="170">
        <f>SUM('03'!D500:F500)</f>
        <v>0</v>
      </c>
      <c r="N44" s="171">
        <f t="shared" si="4"/>
        <v>0</v>
      </c>
      <c r="O44" s="144" t="s">
        <v>3</v>
      </c>
      <c r="P44" s="170">
        <f>'04'!B500</f>
        <v>0</v>
      </c>
      <c r="Q44" s="170">
        <f>SUM('04'!D500:F500)</f>
        <v>0</v>
      </c>
      <c r="R44" s="171">
        <f t="shared" si="5"/>
        <v>0</v>
      </c>
      <c r="S44" s="144" t="s">
        <v>71</v>
      </c>
      <c r="T44" s="170">
        <f>'05'!B500</f>
        <v>0</v>
      </c>
      <c r="U44" s="170">
        <f>SUM('05'!D500:F500)</f>
        <v>0</v>
      </c>
      <c r="V44" s="171">
        <f t="shared" si="6"/>
        <v>0</v>
      </c>
      <c r="W44" s="144" t="s">
        <v>70</v>
      </c>
      <c r="X44" s="170">
        <f>'06'!B500</f>
        <v>0</v>
      </c>
      <c r="Y44" s="170">
        <f>SUM('06'!D500:F500)</f>
        <v>0</v>
      </c>
      <c r="Z44" s="171">
        <f t="shared" si="7"/>
        <v>0</v>
      </c>
      <c r="AA44" s="144" t="s">
        <v>72</v>
      </c>
      <c r="AB44" s="170">
        <f>'07'!B500</f>
        <v>0</v>
      </c>
      <c r="AC44" s="170">
        <f>SUM('07'!D500:F500)</f>
        <v>0</v>
      </c>
      <c r="AD44" s="171">
        <f t="shared" si="8"/>
        <v>0</v>
      </c>
      <c r="AE44" s="144" t="s">
        <v>73</v>
      </c>
      <c r="AF44" s="170">
        <f>'08'!B500</f>
        <v>0</v>
      </c>
      <c r="AG44" s="170">
        <f>SUM('08'!D500:F500)</f>
        <v>0</v>
      </c>
      <c r="AH44" s="171">
        <f t="shared" si="9"/>
        <v>0</v>
      </c>
      <c r="AI44" s="144" t="s">
        <v>76</v>
      </c>
      <c r="AJ44" s="170">
        <f>'09'!B500</f>
        <v>0</v>
      </c>
      <c r="AK44" s="170">
        <f>SUM('09'!D500:F500)</f>
        <v>0</v>
      </c>
      <c r="AL44" s="171">
        <f t="shared" si="10"/>
        <v>0</v>
      </c>
      <c r="AM44" s="144" t="s">
        <v>77</v>
      </c>
      <c r="AN44" s="170">
        <f>'10'!B500</f>
        <v>0</v>
      </c>
      <c r="AO44" s="170">
        <f>SUM('10'!D500:F500)</f>
        <v>0</v>
      </c>
      <c r="AP44" s="171">
        <f t="shared" si="11"/>
        <v>0</v>
      </c>
      <c r="AQ44" s="144" t="s">
        <v>80</v>
      </c>
      <c r="AR44" s="170">
        <f>'11'!B500</f>
        <v>0</v>
      </c>
      <c r="AS44" s="170">
        <f>SUM('11'!D500:F500)</f>
        <v>0</v>
      </c>
      <c r="AT44" s="171">
        <f t="shared" si="12"/>
        <v>0</v>
      </c>
      <c r="AU44" s="144" t="s">
        <v>84</v>
      </c>
      <c r="AV44" s="170">
        <f>'12'!B500</f>
        <v>0</v>
      </c>
      <c r="AW44" s="170">
        <f>SUM('12'!D500:F500)</f>
        <v>0</v>
      </c>
      <c r="AX44" s="171">
        <f t="shared" si="13"/>
        <v>0</v>
      </c>
      <c r="AZ44" s="158">
        <f t="shared" si="23"/>
        <v>0</v>
      </c>
      <c r="BA44" s="21" t="e">
        <f t="shared" si="15"/>
        <v>#DIV/0!</v>
      </c>
      <c r="BB44" s="22" t="e">
        <f t="shared" si="20"/>
        <v>#DIV/0!</v>
      </c>
      <c r="BC44" s="22">
        <f t="shared" ca="1" si="16"/>
        <v>0</v>
      </c>
      <c r="BE44" s="226">
        <f t="shared" ca="1" si="17"/>
        <v>0</v>
      </c>
      <c r="BF44" s="21" t="e">
        <f t="shared" ca="1" si="18"/>
        <v>#DIV/0!</v>
      </c>
      <c r="BG44" s="22" t="e">
        <f t="shared" ca="1" si="21"/>
        <v>#DIV/0!</v>
      </c>
      <c r="BH44" s="22">
        <f t="shared" ca="1" si="19"/>
        <v>0</v>
      </c>
      <c r="BJ44" s="226">
        <f t="shared" ca="1" si="22"/>
        <v>0</v>
      </c>
    </row>
    <row r="45" spans="1:62" ht="16.5" thickBot="1">
      <c r="A45" s="172" t="s">
        <v>28</v>
      </c>
      <c r="B45" s="173"/>
      <c r="C45" s="174" t="s">
        <v>0</v>
      </c>
      <c r="D45" s="175">
        <f>'01'!B520</f>
        <v>0</v>
      </c>
      <c r="E45" s="176">
        <f>SUM('01'!D520:F520)</f>
        <v>0</v>
      </c>
      <c r="F45" s="177">
        <f t="shared" si="2"/>
        <v>0</v>
      </c>
      <c r="G45" s="174" t="s">
        <v>1</v>
      </c>
      <c r="H45" s="175">
        <f>'02'!B520</f>
        <v>0</v>
      </c>
      <c r="I45" s="176">
        <f>SUM('02'!D520:F520)</f>
        <v>0</v>
      </c>
      <c r="J45" s="177">
        <f t="shared" si="3"/>
        <v>0</v>
      </c>
      <c r="K45" s="174" t="s">
        <v>2</v>
      </c>
      <c r="L45" s="175">
        <f>'03'!B520</f>
        <v>0</v>
      </c>
      <c r="M45" s="176">
        <f>SUM('03'!D520:F520)</f>
        <v>0</v>
      </c>
      <c r="N45" s="177">
        <f t="shared" si="4"/>
        <v>0</v>
      </c>
      <c r="O45" s="174" t="s">
        <v>3</v>
      </c>
      <c r="P45" s="175">
        <f>'04'!B520</f>
        <v>0</v>
      </c>
      <c r="Q45" s="176">
        <f>SUM('04'!D520:F520)</f>
        <v>0</v>
      </c>
      <c r="R45" s="177">
        <f t="shared" si="5"/>
        <v>0</v>
      </c>
      <c r="S45" s="174" t="s">
        <v>71</v>
      </c>
      <c r="T45" s="175">
        <f>'05'!B520</f>
        <v>0</v>
      </c>
      <c r="U45" s="176">
        <f>SUM('05'!D520:F520)</f>
        <v>0</v>
      </c>
      <c r="V45" s="177">
        <f t="shared" si="6"/>
        <v>0</v>
      </c>
      <c r="W45" s="174" t="s">
        <v>70</v>
      </c>
      <c r="X45" s="175">
        <f>'06'!B520</f>
        <v>0</v>
      </c>
      <c r="Y45" s="176">
        <f>SUM('06'!D520:F520)</f>
        <v>0</v>
      </c>
      <c r="Z45" s="177">
        <f t="shared" si="7"/>
        <v>0</v>
      </c>
      <c r="AA45" s="174" t="s">
        <v>72</v>
      </c>
      <c r="AB45" s="175">
        <f>'07'!B520</f>
        <v>0</v>
      </c>
      <c r="AC45" s="176">
        <f>SUM('07'!D520:F520)</f>
        <v>0</v>
      </c>
      <c r="AD45" s="177">
        <f t="shared" si="8"/>
        <v>0</v>
      </c>
      <c r="AE45" s="174" t="s">
        <v>73</v>
      </c>
      <c r="AF45" s="175">
        <f>'08'!B520</f>
        <v>0</v>
      </c>
      <c r="AG45" s="176">
        <f>SUM('08'!D520:F520)</f>
        <v>0</v>
      </c>
      <c r="AH45" s="177">
        <f t="shared" si="9"/>
        <v>0</v>
      </c>
      <c r="AI45" s="174" t="s">
        <v>76</v>
      </c>
      <c r="AJ45" s="175">
        <f>'09'!B520</f>
        <v>0</v>
      </c>
      <c r="AK45" s="176">
        <f>SUM('09'!D520:F520)</f>
        <v>0</v>
      </c>
      <c r="AL45" s="177">
        <f t="shared" si="10"/>
        <v>0</v>
      </c>
      <c r="AM45" s="174" t="s">
        <v>77</v>
      </c>
      <c r="AN45" s="175">
        <f>'10'!B520</f>
        <v>0</v>
      </c>
      <c r="AO45" s="176">
        <f>SUM('10'!D520:F520)</f>
        <v>0</v>
      </c>
      <c r="AP45" s="177">
        <f t="shared" si="11"/>
        <v>0</v>
      </c>
      <c r="AQ45" s="174" t="s">
        <v>80</v>
      </c>
      <c r="AR45" s="175">
        <f>'11'!B520</f>
        <v>0</v>
      </c>
      <c r="AS45" s="176">
        <f>SUM('11'!D520:F520)</f>
        <v>0</v>
      </c>
      <c r="AT45" s="177">
        <f t="shared" si="12"/>
        <v>0</v>
      </c>
      <c r="AU45" s="174" t="s">
        <v>84</v>
      </c>
      <c r="AV45" s="175">
        <f>'12'!B520</f>
        <v>0</v>
      </c>
      <c r="AW45" s="176">
        <f>SUM('12'!D520:F520)</f>
        <v>0</v>
      </c>
      <c r="AX45" s="177">
        <f t="shared" si="13"/>
        <v>0</v>
      </c>
      <c r="AZ45" s="178">
        <f t="shared" si="23"/>
        <v>0</v>
      </c>
      <c r="BA45" s="21" t="e">
        <f t="shared" si="15"/>
        <v>#DIV/0!</v>
      </c>
      <c r="BB45" s="22" t="e">
        <f t="shared" si="20"/>
        <v>#DIV/0!</v>
      </c>
      <c r="BC45" s="22">
        <f t="shared" ca="1" si="16"/>
        <v>0</v>
      </c>
      <c r="BE45" s="227">
        <f t="shared" ca="1" si="17"/>
        <v>0</v>
      </c>
      <c r="BF45" s="21" t="e">
        <f t="shared" ca="1" si="18"/>
        <v>#DIV/0!</v>
      </c>
      <c r="BG45" s="22" t="e">
        <f t="shared" ca="1" si="21"/>
        <v>#DIV/0!</v>
      </c>
      <c r="BH45" s="22">
        <f t="shared" ca="1" si="19"/>
        <v>0</v>
      </c>
      <c r="BJ45" s="227">
        <f t="shared" ca="1" si="22"/>
        <v>0</v>
      </c>
    </row>
    <row r="46" spans="1:62" ht="17.25" thickTop="1" thickBot="1">
      <c r="A46" s="217" t="s">
        <v>5</v>
      </c>
      <c r="B46" s="218">
        <f>SUM(B20:B45)</f>
        <v>0</v>
      </c>
      <c r="C46" s="219"/>
      <c r="D46" s="220">
        <f>SUM(D20:D45)</f>
        <v>0</v>
      </c>
      <c r="E46" s="220">
        <f>SUM(E20:E45)</f>
        <v>0</v>
      </c>
      <c r="F46" s="221">
        <f>SUM(F20:F45)</f>
        <v>0</v>
      </c>
      <c r="G46" s="219"/>
      <c r="H46" s="220">
        <f>SUM(H20:H45)</f>
        <v>0</v>
      </c>
      <c r="I46" s="220">
        <f>SUM(I20:I45)</f>
        <v>0</v>
      </c>
      <c r="J46" s="221">
        <f>SUM(J20:J45)</f>
        <v>0</v>
      </c>
      <c r="K46" s="219"/>
      <c r="L46" s="220">
        <f>SUM(L20:L45)</f>
        <v>0</v>
      </c>
      <c r="M46" s="220">
        <f>SUM(M20:M45)</f>
        <v>0</v>
      </c>
      <c r="N46" s="221">
        <f>SUM(N20:N45)</f>
        <v>0</v>
      </c>
      <c r="O46" s="219"/>
      <c r="P46" s="220">
        <f>SUM(P20:P45)</f>
        <v>0</v>
      </c>
      <c r="Q46" s="220">
        <f>SUM(Q20:Q45)</f>
        <v>0</v>
      </c>
      <c r="R46" s="221">
        <f>SUM(R20:R45)</f>
        <v>0</v>
      </c>
      <c r="S46" s="219"/>
      <c r="T46" s="220">
        <f>SUM(T20:T45)</f>
        <v>0</v>
      </c>
      <c r="U46" s="220">
        <f>SUM(U20:U45)</f>
        <v>0</v>
      </c>
      <c r="V46" s="221">
        <f>SUM(V20:V45)</f>
        <v>0</v>
      </c>
      <c r="W46" s="219"/>
      <c r="X46" s="220">
        <f>SUM(X20:X45)</f>
        <v>0</v>
      </c>
      <c r="Y46" s="220">
        <f>SUM(Y20:Y45)</f>
        <v>0</v>
      </c>
      <c r="Z46" s="221">
        <f>SUM(Z20:Z45)</f>
        <v>0</v>
      </c>
      <c r="AA46" s="219"/>
      <c r="AB46" s="220">
        <f>SUM(AB20:AB45)</f>
        <v>0</v>
      </c>
      <c r="AC46" s="220">
        <f>SUM(AC20:AC45)</f>
        <v>0</v>
      </c>
      <c r="AD46" s="221">
        <f>SUM(AD20:AD45)</f>
        <v>0</v>
      </c>
      <c r="AE46" s="219"/>
      <c r="AF46" s="220">
        <f>SUM(AF20:AF45)</f>
        <v>0</v>
      </c>
      <c r="AG46" s="220">
        <f>SUM(AG20:AG45)</f>
        <v>0</v>
      </c>
      <c r="AH46" s="221">
        <f>SUM(AH20:AH45)</f>
        <v>0</v>
      </c>
      <c r="AI46" s="219"/>
      <c r="AJ46" s="220">
        <f>SUM(AJ20:AJ45)</f>
        <v>0</v>
      </c>
      <c r="AK46" s="220">
        <f>SUM(AK20:AK45)</f>
        <v>0</v>
      </c>
      <c r="AL46" s="221">
        <f>SUM(AL20:AL45)</f>
        <v>0</v>
      </c>
      <c r="AM46" s="219"/>
      <c r="AN46" s="220">
        <f>SUM(AN20:AN45)</f>
        <v>0</v>
      </c>
      <c r="AO46" s="220">
        <f>SUM(AO20:AO45)</f>
        <v>0</v>
      </c>
      <c r="AP46" s="221">
        <f>SUM(AP20:AP45)</f>
        <v>0</v>
      </c>
      <c r="AQ46" s="219"/>
      <c r="AR46" s="220">
        <f>SUM(AR20:AR45)</f>
        <v>0</v>
      </c>
      <c r="AS46" s="220">
        <f>SUM(AS20:AS45)</f>
        <v>0</v>
      </c>
      <c r="AT46" s="221">
        <f>SUM(AT20:AT45)</f>
        <v>0</v>
      </c>
      <c r="AU46" s="219"/>
      <c r="AV46" s="220">
        <f>SUM(AV20:AV45)</f>
        <v>0</v>
      </c>
      <c r="AW46" s="220">
        <f>SUM(AW20:AW45)</f>
        <v>0</v>
      </c>
      <c r="AX46" s="221">
        <f>SUM(AX20:AX45)</f>
        <v>0</v>
      </c>
      <c r="AZ46" s="228">
        <f>SUM(AZ20:AZ45)</f>
        <v>0</v>
      </c>
      <c r="BA46" s="1"/>
      <c r="BB46" s="1"/>
      <c r="BC46" s="125">
        <f ca="1">SUM(BC20:BC45)</f>
        <v>0</v>
      </c>
      <c r="BE46" s="228">
        <f ca="1">SUM(BE20:BE45)</f>
        <v>0</v>
      </c>
      <c r="BF46" s="1"/>
      <c r="BG46" s="1"/>
      <c r="BH46" s="125">
        <f ca="1">SUM(BH20:BH45)</f>
        <v>0</v>
      </c>
      <c r="BJ46" s="228">
        <f ca="1">SUM(BJ20:BJ45)</f>
        <v>0</v>
      </c>
    </row>
    <row r="47" spans="1:62" s="30" customFormat="1" ht="12.75">
      <c r="A47" s="208" t="s">
        <v>161</v>
      </c>
      <c r="B47" s="126"/>
      <c r="C47" s="126">
        <f>C5-B46</f>
        <v>15101.890000000001</v>
      </c>
      <c r="D47" s="126">
        <f>C17-D46</f>
        <v>0</v>
      </c>
      <c r="E47" s="126">
        <f>C17-E46</f>
        <v>0</v>
      </c>
      <c r="F47" s="126"/>
      <c r="G47" s="126">
        <f>G5-F46</f>
        <v>15101.890000000001</v>
      </c>
      <c r="H47" s="126">
        <f>G17-H46</f>
        <v>0</v>
      </c>
      <c r="I47" s="126">
        <f>G17-I46</f>
        <v>0</v>
      </c>
      <c r="J47" s="126"/>
      <c r="K47" s="126">
        <f>K5-J46</f>
        <v>15101.890000000001</v>
      </c>
      <c r="L47" s="126">
        <f>K17-L46</f>
        <v>0</v>
      </c>
      <c r="M47" s="126">
        <f>K17-M46</f>
        <v>0</v>
      </c>
      <c r="N47" s="126"/>
      <c r="O47" s="126">
        <f>O5-N46</f>
        <v>15101.890000000001</v>
      </c>
      <c r="P47" s="126">
        <f>O17-P46</f>
        <v>0</v>
      </c>
      <c r="Q47" s="126">
        <f>O17-Q46</f>
        <v>0</v>
      </c>
      <c r="R47" s="126"/>
      <c r="S47" s="126">
        <f>S5-R46</f>
        <v>15101.890000000001</v>
      </c>
      <c r="T47" s="126">
        <f>S17-T46</f>
        <v>0</v>
      </c>
      <c r="U47" s="126">
        <f>S17-U46</f>
        <v>0</v>
      </c>
      <c r="V47" s="126"/>
      <c r="W47" s="126">
        <f>W5-V46</f>
        <v>15101.890000000001</v>
      </c>
      <c r="X47" s="126">
        <f>W17-X46</f>
        <v>0</v>
      </c>
      <c r="Y47" s="126">
        <f>W17-Y46</f>
        <v>0</v>
      </c>
      <c r="Z47" s="126"/>
      <c r="AA47" s="126">
        <f>AA5-Z46</f>
        <v>15101.890000000001</v>
      </c>
      <c r="AB47" s="126">
        <f>AA17-AB46</f>
        <v>0</v>
      </c>
      <c r="AC47" s="126">
        <f>AA17-AC46</f>
        <v>0</v>
      </c>
      <c r="AD47" s="126"/>
      <c r="AE47" s="126">
        <f>AE5-AD46</f>
        <v>15101.890000000001</v>
      </c>
      <c r="AF47" s="126">
        <f>AE17-AF46</f>
        <v>0</v>
      </c>
      <c r="AG47" s="126">
        <f>AE17-AG46</f>
        <v>0</v>
      </c>
      <c r="AH47" s="126"/>
      <c r="AI47" s="126">
        <f>AI5-AH46</f>
        <v>15101.890000000001</v>
      </c>
      <c r="AJ47" s="126">
        <f>AI17-AJ46</f>
        <v>0</v>
      </c>
      <c r="AK47" s="126">
        <f>AI17-AK46</f>
        <v>0</v>
      </c>
      <c r="AL47" s="126"/>
      <c r="AM47" s="126">
        <f>AM5-AL46</f>
        <v>15101.890000000001</v>
      </c>
      <c r="AN47" s="126">
        <f>AM17-AN46</f>
        <v>0</v>
      </c>
      <c r="AO47" s="126">
        <f>AM17-AO46</f>
        <v>0</v>
      </c>
      <c r="AP47" s="126"/>
      <c r="AQ47" s="126">
        <f>AQ5-AP46</f>
        <v>15101.890000000001</v>
      </c>
      <c r="AR47" s="126">
        <f>AQ17-AR46</f>
        <v>0</v>
      </c>
      <c r="AS47" s="126">
        <f>AQ17-AS46</f>
        <v>0</v>
      </c>
      <c r="AT47" s="141"/>
      <c r="AU47" s="126">
        <f>AU5-AT46</f>
        <v>15101.890000000001</v>
      </c>
      <c r="AV47" s="126">
        <f>AU17-AV46</f>
        <v>0</v>
      </c>
      <c r="AW47" s="126">
        <f>AU17-AW46</f>
        <v>0</v>
      </c>
      <c r="AX47" s="126"/>
      <c r="AZ47" s="126"/>
      <c r="BA47" s="29"/>
      <c r="BB47" s="29"/>
      <c r="BC47" s="29"/>
    </row>
    <row r="48" spans="1:62" ht="15.75">
      <c r="A48" s="203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3">
        <f>4000*12</f>
        <v>48000</v>
      </c>
      <c r="BA48" s="113"/>
      <c r="BB48" s="1" t="s">
        <v>199</v>
      </c>
      <c r="BC48" s="113">
        <f ca="1">12*BC46</f>
        <v>0</v>
      </c>
    </row>
    <row r="49" spans="1:62">
      <c r="C49" s="39"/>
      <c r="AZ49" s="39"/>
      <c r="BE49" s="112"/>
      <c r="BJ49" s="112"/>
    </row>
    <row r="50" spans="1:62">
      <c r="A50" s="209" t="s">
        <v>154</v>
      </c>
      <c r="B50" s="120"/>
      <c r="C50" s="120"/>
      <c r="D50" s="120"/>
      <c r="E50" s="120">
        <f>E22</f>
        <v>0</v>
      </c>
      <c r="F50" s="120"/>
      <c r="G50" s="120"/>
      <c r="H50" s="120"/>
      <c r="I50" s="120">
        <f>I22</f>
        <v>0</v>
      </c>
      <c r="J50" s="120"/>
      <c r="K50" s="120"/>
      <c r="L50" s="120"/>
      <c r="M50" s="120">
        <f>M22</f>
        <v>0</v>
      </c>
      <c r="N50" s="120"/>
      <c r="O50" s="120"/>
      <c r="P50" s="120"/>
      <c r="Q50" s="120">
        <f>Q22</f>
        <v>0</v>
      </c>
      <c r="R50" s="120"/>
      <c r="S50" s="120"/>
      <c r="T50" s="120"/>
      <c r="U50" s="120">
        <f>U22</f>
        <v>0</v>
      </c>
      <c r="V50" s="120"/>
      <c r="W50" s="120"/>
      <c r="X50" s="120"/>
      <c r="Y50" s="120">
        <f>Y22</f>
        <v>0</v>
      </c>
      <c r="Z50" s="120"/>
      <c r="AA50" s="120"/>
      <c r="AB50" s="120"/>
      <c r="AC50" s="120">
        <f>AC22</f>
        <v>0</v>
      </c>
      <c r="AD50" s="120"/>
      <c r="AE50" s="120"/>
      <c r="AF50" s="120"/>
      <c r="AG50" s="120">
        <f>AG22</f>
        <v>0</v>
      </c>
      <c r="AH50" s="120"/>
      <c r="AI50" s="120"/>
      <c r="AJ50" s="120"/>
      <c r="AK50" s="120">
        <f>AK22</f>
        <v>0</v>
      </c>
      <c r="AL50" s="120"/>
      <c r="AM50" s="120"/>
      <c r="AN50" s="120"/>
      <c r="AO50" s="120">
        <f>AO22</f>
        <v>0</v>
      </c>
      <c r="AP50" s="120"/>
      <c r="AQ50" s="120"/>
      <c r="AR50" s="120"/>
      <c r="AS50" s="120">
        <f>AS22</f>
        <v>0</v>
      </c>
      <c r="AT50" s="120"/>
      <c r="AU50" s="120"/>
      <c r="AV50" s="120"/>
      <c r="AW50" s="120">
        <f>AW22</f>
        <v>0</v>
      </c>
      <c r="AX50" s="120"/>
      <c r="AZ50" s="120"/>
    </row>
    <row r="51" spans="1:62" ht="15.75" thickBot="1"/>
    <row r="52" spans="1:62">
      <c r="C52" s="234" t="s">
        <v>149</v>
      </c>
      <c r="D52" s="235"/>
      <c r="E52" s="235"/>
      <c r="F52" s="236"/>
      <c r="G52" s="234" t="s">
        <v>149</v>
      </c>
      <c r="H52" s="235"/>
      <c r="I52" s="235"/>
      <c r="J52" s="236"/>
      <c r="K52" s="234" t="s">
        <v>149</v>
      </c>
      <c r="L52" s="235"/>
      <c r="M52" s="235"/>
      <c r="N52" s="236"/>
      <c r="O52" s="234" t="s">
        <v>149</v>
      </c>
      <c r="P52" s="235"/>
      <c r="Q52" s="235"/>
      <c r="R52" s="236"/>
      <c r="S52" s="234" t="s">
        <v>149</v>
      </c>
      <c r="T52" s="235"/>
      <c r="U52" s="235"/>
      <c r="V52" s="236"/>
      <c r="W52" s="234" t="s">
        <v>149</v>
      </c>
      <c r="X52" s="235"/>
      <c r="Y52" s="235"/>
      <c r="Z52" s="236"/>
      <c r="AA52" s="234" t="s">
        <v>149</v>
      </c>
      <c r="AB52" s="235"/>
      <c r="AC52" s="235"/>
      <c r="AD52" s="236"/>
      <c r="AE52" s="234" t="s">
        <v>149</v>
      </c>
      <c r="AF52" s="235"/>
      <c r="AG52" s="235"/>
      <c r="AH52" s="236"/>
      <c r="AI52" s="234" t="s">
        <v>149</v>
      </c>
      <c r="AJ52" s="235"/>
      <c r="AK52" s="235"/>
      <c r="AL52" s="236"/>
      <c r="AM52" s="234" t="s">
        <v>149</v>
      </c>
      <c r="AN52" s="235"/>
      <c r="AO52" s="235"/>
      <c r="AP52" s="236"/>
      <c r="AQ52" s="234" t="s">
        <v>149</v>
      </c>
      <c r="AR52" s="235"/>
      <c r="AS52" s="235"/>
      <c r="AT52" s="236"/>
      <c r="AU52" s="234" t="s">
        <v>149</v>
      </c>
      <c r="AV52" s="235"/>
      <c r="AW52" s="235"/>
      <c r="AX52" s="236"/>
    </row>
    <row r="53" spans="1:62" ht="15.75" thickBot="1">
      <c r="C53" s="94" t="s">
        <v>150</v>
      </c>
      <c r="D53" s="237" t="s">
        <v>31</v>
      </c>
      <c r="E53" s="238"/>
      <c r="F53" s="95" t="s">
        <v>88</v>
      </c>
      <c r="G53" s="94" t="s">
        <v>150</v>
      </c>
      <c r="H53" s="237" t="s">
        <v>31</v>
      </c>
      <c r="I53" s="238"/>
      <c r="J53" s="95" t="s">
        <v>88</v>
      </c>
      <c r="K53" s="94" t="s">
        <v>150</v>
      </c>
      <c r="L53" s="237" t="s">
        <v>31</v>
      </c>
      <c r="M53" s="238"/>
      <c r="N53" s="95" t="s">
        <v>88</v>
      </c>
      <c r="O53" s="94" t="s">
        <v>150</v>
      </c>
      <c r="P53" s="237" t="s">
        <v>31</v>
      </c>
      <c r="Q53" s="238"/>
      <c r="R53" s="95" t="s">
        <v>88</v>
      </c>
      <c r="S53" s="94" t="s">
        <v>150</v>
      </c>
      <c r="T53" s="237" t="s">
        <v>31</v>
      </c>
      <c r="U53" s="238"/>
      <c r="V53" s="95" t="s">
        <v>88</v>
      </c>
      <c r="W53" s="94" t="s">
        <v>150</v>
      </c>
      <c r="X53" s="237" t="s">
        <v>31</v>
      </c>
      <c r="Y53" s="238"/>
      <c r="Z53" s="95" t="s">
        <v>88</v>
      </c>
      <c r="AA53" s="94" t="s">
        <v>150</v>
      </c>
      <c r="AB53" s="237" t="s">
        <v>31</v>
      </c>
      <c r="AC53" s="238"/>
      <c r="AD53" s="95" t="s">
        <v>88</v>
      </c>
      <c r="AE53" s="94" t="s">
        <v>150</v>
      </c>
      <c r="AF53" s="237" t="s">
        <v>31</v>
      </c>
      <c r="AG53" s="238"/>
      <c r="AH53" s="95" t="s">
        <v>88</v>
      </c>
      <c r="AI53" s="94" t="s">
        <v>150</v>
      </c>
      <c r="AJ53" s="237" t="s">
        <v>31</v>
      </c>
      <c r="AK53" s="238"/>
      <c r="AL53" s="95" t="s">
        <v>88</v>
      </c>
      <c r="AM53" s="94" t="s">
        <v>150</v>
      </c>
      <c r="AN53" s="237" t="s">
        <v>31</v>
      </c>
      <c r="AO53" s="238"/>
      <c r="AP53" s="95" t="s">
        <v>88</v>
      </c>
      <c r="AQ53" s="94" t="s">
        <v>150</v>
      </c>
      <c r="AR53" s="237" t="s">
        <v>31</v>
      </c>
      <c r="AS53" s="238"/>
      <c r="AT53" s="95" t="s">
        <v>88</v>
      </c>
      <c r="AU53" s="94" t="s">
        <v>150</v>
      </c>
      <c r="AV53" s="237" t="s">
        <v>31</v>
      </c>
      <c r="AW53" s="238"/>
      <c r="AX53" s="95" t="s">
        <v>88</v>
      </c>
    </row>
    <row r="54" spans="1:62">
      <c r="C54" s="96"/>
      <c r="D54" s="239"/>
      <c r="E54" s="240"/>
      <c r="F54" s="99"/>
      <c r="G54" s="96"/>
      <c r="H54" s="239"/>
      <c r="I54" s="240"/>
      <c r="J54" s="101"/>
      <c r="K54" s="96"/>
      <c r="L54" s="245"/>
      <c r="M54" s="246"/>
      <c r="N54" s="101"/>
      <c r="O54" s="96"/>
      <c r="P54" s="245"/>
      <c r="Q54" s="246"/>
      <c r="R54" s="103"/>
      <c r="S54" s="96"/>
      <c r="T54" s="245"/>
      <c r="U54" s="246"/>
      <c r="V54" s="104"/>
      <c r="W54" s="97"/>
      <c r="X54" s="247"/>
      <c r="Y54" s="248"/>
      <c r="Z54" s="105"/>
      <c r="AA54" s="96"/>
      <c r="AB54" s="257"/>
      <c r="AC54" s="258"/>
      <c r="AD54" s="101"/>
      <c r="AE54" s="96"/>
      <c r="AF54" s="253"/>
      <c r="AG54" s="254"/>
      <c r="AH54" s="101"/>
      <c r="AI54" s="96"/>
      <c r="AJ54" s="249"/>
      <c r="AK54" s="250"/>
      <c r="AL54" s="101"/>
      <c r="AM54" s="96"/>
      <c r="AN54" s="249"/>
      <c r="AO54" s="250"/>
      <c r="AP54" s="101"/>
      <c r="AQ54" s="96"/>
      <c r="AR54" s="245"/>
      <c r="AS54" s="246"/>
      <c r="AT54" s="101"/>
      <c r="AU54" s="96"/>
      <c r="AV54" s="239"/>
      <c r="AW54" s="240"/>
      <c r="AX54" s="101"/>
    </row>
    <row r="55" spans="1:62">
      <c r="C55" s="97"/>
      <c r="D55" s="230"/>
      <c r="E55" s="231"/>
      <c r="F55" s="99"/>
      <c r="G55" s="97"/>
      <c r="H55" s="230"/>
      <c r="I55" s="231"/>
      <c r="J55" s="101"/>
      <c r="K55" s="97"/>
      <c r="L55" s="259"/>
      <c r="M55" s="260"/>
      <c r="N55" s="101"/>
      <c r="O55" s="97"/>
      <c r="P55" s="247"/>
      <c r="Q55" s="248"/>
      <c r="R55" s="103"/>
      <c r="S55" s="97"/>
      <c r="T55" s="247"/>
      <c r="U55" s="248"/>
      <c r="V55" s="101"/>
      <c r="W55" s="97"/>
      <c r="X55" s="247"/>
      <c r="Y55" s="248"/>
      <c r="Z55" s="101"/>
      <c r="AA55" s="97"/>
      <c r="AB55" s="230"/>
      <c r="AC55" s="231"/>
      <c r="AD55" s="101"/>
      <c r="AE55" s="97"/>
      <c r="AF55" s="247"/>
      <c r="AG55" s="248"/>
      <c r="AH55" s="101"/>
      <c r="AI55" s="97"/>
      <c r="AJ55" s="247"/>
      <c r="AK55" s="248"/>
      <c r="AL55" s="101"/>
      <c r="AM55" s="97"/>
      <c r="AN55" s="247"/>
      <c r="AO55" s="248"/>
      <c r="AP55" s="101"/>
      <c r="AQ55" s="97"/>
      <c r="AR55" s="230"/>
      <c r="AS55" s="231"/>
      <c r="AT55" s="101"/>
      <c r="AU55" s="97"/>
      <c r="AV55" s="230"/>
      <c r="AW55" s="231"/>
      <c r="AX55" s="101"/>
    </row>
    <row r="56" spans="1:62">
      <c r="C56" s="97"/>
      <c r="D56" s="230"/>
      <c r="E56" s="231"/>
      <c r="F56" s="99"/>
      <c r="G56" s="97"/>
      <c r="H56" s="230"/>
      <c r="I56" s="231"/>
      <c r="J56" s="101"/>
      <c r="K56" s="97"/>
      <c r="L56" s="230"/>
      <c r="M56" s="231"/>
      <c r="N56" s="101"/>
      <c r="O56" s="97"/>
      <c r="P56" s="247"/>
      <c r="Q56" s="248"/>
      <c r="R56" s="103"/>
      <c r="S56" s="97"/>
      <c r="T56" s="230"/>
      <c r="U56" s="231"/>
      <c r="V56" s="101"/>
      <c r="W56" s="97"/>
      <c r="X56" s="230"/>
      <c r="Y56" s="231"/>
      <c r="Z56" s="101"/>
      <c r="AA56" s="97"/>
      <c r="AB56" s="230"/>
      <c r="AC56" s="231"/>
      <c r="AD56" s="101"/>
      <c r="AE56" s="97"/>
      <c r="AF56" s="247"/>
      <c r="AG56" s="248"/>
      <c r="AH56" s="101"/>
      <c r="AI56" s="97"/>
      <c r="AJ56" s="251"/>
      <c r="AK56" s="252"/>
      <c r="AL56" s="101"/>
      <c r="AM56" s="97"/>
      <c r="AN56" s="251"/>
      <c r="AO56" s="252"/>
      <c r="AP56" s="101"/>
      <c r="AQ56" s="97"/>
      <c r="AR56" s="247"/>
      <c r="AS56" s="248"/>
      <c r="AT56" s="101"/>
      <c r="AU56" s="97"/>
      <c r="AV56" s="230"/>
      <c r="AW56" s="231"/>
      <c r="AX56" s="101"/>
    </row>
    <row r="57" spans="1:62">
      <c r="C57" s="97"/>
      <c r="D57" s="230"/>
      <c r="E57" s="231"/>
      <c r="F57" s="99"/>
      <c r="G57" s="97"/>
      <c r="H57" s="230"/>
      <c r="I57" s="231"/>
      <c r="J57" s="101"/>
      <c r="K57" s="97"/>
      <c r="L57" s="230"/>
      <c r="M57" s="231"/>
      <c r="N57" s="101"/>
      <c r="O57" s="97"/>
      <c r="P57" s="247"/>
      <c r="Q57" s="248"/>
      <c r="R57" s="101"/>
      <c r="S57" s="97"/>
      <c r="T57" s="230"/>
      <c r="U57" s="231"/>
      <c r="V57" s="101"/>
      <c r="W57" s="97"/>
      <c r="X57" s="230"/>
      <c r="Y57" s="231"/>
      <c r="Z57" s="101"/>
      <c r="AA57" s="97"/>
      <c r="AB57" s="247"/>
      <c r="AC57" s="248"/>
      <c r="AD57" s="101"/>
      <c r="AE57" s="97"/>
      <c r="AF57" s="230"/>
      <c r="AG57" s="231"/>
      <c r="AH57" s="101"/>
      <c r="AI57" s="97"/>
      <c r="AJ57" s="241"/>
      <c r="AK57" s="242"/>
      <c r="AL57" s="101"/>
      <c r="AM57" s="97"/>
      <c r="AN57" s="251"/>
      <c r="AO57" s="252"/>
      <c r="AP57" s="101"/>
      <c r="AQ57" s="97"/>
      <c r="AR57" s="230"/>
      <c r="AS57" s="231"/>
      <c r="AT57" s="101"/>
      <c r="AU57" s="97"/>
      <c r="AV57" s="230"/>
      <c r="AW57" s="231"/>
      <c r="AX57" s="101"/>
    </row>
    <row r="58" spans="1:62">
      <c r="C58" s="97"/>
      <c r="D58" s="230"/>
      <c r="E58" s="231"/>
      <c r="F58" s="99"/>
      <c r="G58" s="97"/>
      <c r="H58" s="230"/>
      <c r="I58" s="231"/>
      <c r="J58" s="101"/>
      <c r="K58" s="97"/>
      <c r="L58" s="230"/>
      <c r="M58" s="231"/>
      <c r="N58" s="101"/>
      <c r="O58" s="97"/>
      <c r="P58" s="230"/>
      <c r="Q58" s="231"/>
      <c r="R58" s="101"/>
      <c r="S58" s="97"/>
      <c r="T58" s="230"/>
      <c r="U58" s="231"/>
      <c r="V58" s="101"/>
      <c r="W58" s="97"/>
      <c r="X58" s="230"/>
      <c r="Y58" s="231"/>
      <c r="Z58" s="101"/>
      <c r="AA58" s="97"/>
      <c r="AB58" s="247"/>
      <c r="AC58" s="248"/>
      <c r="AD58" s="101"/>
      <c r="AE58" s="97"/>
      <c r="AF58" s="230"/>
      <c r="AG58" s="231"/>
      <c r="AH58" s="101"/>
      <c r="AI58" s="97"/>
      <c r="AJ58" s="241"/>
      <c r="AK58" s="242"/>
      <c r="AL58" s="101"/>
      <c r="AM58" s="97"/>
      <c r="AN58" s="241"/>
      <c r="AO58" s="242"/>
      <c r="AP58" s="101"/>
      <c r="AQ58" s="97"/>
      <c r="AR58" s="230"/>
      <c r="AS58" s="231"/>
      <c r="AT58" s="101"/>
      <c r="AU58" s="97"/>
      <c r="AV58" s="230"/>
      <c r="AW58" s="231"/>
      <c r="AX58" s="101"/>
    </row>
    <row r="59" spans="1:62">
      <c r="C59" s="97"/>
      <c r="D59" s="230"/>
      <c r="E59" s="231"/>
      <c r="F59" s="99"/>
      <c r="G59" s="97"/>
      <c r="H59" s="230"/>
      <c r="I59" s="231"/>
      <c r="J59" s="101"/>
      <c r="K59" s="97"/>
      <c r="L59" s="230"/>
      <c r="M59" s="231"/>
      <c r="N59" s="101"/>
      <c r="O59" s="97"/>
      <c r="P59" s="230"/>
      <c r="Q59" s="231"/>
      <c r="R59" s="101"/>
      <c r="S59" s="97"/>
      <c r="T59" s="251"/>
      <c r="U59" s="252"/>
      <c r="V59" s="101"/>
      <c r="W59" s="97"/>
      <c r="X59" s="251"/>
      <c r="Y59" s="252"/>
      <c r="Z59" s="101"/>
      <c r="AA59" s="97"/>
      <c r="AB59" s="251"/>
      <c r="AC59" s="252"/>
      <c r="AD59" s="101"/>
      <c r="AE59" s="97"/>
      <c r="AF59" s="230"/>
      <c r="AG59" s="231"/>
      <c r="AH59" s="101"/>
      <c r="AI59" s="97"/>
      <c r="AJ59" s="241"/>
      <c r="AK59" s="242"/>
      <c r="AL59" s="101"/>
      <c r="AM59" s="97"/>
      <c r="AN59" s="241"/>
      <c r="AO59" s="242"/>
      <c r="AP59" s="101"/>
      <c r="AQ59" s="97"/>
      <c r="AR59" s="230"/>
      <c r="AS59" s="231"/>
      <c r="AT59" s="101"/>
      <c r="AU59" s="97"/>
      <c r="AV59" s="230"/>
      <c r="AW59" s="231"/>
      <c r="AX59" s="101"/>
    </row>
    <row r="60" spans="1:62">
      <c r="C60" s="97"/>
      <c r="D60" s="230"/>
      <c r="E60" s="231"/>
      <c r="F60" s="99"/>
      <c r="G60" s="97"/>
      <c r="H60" s="230"/>
      <c r="I60" s="231"/>
      <c r="J60" s="101"/>
      <c r="K60" s="97"/>
      <c r="L60" s="230"/>
      <c r="M60" s="231"/>
      <c r="N60" s="101"/>
      <c r="O60" s="97"/>
      <c r="P60" s="230"/>
      <c r="Q60" s="231"/>
      <c r="R60" s="101"/>
      <c r="S60" s="97"/>
      <c r="T60" s="251"/>
      <c r="U60" s="252"/>
      <c r="V60" s="101"/>
      <c r="W60" s="97"/>
      <c r="X60" s="241"/>
      <c r="Y60" s="242"/>
      <c r="Z60" s="101"/>
      <c r="AA60" s="97"/>
      <c r="AB60" s="241"/>
      <c r="AC60" s="242"/>
      <c r="AD60" s="101"/>
      <c r="AE60" s="97"/>
      <c r="AF60" s="251"/>
      <c r="AG60" s="252"/>
      <c r="AH60" s="101"/>
      <c r="AI60" s="97"/>
      <c r="AJ60" s="241"/>
      <c r="AK60" s="242"/>
      <c r="AL60" s="101"/>
      <c r="AM60" s="97"/>
      <c r="AN60" s="241"/>
      <c r="AO60" s="242"/>
      <c r="AP60" s="101"/>
      <c r="AQ60" s="97"/>
      <c r="AR60" s="230"/>
      <c r="AS60" s="231"/>
      <c r="AT60" s="101"/>
      <c r="AU60" s="97"/>
      <c r="AV60" s="230"/>
      <c r="AW60" s="231"/>
      <c r="AX60" s="101"/>
    </row>
    <row r="61" spans="1:62">
      <c r="C61" s="97"/>
      <c r="D61" s="230"/>
      <c r="E61" s="231"/>
      <c r="F61" s="99"/>
      <c r="G61" s="97"/>
      <c r="H61" s="230"/>
      <c r="I61" s="231"/>
      <c r="J61" s="101"/>
      <c r="K61" s="97"/>
      <c r="L61" s="230"/>
      <c r="M61" s="231"/>
      <c r="N61" s="101"/>
      <c r="O61" s="97"/>
      <c r="P61" s="230"/>
      <c r="Q61" s="231"/>
      <c r="R61" s="101"/>
      <c r="S61" s="97"/>
      <c r="T61" s="251"/>
      <c r="U61" s="252"/>
      <c r="V61" s="101"/>
      <c r="W61" s="97"/>
      <c r="X61" s="241"/>
      <c r="Y61" s="242"/>
      <c r="Z61" s="101"/>
      <c r="AA61" s="97"/>
      <c r="AB61" s="241"/>
      <c r="AC61" s="242"/>
      <c r="AD61" s="101"/>
      <c r="AE61" s="97"/>
      <c r="AF61" s="241"/>
      <c r="AG61" s="242"/>
      <c r="AH61" s="101"/>
      <c r="AI61" s="97"/>
      <c r="AJ61" s="241"/>
      <c r="AK61" s="242"/>
      <c r="AL61" s="101"/>
      <c r="AM61" s="97"/>
      <c r="AN61" s="241"/>
      <c r="AO61" s="242"/>
      <c r="AP61" s="101"/>
      <c r="AQ61" s="97"/>
      <c r="AR61" s="230"/>
      <c r="AS61" s="231"/>
      <c r="AT61" s="101"/>
      <c r="AU61" s="97"/>
      <c r="AV61" s="230"/>
      <c r="AW61" s="231"/>
      <c r="AX61" s="101"/>
    </row>
    <row r="62" spans="1:62">
      <c r="C62" s="97"/>
      <c r="D62" s="230"/>
      <c r="E62" s="231"/>
      <c r="F62" s="99"/>
      <c r="G62" s="97"/>
      <c r="H62" s="230"/>
      <c r="I62" s="231"/>
      <c r="J62" s="101"/>
      <c r="K62" s="97"/>
      <c r="L62" s="230"/>
      <c r="M62" s="231"/>
      <c r="N62" s="101"/>
      <c r="O62" s="97"/>
      <c r="P62" s="230"/>
      <c r="Q62" s="231"/>
      <c r="R62" s="101"/>
      <c r="S62" s="97"/>
      <c r="T62" s="251"/>
      <c r="U62" s="252"/>
      <c r="V62" s="101"/>
      <c r="W62" s="97"/>
      <c r="X62" s="241"/>
      <c r="Y62" s="242"/>
      <c r="Z62" s="101"/>
      <c r="AA62" s="97"/>
      <c r="AB62" s="241"/>
      <c r="AC62" s="242"/>
      <c r="AD62" s="101"/>
      <c r="AE62" s="97"/>
      <c r="AF62" s="241"/>
      <c r="AG62" s="242"/>
      <c r="AH62" s="101"/>
      <c r="AI62" s="97"/>
      <c r="AJ62" s="241"/>
      <c r="AK62" s="242"/>
      <c r="AL62" s="101"/>
      <c r="AM62" s="97"/>
      <c r="AN62" s="241"/>
      <c r="AO62" s="242"/>
      <c r="AP62" s="101"/>
      <c r="AQ62" s="97"/>
      <c r="AR62" s="230"/>
      <c r="AS62" s="231"/>
      <c r="AT62" s="101"/>
      <c r="AU62" s="97"/>
      <c r="AV62" s="230"/>
      <c r="AW62" s="231"/>
      <c r="AX62" s="101"/>
    </row>
    <row r="63" spans="1:62">
      <c r="C63" s="97"/>
      <c r="D63" s="230"/>
      <c r="E63" s="231"/>
      <c r="F63" s="99"/>
      <c r="G63" s="97"/>
      <c r="H63" s="230"/>
      <c r="I63" s="231"/>
      <c r="J63" s="101"/>
      <c r="K63" s="97"/>
      <c r="L63" s="230"/>
      <c r="M63" s="231"/>
      <c r="N63" s="101"/>
      <c r="O63" s="97"/>
      <c r="P63" s="230"/>
      <c r="Q63" s="231"/>
      <c r="R63" s="101"/>
      <c r="S63" s="97"/>
      <c r="T63" s="251"/>
      <c r="U63" s="252"/>
      <c r="V63" s="101"/>
      <c r="W63" s="97"/>
      <c r="X63" s="241"/>
      <c r="Y63" s="242"/>
      <c r="Z63" s="101"/>
      <c r="AA63" s="97"/>
      <c r="AB63" s="241"/>
      <c r="AC63" s="242"/>
      <c r="AD63" s="101"/>
      <c r="AE63" s="97"/>
      <c r="AF63" s="241"/>
      <c r="AG63" s="242"/>
      <c r="AH63" s="101"/>
      <c r="AI63" s="97"/>
      <c r="AJ63" s="241"/>
      <c r="AK63" s="242"/>
      <c r="AL63" s="101"/>
      <c r="AM63" s="97"/>
      <c r="AN63" s="241"/>
      <c r="AO63" s="242"/>
      <c r="AP63" s="101"/>
      <c r="AQ63" s="97"/>
      <c r="AR63" s="230"/>
      <c r="AS63" s="231"/>
      <c r="AT63" s="101"/>
      <c r="AU63" s="97"/>
      <c r="AV63" s="230"/>
      <c r="AW63" s="231"/>
      <c r="AX63" s="101"/>
    </row>
    <row r="64" spans="1:62">
      <c r="C64" s="97"/>
      <c r="D64" s="230"/>
      <c r="E64" s="231"/>
      <c r="F64" s="99"/>
      <c r="G64" s="97"/>
      <c r="H64" s="230"/>
      <c r="I64" s="231"/>
      <c r="J64" s="101"/>
      <c r="K64" s="97"/>
      <c r="L64" s="230"/>
      <c r="M64" s="231"/>
      <c r="N64" s="101"/>
      <c r="O64" s="97"/>
      <c r="P64" s="230"/>
      <c r="Q64" s="231"/>
      <c r="R64" s="101"/>
      <c r="S64" s="97"/>
      <c r="T64" s="251"/>
      <c r="U64" s="252"/>
      <c r="V64" s="101"/>
      <c r="W64" s="97"/>
      <c r="X64" s="241"/>
      <c r="Y64" s="242"/>
      <c r="Z64" s="101"/>
      <c r="AA64" s="97"/>
      <c r="AB64" s="241"/>
      <c r="AC64" s="242"/>
      <c r="AD64" s="101"/>
      <c r="AE64" s="97"/>
      <c r="AF64" s="241"/>
      <c r="AG64" s="242"/>
      <c r="AH64" s="101"/>
      <c r="AI64" s="97"/>
      <c r="AJ64" s="241"/>
      <c r="AK64" s="242"/>
      <c r="AL64" s="101"/>
      <c r="AM64" s="97"/>
      <c r="AN64" s="241"/>
      <c r="AO64" s="242"/>
      <c r="AP64" s="101"/>
      <c r="AQ64" s="97"/>
      <c r="AR64" s="230"/>
      <c r="AS64" s="231"/>
      <c r="AT64" s="101"/>
      <c r="AU64" s="97"/>
      <c r="AV64" s="230"/>
      <c r="AW64" s="231"/>
      <c r="AX64" s="101"/>
    </row>
    <row r="65" spans="3:50">
      <c r="C65" s="97"/>
      <c r="D65" s="230"/>
      <c r="E65" s="231"/>
      <c r="F65" s="99"/>
      <c r="G65" s="97"/>
      <c r="H65" s="230"/>
      <c r="I65" s="231"/>
      <c r="J65" s="101"/>
      <c r="K65" s="97"/>
      <c r="L65" s="230"/>
      <c r="M65" s="231"/>
      <c r="N65" s="101"/>
      <c r="O65" s="97"/>
      <c r="P65" s="230"/>
      <c r="Q65" s="231"/>
      <c r="R65" s="101"/>
      <c r="S65" s="97"/>
      <c r="T65" s="251"/>
      <c r="U65" s="252"/>
      <c r="V65" s="101"/>
      <c r="W65" s="97"/>
      <c r="X65" s="241"/>
      <c r="Y65" s="242"/>
      <c r="Z65" s="101"/>
      <c r="AA65" s="97"/>
      <c r="AB65" s="241"/>
      <c r="AC65" s="242"/>
      <c r="AD65" s="101"/>
      <c r="AE65" s="97"/>
      <c r="AF65" s="241"/>
      <c r="AG65" s="242"/>
      <c r="AH65" s="101"/>
      <c r="AI65" s="97"/>
      <c r="AJ65" s="241"/>
      <c r="AK65" s="242"/>
      <c r="AL65" s="101"/>
      <c r="AM65" s="97"/>
      <c r="AN65" s="241"/>
      <c r="AO65" s="242"/>
      <c r="AP65" s="101"/>
      <c r="AQ65" s="97"/>
      <c r="AR65" s="230"/>
      <c r="AS65" s="231"/>
      <c r="AT65" s="101"/>
      <c r="AU65" s="97"/>
      <c r="AV65" s="230"/>
      <c r="AW65" s="231"/>
      <c r="AX65" s="101"/>
    </row>
    <row r="66" spans="3:50">
      <c r="C66" s="97"/>
      <c r="D66" s="230"/>
      <c r="E66" s="231"/>
      <c r="F66" s="99"/>
      <c r="G66" s="97"/>
      <c r="H66" s="230"/>
      <c r="I66" s="231"/>
      <c r="J66" s="101"/>
      <c r="K66" s="97"/>
      <c r="L66" s="230"/>
      <c r="M66" s="231"/>
      <c r="N66" s="101"/>
      <c r="O66" s="97"/>
      <c r="P66" s="230"/>
      <c r="Q66" s="231"/>
      <c r="R66" s="101"/>
      <c r="S66" s="97"/>
      <c r="T66" s="241"/>
      <c r="U66" s="242"/>
      <c r="V66" s="101"/>
      <c r="W66" s="97"/>
      <c r="X66" s="241"/>
      <c r="Y66" s="242"/>
      <c r="Z66" s="101"/>
      <c r="AA66" s="97"/>
      <c r="AB66" s="241"/>
      <c r="AC66" s="242"/>
      <c r="AD66" s="101"/>
      <c r="AE66" s="97"/>
      <c r="AF66" s="241"/>
      <c r="AG66" s="242"/>
      <c r="AH66" s="101"/>
      <c r="AI66" s="97"/>
      <c r="AJ66" s="241"/>
      <c r="AK66" s="242"/>
      <c r="AL66" s="101"/>
      <c r="AM66" s="97"/>
      <c r="AN66" s="241"/>
      <c r="AO66" s="242"/>
      <c r="AP66" s="101"/>
      <c r="AQ66" s="97"/>
      <c r="AR66" s="230"/>
      <c r="AS66" s="231"/>
      <c r="AT66" s="101"/>
      <c r="AU66" s="97"/>
      <c r="AV66" s="230"/>
      <c r="AW66" s="231"/>
      <c r="AX66" s="101"/>
    </row>
    <row r="67" spans="3:50">
      <c r="C67" s="97"/>
      <c r="D67" s="230"/>
      <c r="E67" s="231"/>
      <c r="F67" s="99"/>
      <c r="G67" s="97"/>
      <c r="H67" s="230"/>
      <c r="I67" s="231"/>
      <c r="J67" s="101"/>
      <c r="K67" s="97"/>
      <c r="L67" s="230"/>
      <c r="M67" s="231"/>
      <c r="N67" s="101"/>
      <c r="O67" s="97"/>
      <c r="P67" s="230"/>
      <c r="Q67" s="231"/>
      <c r="R67" s="101"/>
      <c r="S67" s="97"/>
      <c r="T67" s="241"/>
      <c r="U67" s="242"/>
      <c r="V67" s="101"/>
      <c r="W67" s="97"/>
      <c r="X67" s="241"/>
      <c r="Y67" s="242"/>
      <c r="Z67" s="101"/>
      <c r="AA67" s="97"/>
      <c r="AB67" s="241"/>
      <c r="AC67" s="242"/>
      <c r="AD67" s="101"/>
      <c r="AE67" s="97"/>
      <c r="AF67" s="241"/>
      <c r="AG67" s="242"/>
      <c r="AH67" s="101"/>
      <c r="AI67" s="97"/>
      <c r="AJ67" s="241"/>
      <c r="AK67" s="242"/>
      <c r="AL67" s="101"/>
      <c r="AM67" s="97"/>
      <c r="AN67" s="241"/>
      <c r="AO67" s="242"/>
      <c r="AP67" s="101"/>
      <c r="AQ67" s="97"/>
      <c r="AR67" s="230"/>
      <c r="AS67" s="231"/>
      <c r="AT67" s="101"/>
      <c r="AU67" s="97"/>
      <c r="AV67" s="230"/>
      <c r="AW67" s="231"/>
      <c r="AX67" s="101"/>
    </row>
    <row r="68" spans="3:50">
      <c r="C68" s="97"/>
      <c r="D68" s="230"/>
      <c r="E68" s="231"/>
      <c r="F68" s="99"/>
      <c r="G68" s="97"/>
      <c r="H68" s="230"/>
      <c r="I68" s="231"/>
      <c r="J68" s="101"/>
      <c r="K68" s="97"/>
      <c r="L68" s="230"/>
      <c r="M68" s="231"/>
      <c r="N68" s="101"/>
      <c r="O68" s="97"/>
      <c r="P68" s="230"/>
      <c r="Q68" s="231"/>
      <c r="R68" s="101"/>
      <c r="S68" s="97"/>
      <c r="T68" s="241"/>
      <c r="U68" s="242"/>
      <c r="V68" s="101"/>
      <c r="W68" s="97"/>
      <c r="X68" s="241"/>
      <c r="Y68" s="242"/>
      <c r="Z68" s="101"/>
      <c r="AA68" s="97"/>
      <c r="AB68" s="241"/>
      <c r="AC68" s="242"/>
      <c r="AD68" s="101"/>
      <c r="AE68" s="97"/>
      <c r="AF68" s="241"/>
      <c r="AG68" s="242"/>
      <c r="AH68" s="101"/>
      <c r="AI68" s="97"/>
      <c r="AJ68" s="241"/>
      <c r="AK68" s="242"/>
      <c r="AL68" s="101"/>
      <c r="AM68" s="97"/>
      <c r="AN68" s="241"/>
      <c r="AO68" s="242"/>
      <c r="AP68" s="101"/>
      <c r="AQ68" s="97"/>
      <c r="AR68" s="230"/>
      <c r="AS68" s="231"/>
      <c r="AT68" s="101"/>
      <c r="AU68" s="97"/>
      <c r="AV68" s="230"/>
      <c r="AW68" s="231"/>
      <c r="AX68" s="101"/>
    </row>
    <row r="69" spans="3:50">
      <c r="C69" s="97"/>
      <c r="D69" s="230"/>
      <c r="E69" s="231"/>
      <c r="F69" s="99"/>
      <c r="G69" s="97"/>
      <c r="H69" s="230"/>
      <c r="I69" s="231"/>
      <c r="J69" s="101"/>
      <c r="K69" s="97"/>
      <c r="L69" s="230"/>
      <c r="M69" s="231"/>
      <c r="N69" s="101"/>
      <c r="O69" s="97"/>
      <c r="P69" s="230"/>
      <c r="Q69" s="231"/>
      <c r="R69" s="101"/>
      <c r="S69" s="97"/>
      <c r="T69" s="241"/>
      <c r="U69" s="242"/>
      <c r="V69" s="101"/>
      <c r="W69" s="97"/>
      <c r="X69" s="241"/>
      <c r="Y69" s="242"/>
      <c r="Z69" s="101"/>
      <c r="AA69" s="97"/>
      <c r="AB69" s="241"/>
      <c r="AC69" s="242"/>
      <c r="AD69" s="101"/>
      <c r="AE69" s="97"/>
      <c r="AF69" s="241"/>
      <c r="AG69" s="242"/>
      <c r="AH69" s="101"/>
      <c r="AI69" s="97"/>
      <c r="AJ69" s="241"/>
      <c r="AK69" s="242"/>
      <c r="AL69" s="101"/>
      <c r="AM69" s="97"/>
      <c r="AN69" s="241"/>
      <c r="AO69" s="242"/>
      <c r="AP69" s="101"/>
      <c r="AQ69" s="97"/>
      <c r="AR69" s="230"/>
      <c r="AS69" s="231"/>
      <c r="AT69" s="101"/>
      <c r="AU69" s="97"/>
      <c r="AV69" s="230"/>
      <c r="AW69" s="231"/>
      <c r="AX69" s="101"/>
    </row>
    <row r="70" spans="3:50">
      <c r="C70" s="97"/>
      <c r="D70" s="230"/>
      <c r="E70" s="231"/>
      <c r="F70" s="99"/>
      <c r="G70" s="97"/>
      <c r="H70" s="230"/>
      <c r="I70" s="231"/>
      <c r="J70" s="101"/>
      <c r="K70" s="97"/>
      <c r="L70" s="230"/>
      <c r="M70" s="231"/>
      <c r="N70" s="101"/>
      <c r="O70" s="97"/>
      <c r="P70" s="230"/>
      <c r="Q70" s="231"/>
      <c r="R70" s="101"/>
      <c r="S70" s="97"/>
      <c r="T70" s="241"/>
      <c r="U70" s="242"/>
      <c r="V70" s="101"/>
      <c r="W70" s="97"/>
      <c r="X70" s="230" t="s">
        <v>172</v>
      </c>
      <c r="Y70" s="231"/>
      <c r="Z70" s="101">
        <f>3289.11+270.87</f>
        <v>3559.98</v>
      </c>
      <c r="AA70" s="97"/>
      <c r="AB70" s="241"/>
      <c r="AC70" s="242"/>
      <c r="AD70" s="101"/>
      <c r="AE70" s="97"/>
      <c r="AF70" s="241"/>
      <c r="AG70" s="242"/>
      <c r="AH70" s="101"/>
      <c r="AI70" s="97"/>
      <c r="AJ70" s="241"/>
      <c r="AK70" s="242"/>
      <c r="AL70" s="101"/>
      <c r="AM70" s="97"/>
      <c r="AN70" s="241"/>
      <c r="AO70" s="242"/>
      <c r="AP70" s="101"/>
      <c r="AQ70" s="97"/>
      <c r="AR70" s="230"/>
      <c r="AS70" s="231"/>
      <c r="AT70" s="101"/>
      <c r="AU70" s="97"/>
      <c r="AV70" s="230"/>
      <c r="AW70" s="231"/>
      <c r="AX70" s="101"/>
    </row>
    <row r="71" spans="3:50" ht="15.75" thickBot="1">
      <c r="C71" s="98"/>
      <c r="D71" s="232"/>
      <c r="E71" s="233"/>
      <c r="F71" s="100"/>
      <c r="G71" s="98"/>
      <c r="H71" s="232"/>
      <c r="I71" s="233"/>
      <c r="J71" s="102"/>
      <c r="K71" s="98"/>
      <c r="L71" s="232"/>
      <c r="M71" s="233"/>
      <c r="N71" s="102"/>
      <c r="O71" s="98"/>
      <c r="P71" s="232"/>
      <c r="Q71" s="233"/>
      <c r="R71" s="102"/>
      <c r="S71" s="98"/>
      <c r="T71" s="243"/>
      <c r="U71" s="244"/>
      <c r="V71" s="102"/>
      <c r="W71" s="98"/>
      <c r="X71" s="255" t="s">
        <v>173</v>
      </c>
      <c r="Y71" s="256"/>
      <c r="Z71" s="102">
        <f>Z70-1484.91-429.89</f>
        <v>1645.1799999999998</v>
      </c>
      <c r="AA71" s="98"/>
      <c r="AB71" s="243"/>
      <c r="AC71" s="244"/>
      <c r="AD71" s="102"/>
      <c r="AE71" s="98"/>
      <c r="AF71" s="243"/>
      <c r="AG71" s="244"/>
      <c r="AH71" s="102"/>
      <c r="AI71" s="98"/>
      <c r="AJ71" s="243"/>
      <c r="AK71" s="244"/>
      <c r="AL71" s="102"/>
      <c r="AM71" s="98"/>
      <c r="AN71" s="243"/>
      <c r="AO71" s="244"/>
      <c r="AP71" s="102"/>
      <c r="AQ71" s="98"/>
      <c r="AR71" s="232"/>
      <c r="AS71" s="233"/>
      <c r="AT71" s="102"/>
      <c r="AU71" s="98"/>
      <c r="AV71" s="232"/>
      <c r="AW71" s="233"/>
      <c r="AX71" s="102"/>
    </row>
    <row r="72" spans="3:50">
      <c r="Z72">
        <f>Z71/Z70</f>
        <v>0.46213180972926809</v>
      </c>
    </row>
    <row r="75" spans="3:50">
      <c r="Z75" s="112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231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'08'!A6+(B6-SUM(D6:F6))</f>
        <v>4001.9000000000005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'08'!A7+(B7-SUM(D7:F7))</f>
        <v>869.95000000000027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'08'!A8+(B8-SUM(D8:F8))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'08'!A9+(B9-SUM(D9:F9))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'08'!A10+(B10-SUM(D10:F10))</f>
        <v>120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'08'!A11+(B11-SUM(D11:F11))</f>
        <v>302.3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'08'!A12+(B12-SUM(D12:F12))</f>
        <v>263.04000000000002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'08'!A13+(B13-SUM(D13:F13))</f>
        <v>126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5683.1900000000005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'08'!A26+(B26-SUM(D26:F26))</f>
        <v>9000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'08'!A27+(B27-SUM(D27:F27))</f>
        <v>1709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'08'!A28+(B28-SUM(D28:F28))</f>
        <v>503.06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'08'!A29+(B29-SUM(D29:F29))</f>
        <v>181.13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'08'!A30+(B30-SUM(D30:F30))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11986.749999999998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'08'!A106+(B106-SUM(D106:F106))</f>
        <v>2584.7000000000007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'08'!A107+(B107-SUM(D107:F107))</f>
        <v>711.3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'08'!A108+(B108-SUM(D108:F108))</f>
        <v>647.09999999999991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'08'!A109+(B109-SUM(D109:F109))</f>
        <v>3009.8000000000025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3943.1000000000008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AÑO!AI17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'08'!A466+(B466-SUM(D466:F466))</f>
        <v>571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'08'!A467+(B467-SUM(D467:F467))</f>
        <v>235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'08'!A468+(B468-SUM(D468:F468))</f>
        <v>60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866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232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 t="s">
        <v>160</v>
      </c>
      <c r="O5" s="90">
        <f>M5-500</f>
        <v>-500</v>
      </c>
      <c r="R5" s="3"/>
    </row>
    <row r="6" spans="1:22" ht="15.75">
      <c r="A6" s="113">
        <f>'09'!A6+(B6-SUM(D6:F6))</f>
        <v>4401.4900000000007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'09'!A7+(B7-SUM(D7:F7))</f>
        <v>940.13000000000034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'09'!A8+(B8-SUM(D8:F8))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'09'!A9+(B9-SUM(D9:F9))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'09'!A10+(B10-SUM(D10:F10))</f>
        <v>132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'09'!A11+(B11-SUM(D11:F11))</f>
        <v>332.53000000000003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'09'!A12+(B12-SUM(D12:F12))</f>
        <v>288.04000000000002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'09'!A13+(B13-SUM(D13:F13))</f>
        <v>133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6227.1900000000005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'09'!A26+(B26-SUM(D26:F26))</f>
        <v>9900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'09'!A27+(B27-SUM(D27:F27))</f>
        <v>1879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'09'!A28+(B28-SUM(D28:F28))</f>
        <v>543.05999999999995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'09'!A29+(B29-SUM(D29:F29))</f>
        <v>199.13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'09'!A30+(B30-SUM(D30:F30))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13114.749999999998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'09'!A106+(B106-SUM(D106:F106))</f>
        <v>2843.170000000001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'09'!A107+(B107-SUM(D107:F107))</f>
        <v>782.3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'09'!A108+(B108-SUM(D108:F108))</f>
        <v>697.09999999999991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'09'!A109+(B109-SUM(D109:F109))</f>
        <v>3035.3300000000027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4322.5700000000015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AÑO!AM17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'09'!A466+(B466-SUM(D466:F466))</f>
        <v>596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'09'!A467+(B467-SUM(D467:F467))</f>
        <v>255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'09'!A468+(B468-SUM(D468:F468))</f>
        <v>65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916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197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'10'!A6+(B6-SUM(D6:F6))</f>
        <v>4801.0800000000008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'10'!A7+(B7-SUM(D7:F7))</f>
        <v>1010.3100000000004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'10'!A8+(B8-SUM(D8:F8))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'10'!A9+(B9-SUM(D9:F9))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'10'!A10+(B10-SUM(D10:F10))</f>
        <v>144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'10'!A11+(B11-SUM(D11:F11))</f>
        <v>362.76000000000005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'10'!A12+(B12-SUM(D12:F12))</f>
        <v>313.04000000000002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'10'!A13+(B13-SUM(D13:F13))</f>
        <v>140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6771.1900000000014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'10'!A26+(B26-SUM(D26:F26))</f>
        <v>10800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'10'!A27+(B27-SUM(D27:F27))</f>
        <v>2049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'10'!A28+(B28-SUM(D28:F28))</f>
        <v>583.05999999999995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'10'!A29+(B29-SUM(D29:F29))</f>
        <v>217.13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'10'!A30+(B30-SUM(D30:F30))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14242.749999999998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'10'!A106+(B106-SUM(D106:F106))</f>
        <v>3101.6400000000012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'10'!A107+(B107-SUM(D107:F107))</f>
        <v>853.3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'10'!A108+(B108-SUM(D108:F108))</f>
        <v>747.09999999999991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'10'!A109+(B109-SUM(D109:F109))</f>
        <v>3060.8600000000029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4702.0400000000009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AÑO!AQ17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'10'!A466+(B466-SUM(D466:F466))</f>
        <v>621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'10'!A467+(B467-SUM(D467:F467))</f>
        <v>275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'10'!A468+(B468-SUM(D468:F468))</f>
        <v>70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966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22" workbookViewId="0">
      <selection activeCell="B22" sqref="B22:G2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200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'11'!A6+(B6-SUM(D6:F6))</f>
        <v>5200.670000000001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'11'!A7+(B7-SUM(D7:F7))</f>
        <v>1080.4900000000005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'11'!A8+(B8-SUM(D8:F8))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'11'!A9+(B9-SUM(D9:F9))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'11'!A10+(B10-SUM(D10:F10))</f>
        <v>156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'11'!A11+(B11-SUM(D11:F11))</f>
        <v>392.99000000000007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'11'!A12+(B12-SUM(D12:F12))</f>
        <v>338.04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'11'!A13+(B13-SUM(D13:F13))</f>
        <v>147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7315.1900000000014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'11'!A26+(B26-SUM(D26:F26))</f>
        <v>11700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'11'!A27+(B27-SUM(D27:F27))</f>
        <v>2219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'11'!A28+(B28-SUM(D28:F28))</f>
        <v>623.05999999999995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'11'!A29+(B29-SUM(D29:F29))</f>
        <v>235.13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'11'!A30+(B30-SUM(D30:F30))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15370.749999999998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'11'!A106+(B106-SUM(D106:F106))</f>
        <v>3360.1100000000015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'11'!A107+(B107-SUM(D107:F107))</f>
        <v>924.3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'11'!A108+(B108-SUM(D108:F108))</f>
        <v>797.09999999999991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'11'!A109+(B109-SUM(D109:F109))</f>
        <v>3086.3900000000031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5081.510000000002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AÑO!AU17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'11'!A466+(B466-SUM(D466:F466))</f>
        <v>646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'11'!A467+(B467-SUM(D467:F467))</f>
        <v>295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'11'!A468+(B468-SUM(D468:F468))</f>
        <v>75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1016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G6" sqref="G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2"/>
      <c r="E1" s="43"/>
    </row>
    <row r="2" spans="1:13" ht="12.75" customHeight="1">
      <c r="A2" s="44" t="s">
        <v>89</v>
      </c>
      <c r="B2" s="43"/>
      <c r="C2" s="115"/>
      <c r="E2" s="43"/>
    </row>
    <row r="3" spans="1:13" ht="12.75" customHeight="1">
      <c r="A3" t="s">
        <v>183</v>
      </c>
      <c r="B3" s="115">
        <f>Historico!I24</f>
        <v>43556</v>
      </c>
      <c r="D3" s="45"/>
      <c r="E3" s="46"/>
    </row>
    <row r="4" spans="1:13" ht="12.75" customHeight="1">
      <c r="A4" t="s">
        <v>182</v>
      </c>
      <c r="B4" s="120">
        <f>Historico!B24</f>
        <v>132572.97</v>
      </c>
      <c r="E4" s="42"/>
    </row>
    <row r="5" spans="1:13" ht="12.75" customHeight="1">
      <c r="A5" t="s">
        <v>90</v>
      </c>
      <c r="B5" s="47">
        <f>(12*(YEAR(Historico!I82) - YEAR(B3)))+4-MONTH(B3)</f>
        <v>348</v>
      </c>
      <c r="E5" s="43"/>
      <c r="J5" s="48" t="s">
        <v>91</v>
      </c>
      <c r="L5" s="45" t="s">
        <v>92</v>
      </c>
      <c r="M5" t="s">
        <v>93</v>
      </c>
    </row>
    <row r="6" spans="1:13" ht="12.75" customHeight="1">
      <c r="A6" t="s">
        <v>94</v>
      </c>
      <c r="B6" s="49">
        <f>E19</f>
        <v>-0.16900000000000001</v>
      </c>
      <c r="C6" s="45" t="s">
        <v>95</v>
      </c>
      <c r="D6" s="44" t="s">
        <v>96</v>
      </c>
      <c r="E6" s="43"/>
      <c r="J6" t="s">
        <v>97</v>
      </c>
      <c r="K6" s="50">
        <f>B4-B15</f>
        <v>132209.9522452362</v>
      </c>
      <c r="L6" s="40">
        <f>B4*(E8/100)</f>
        <v>36.568044225000001</v>
      </c>
      <c r="M6" s="50">
        <f>B13-L6</f>
        <v>363.01775476379282</v>
      </c>
    </row>
    <row r="7" spans="1:13" ht="12.75" customHeight="1">
      <c r="E7" s="43"/>
      <c r="J7" t="s">
        <v>98</v>
      </c>
      <c r="K7" s="50">
        <f>K6-(B13-L7)</f>
        <v>131846.83435807505</v>
      </c>
      <c r="L7" s="40">
        <f>(K6*(E8/100))</f>
        <v>36.467911827644322</v>
      </c>
      <c r="M7" s="50">
        <f>B13-L7</f>
        <v>363.11788716114847</v>
      </c>
    </row>
    <row r="8" spans="1:13" ht="12.75" customHeight="1">
      <c r="B8" s="43"/>
      <c r="D8" t="s">
        <v>186</v>
      </c>
      <c r="E8" s="51">
        <f>(B6+0.5)/12</f>
        <v>2.7583333333333331E-2</v>
      </c>
      <c r="J8" t="s">
        <v>99</v>
      </c>
      <c r="K8" s="50">
        <f>K7-(B13-L8)</f>
        <v>131483.6163108967</v>
      </c>
      <c r="L8" s="40">
        <f>(K7*(E8/100))</f>
        <v>36.367751810435699</v>
      </c>
      <c r="M8" s="50">
        <f>B13-L8</f>
        <v>363.2180471783571</v>
      </c>
    </row>
    <row r="9" spans="1:13" ht="12.75" customHeight="1">
      <c r="B9" s="43"/>
      <c r="D9" t="s">
        <v>100</v>
      </c>
      <c r="E9" s="51">
        <f>1+(E8/100)</f>
        <v>1.0002758333333333</v>
      </c>
      <c r="J9" t="s">
        <v>101</v>
      </c>
      <c r="K9" s="50">
        <f>K8-(B13-L9)</f>
        <v>131120.29807607367</v>
      </c>
      <c r="L9" s="40">
        <f>(K8*(E8/100))</f>
        <v>36.267564165755672</v>
      </c>
      <c r="M9" s="50">
        <f>B13-L9</f>
        <v>363.31823482303713</v>
      </c>
    </row>
    <row r="10" spans="1:13" ht="12.75" customHeight="1">
      <c r="B10" s="43"/>
      <c r="D10" t="s">
        <v>102</v>
      </c>
      <c r="E10" s="51">
        <f>E9^-B5</f>
        <v>0.90848512555365957</v>
      </c>
      <c r="J10" t="s">
        <v>103</v>
      </c>
      <c r="K10" s="50">
        <f>K9-(B13-L10)</f>
        <v>130756.87962597086</v>
      </c>
      <c r="L10" s="40">
        <f>(K9*(E8/100))</f>
        <v>36.167348885983657</v>
      </c>
      <c r="M10" s="50">
        <f>B13-L10</f>
        <v>363.41845010280917</v>
      </c>
    </row>
    <row r="11" spans="1:13" ht="12.75" customHeight="1">
      <c r="A11" s="44" t="s">
        <v>104</v>
      </c>
      <c r="B11" s="43"/>
      <c r="D11" t="s">
        <v>105</v>
      </c>
      <c r="E11" s="51">
        <f>100*(1-E10)</f>
        <v>9.1514874446340428</v>
      </c>
      <c r="J11" t="s">
        <v>106</v>
      </c>
      <c r="K11" s="52">
        <f>K10-(B13-L11)</f>
        <v>130393.36093294556</v>
      </c>
      <c r="L11" s="40">
        <f>(K10*(E8/100))</f>
        <v>36.067105963496964</v>
      </c>
      <c r="M11" s="50">
        <f>B13-L11</f>
        <v>363.51869302529587</v>
      </c>
    </row>
    <row r="12" spans="1:13" ht="12.75" customHeight="1">
      <c r="B12" s="43"/>
      <c r="E12" s="43"/>
    </row>
    <row r="13" spans="1:13" ht="12.75" customHeight="1">
      <c r="A13" t="s">
        <v>107</v>
      </c>
      <c r="B13" s="53">
        <f>(B4*E8)/E11</f>
        <v>399.58579898879282</v>
      </c>
      <c r="E13" s="43"/>
      <c r="F13" s="45"/>
      <c r="G13" s="54"/>
      <c r="L13" s="55">
        <f>SUM(L6:L11)</f>
        <v>217.9057268783163</v>
      </c>
      <c r="M13" s="55">
        <f>SUM(M6:M11)</f>
        <v>2179.6090670544404</v>
      </c>
    </row>
    <row r="14" spans="1:13" ht="12.75" customHeight="1">
      <c r="A14" t="s">
        <v>108</v>
      </c>
      <c r="B14" s="56">
        <f>B4*(E8/100)</f>
        <v>36.568044225000001</v>
      </c>
      <c r="E14" s="43"/>
    </row>
    <row r="15" spans="1:13" ht="12.75" customHeight="1">
      <c r="A15" t="s">
        <v>109</v>
      </c>
      <c r="B15" s="56">
        <f>B13-B14</f>
        <v>363.01775476379282</v>
      </c>
      <c r="E15" s="43"/>
    </row>
    <row r="16" spans="1:13" ht="12.75" customHeight="1">
      <c r="B16" s="43"/>
      <c r="E16" s="43"/>
    </row>
    <row r="17" spans="1:9" ht="12.75" customHeight="1">
      <c r="B17" s="43"/>
      <c r="D17" t="s">
        <v>110</v>
      </c>
      <c r="E17" s="54">
        <f>B13-Historico!C21</f>
        <v>399.5873589887928</v>
      </c>
    </row>
    <row r="18" spans="1:9" ht="12.75" customHeight="1">
      <c r="B18" s="43"/>
      <c r="E18" s="43"/>
    </row>
    <row r="19" spans="1:9" ht="12.75" customHeight="1">
      <c r="B19" s="51"/>
      <c r="D19" t="s">
        <v>111</v>
      </c>
      <c r="E19" s="57">
        <f>E20/G45</f>
        <v>-0.16900000000000001</v>
      </c>
      <c r="F19" t="s">
        <v>112</v>
      </c>
    </row>
    <row r="20" spans="1:9" ht="12.75" customHeight="1">
      <c r="B20" s="43"/>
      <c r="D20" t="s">
        <v>113</v>
      </c>
      <c r="E20" s="58">
        <f>SUM(E21:E54)</f>
        <v>-0.16900000000000001</v>
      </c>
    </row>
    <row r="21" spans="1:9" ht="12.75" customHeight="1">
      <c r="E21" s="43">
        <v>-0.16900000000000001</v>
      </c>
      <c r="F21">
        <v>1</v>
      </c>
      <c r="G21" s="58">
        <f>IF(E21="",0,1)</f>
        <v>1</v>
      </c>
      <c r="I21" s="43"/>
    </row>
    <row r="22" spans="1:9" ht="12.75" customHeight="1">
      <c r="A22" s="45" t="s">
        <v>114</v>
      </c>
      <c r="B22" s="54">
        <f>(B13-L6)+(B13-L7)+(B13-L8)+(B13-L9)+(B13-L10)+(B13-L11)</f>
        <v>2179.6090670544404</v>
      </c>
      <c r="C22" s="59">
        <f>B22/170000</f>
        <v>1.2821229806202591E-2</v>
      </c>
      <c r="E22" s="43"/>
      <c r="F22">
        <v>2</v>
      </c>
      <c r="G22" s="58">
        <f t="shared" ref="G22:G40" si="0">IF(E22="",0,1)</f>
        <v>0</v>
      </c>
    </row>
    <row r="23" spans="1:9" ht="12.75" customHeight="1">
      <c r="A23" t="s">
        <v>115</v>
      </c>
      <c r="B23" s="54">
        <f>K11</f>
        <v>130393.36093294556</v>
      </c>
      <c r="C23" s="60">
        <f>6/(40*6)</f>
        <v>2.5000000000000001E-2</v>
      </c>
      <c r="E23" s="43"/>
      <c r="F23">
        <v>3</v>
      </c>
      <c r="G23" s="58">
        <f t="shared" si="0"/>
        <v>0</v>
      </c>
    </row>
    <row r="24" spans="1:9" ht="12.75" customHeight="1">
      <c r="E24" s="43"/>
      <c r="F24">
        <v>6</v>
      </c>
      <c r="G24" s="58">
        <f t="shared" si="0"/>
        <v>0</v>
      </c>
    </row>
    <row r="25" spans="1:9" ht="12.75" customHeight="1">
      <c r="E25" s="43"/>
      <c r="F25">
        <v>7</v>
      </c>
      <c r="G25" s="58">
        <f t="shared" si="0"/>
        <v>0</v>
      </c>
    </row>
    <row r="26" spans="1:9" ht="12.75" customHeight="1">
      <c r="E26" s="43"/>
      <c r="F26">
        <v>8</v>
      </c>
      <c r="G26" s="58">
        <f t="shared" si="0"/>
        <v>0</v>
      </c>
    </row>
    <row r="27" spans="1:9" ht="12.75" customHeight="1">
      <c r="E27" s="43"/>
      <c r="F27">
        <v>9</v>
      </c>
      <c r="G27" s="58">
        <f t="shared" si="0"/>
        <v>0</v>
      </c>
    </row>
    <row r="28" spans="1:9" ht="12.75" customHeight="1">
      <c r="C28" s="60">
        <f>1-(35/40)</f>
        <v>0.125</v>
      </c>
      <c r="E28" s="43"/>
      <c r="F28">
        <v>10</v>
      </c>
      <c r="G28" s="58">
        <f t="shared" si="0"/>
        <v>0</v>
      </c>
    </row>
    <row r="29" spans="1:9" ht="12.75" customHeight="1">
      <c r="C29" s="60">
        <f>1-(B4/170000)</f>
        <v>0.22015899999999999</v>
      </c>
      <c r="E29" s="43"/>
      <c r="F29">
        <v>13</v>
      </c>
      <c r="G29" s="58">
        <f t="shared" si="0"/>
        <v>0</v>
      </c>
    </row>
    <row r="30" spans="1:9" ht="12.75" customHeight="1">
      <c r="C30" s="60">
        <f>C28-C29</f>
        <v>-9.5158999999999994E-2</v>
      </c>
      <c r="E30" s="43"/>
      <c r="F30">
        <v>14</v>
      </c>
      <c r="G30" s="58">
        <f t="shared" si="0"/>
        <v>0</v>
      </c>
    </row>
    <row r="31" spans="1:9" ht="12.75" customHeight="1">
      <c r="E31" s="43"/>
      <c r="F31">
        <v>15</v>
      </c>
      <c r="G31" s="58">
        <f t="shared" si="0"/>
        <v>0</v>
      </c>
    </row>
    <row r="32" spans="1:9" ht="12.75" customHeight="1">
      <c r="E32" s="43"/>
      <c r="F32">
        <v>16</v>
      </c>
      <c r="G32" s="58">
        <f t="shared" si="0"/>
        <v>0</v>
      </c>
    </row>
    <row r="33" spans="2:7" ht="12.75" customHeight="1">
      <c r="C33" s="60">
        <f>1-(((12*35)-6)/(40*12))</f>
        <v>0.13749999999999996</v>
      </c>
      <c r="E33" s="43"/>
      <c r="F33">
        <v>17</v>
      </c>
      <c r="G33" s="58">
        <f t="shared" si="0"/>
        <v>0</v>
      </c>
    </row>
    <row r="34" spans="2:7" ht="12.75" customHeight="1">
      <c r="C34" s="59">
        <f>1-(K11/170000)</f>
        <v>0.23298022980620259</v>
      </c>
      <c r="E34" s="43"/>
      <c r="F34">
        <v>20</v>
      </c>
      <c r="G34" s="58">
        <f t="shared" si="0"/>
        <v>0</v>
      </c>
    </row>
    <row r="35" spans="2:7" ht="12.75" customHeight="1">
      <c r="C35" s="59">
        <f>C33-C34</f>
        <v>-9.5480229806202632E-2</v>
      </c>
      <c r="E35" s="43"/>
      <c r="F35">
        <v>21</v>
      </c>
      <c r="G35" s="58">
        <f t="shared" si="0"/>
        <v>0</v>
      </c>
    </row>
    <row r="36" spans="2:7" ht="12.75" customHeight="1">
      <c r="E36" s="43"/>
      <c r="F36">
        <v>22</v>
      </c>
      <c r="G36" s="58">
        <f t="shared" si="0"/>
        <v>0</v>
      </c>
    </row>
    <row r="37" spans="2:7" ht="12.75" customHeight="1">
      <c r="E37" s="43"/>
      <c r="F37">
        <v>23</v>
      </c>
      <c r="G37" s="58">
        <f t="shared" si="0"/>
        <v>0</v>
      </c>
    </row>
    <row r="38" spans="2:7" ht="12.75" customHeight="1">
      <c r="E38" s="43"/>
      <c r="F38">
        <v>24</v>
      </c>
      <c r="G38" s="58">
        <f t="shared" si="0"/>
        <v>0</v>
      </c>
    </row>
    <row r="39" spans="2:7" ht="12.75" customHeight="1">
      <c r="E39" s="43"/>
      <c r="F39">
        <v>27</v>
      </c>
      <c r="G39" s="58">
        <f t="shared" si="0"/>
        <v>0</v>
      </c>
    </row>
    <row r="40" spans="2:7" ht="12.75" customHeight="1">
      <c r="E40" s="43"/>
      <c r="F40">
        <v>28</v>
      </c>
      <c r="G40" s="58">
        <f t="shared" si="0"/>
        <v>0</v>
      </c>
    </row>
    <row r="41" spans="2:7" ht="12.75" customHeight="1">
      <c r="E41" s="43"/>
      <c r="F41">
        <v>29</v>
      </c>
      <c r="G41" s="58">
        <f t="shared" ref="G41:G43" si="1">IF(E41="",0,1)</f>
        <v>0</v>
      </c>
    </row>
    <row r="42" spans="2:7" ht="12.75" customHeight="1">
      <c r="E42" s="43"/>
      <c r="F42">
        <v>30</v>
      </c>
      <c r="G42" s="58">
        <f t="shared" si="1"/>
        <v>0</v>
      </c>
    </row>
    <row r="43" spans="2:7" ht="12.75" customHeight="1">
      <c r="B43" s="40"/>
      <c r="E43" s="43"/>
      <c r="F43">
        <v>31</v>
      </c>
      <c r="G43" s="58">
        <f t="shared" si="1"/>
        <v>0</v>
      </c>
    </row>
    <row r="45" spans="2:7" ht="12.75" customHeight="1">
      <c r="G45" s="58">
        <f>SUM(G21:G43)</f>
        <v>1</v>
      </c>
    </row>
    <row r="46" spans="2:7">
      <c r="B46" s="61"/>
    </row>
    <row r="56" spans="3:3">
      <c r="C56" s="40"/>
    </row>
    <row r="57" spans="3:3">
      <c r="C57" s="40"/>
    </row>
    <row r="58" spans="3:3">
      <c r="C58" s="4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57" workbookViewId="0">
      <selection activeCell="H63" sqref="H63"/>
    </sheetView>
  </sheetViews>
  <sheetFormatPr defaultColWidth="11" defaultRowHeight="15"/>
  <cols>
    <col min="3" max="3" width="14.140625" customWidth="1"/>
    <col min="4" max="4" width="18" customWidth="1"/>
  </cols>
  <sheetData>
    <row r="1" spans="1:9" ht="15.75" thickBot="1">
      <c r="A1" s="91">
        <v>258.47000000000003</v>
      </c>
    </row>
    <row r="2" spans="1:9" ht="15.75" thickBot="1">
      <c r="A2" s="91">
        <v>9486.92</v>
      </c>
      <c r="B2" s="65" t="s">
        <v>145</v>
      </c>
      <c r="C2" s="62" t="s">
        <v>146</v>
      </c>
      <c r="D2" s="64" t="s">
        <v>147</v>
      </c>
    </row>
    <row r="3" spans="1:9">
      <c r="B3" s="80">
        <v>43074</v>
      </c>
      <c r="C3" s="71">
        <v>0</v>
      </c>
      <c r="D3" s="67">
        <v>24736.65</v>
      </c>
      <c r="E3" t="s">
        <v>148</v>
      </c>
    </row>
    <row r="4" spans="1:9">
      <c r="B4" s="80">
        <f>EDATE(B3,1)</f>
        <v>43105</v>
      </c>
      <c r="C4" s="71">
        <f>C3+A$1</f>
        <v>258.47000000000003</v>
      </c>
      <c r="D4" s="67">
        <f>D3-A$1</f>
        <v>24478.18</v>
      </c>
      <c r="E4" t="s">
        <v>148</v>
      </c>
    </row>
    <row r="5" spans="1:9">
      <c r="B5" s="80">
        <f>EDATE(B4,1)</f>
        <v>43136</v>
      </c>
      <c r="C5" s="71">
        <f>C4+A$1</f>
        <v>516.94000000000005</v>
      </c>
      <c r="D5" s="67">
        <f t="shared" ref="D5:D61" si="0">D4-A$1</f>
        <v>24219.71</v>
      </c>
      <c r="E5" t="s">
        <v>148</v>
      </c>
    </row>
    <row r="6" spans="1:9">
      <c r="B6" s="80">
        <f t="shared" ref="B6:B63" si="1">EDATE(B5,1)</f>
        <v>43164</v>
      </c>
      <c r="C6" s="71">
        <f t="shared" ref="C6:C62" si="2">C5+A$1</f>
        <v>775.41000000000008</v>
      </c>
      <c r="D6" s="67">
        <f t="shared" si="0"/>
        <v>23961.239999999998</v>
      </c>
      <c r="E6" t="s">
        <v>148</v>
      </c>
    </row>
    <row r="7" spans="1:9">
      <c r="B7" s="80">
        <f t="shared" si="1"/>
        <v>43195</v>
      </c>
      <c r="C7" s="71">
        <f t="shared" si="2"/>
        <v>1033.8800000000001</v>
      </c>
      <c r="D7" s="67">
        <f t="shared" si="0"/>
        <v>23702.769999999997</v>
      </c>
      <c r="E7" t="s">
        <v>148</v>
      </c>
    </row>
    <row r="8" spans="1:9">
      <c r="B8" s="80">
        <f t="shared" si="1"/>
        <v>43225</v>
      </c>
      <c r="C8" s="71">
        <f t="shared" si="2"/>
        <v>1292.3500000000001</v>
      </c>
      <c r="D8" s="67">
        <f t="shared" si="0"/>
        <v>23444.299999999996</v>
      </c>
      <c r="E8" t="s">
        <v>148</v>
      </c>
    </row>
    <row r="9" spans="1:9">
      <c r="B9" s="80">
        <f t="shared" si="1"/>
        <v>43256</v>
      </c>
      <c r="C9" s="71">
        <f t="shared" si="2"/>
        <v>1550.8200000000002</v>
      </c>
      <c r="D9" s="67">
        <f t="shared" si="0"/>
        <v>23185.829999999994</v>
      </c>
      <c r="E9" t="s">
        <v>148</v>
      </c>
    </row>
    <row r="10" spans="1:9">
      <c r="B10" s="80">
        <f t="shared" si="1"/>
        <v>43286</v>
      </c>
      <c r="C10" s="71">
        <f t="shared" si="2"/>
        <v>1809.2900000000002</v>
      </c>
      <c r="D10" s="67">
        <f t="shared" si="0"/>
        <v>22927.359999999993</v>
      </c>
      <c r="E10" t="s">
        <v>148</v>
      </c>
    </row>
    <row r="11" spans="1:9">
      <c r="B11" s="80">
        <f t="shared" si="1"/>
        <v>43317</v>
      </c>
      <c r="C11" s="71">
        <f t="shared" si="2"/>
        <v>2067.7600000000002</v>
      </c>
      <c r="D11" s="67">
        <f t="shared" si="0"/>
        <v>22668.889999999992</v>
      </c>
      <c r="E11" t="s">
        <v>148</v>
      </c>
    </row>
    <row r="12" spans="1:9">
      <c r="B12" s="80">
        <f t="shared" si="1"/>
        <v>43348</v>
      </c>
      <c r="C12" s="71">
        <f t="shared" si="2"/>
        <v>2326.2300000000005</v>
      </c>
      <c r="D12" s="67">
        <f t="shared" si="0"/>
        <v>22410.419999999991</v>
      </c>
      <c r="E12" t="s">
        <v>148</v>
      </c>
    </row>
    <row r="13" spans="1:9">
      <c r="B13" s="80">
        <f t="shared" si="1"/>
        <v>43378</v>
      </c>
      <c r="C13" s="71">
        <f t="shared" si="2"/>
        <v>2584.7000000000007</v>
      </c>
      <c r="D13" s="67">
        <f t="shared" si="0"/>
        <v>22151.94999999999</v>
      </c>
      <c r="E13" t="s">
        <v>148</v>
      </c>
    </row>
    <row r="14" spans="1:9">
      <c r="B14" s="80">
        <f t="shared" si="1"/>
        <v>43409</v>
      </c>
      <c r="C14" s="71">
        <f t="shared" si="2"/>
        <v>2843.170000000001</v>
      </c>
      <c r="D14" s="67">
        <f t="shared" si="0"/>
        <v>21893.479999999989</v>
      </c>
    </row>
    <row r="15" spans="1:9">
      <c r="B15" s="80">
        <f t="shared" si="1"/>
        <v>43439</v>
      </c>
      <c r="C15" s="71">
        <f t="shared" si="2"/>
        <v>3101.6400000000012</v>
      </c>
      <c r="D15" s="67">
        <f t="shared" si="0"/>
        <v>21635.009999999987</v>
      </c>
      <c r="G15">
        <f>H15</f>
        <v>125</v>
      </c>
      <c r="H15">
        <v>125</v>
      </c>
      <c r="I15">
        <f>H15*12</f>
        <v>1500</v>
      </c>
    </row>
    <row r="16" spans="1:9">
      <c r="B16" s="80">
        <f t="shared" si="1"/>
        <v>43470</v>
      </c>
      <c r="C16" s="71">
        <f t="shared" si="2"/>
        <v>3360.1100000000015</v>
      </c>
      <c r="D16" s="67">
        <f t="shared" si="0"/>
        <v>21376.539999999986</v>
      </c>
      <c r="G16">
        <f>G$15+G15</f>
        <v>250</v>
      </c>
    </row>
    <row r="17" spans="2:7">
      <c r="B17" s="80">
        <f t="shared" si="1"/>
        <v>43501</v>
      </c>
      <c r="C17" s="71">
        <f t="shared" si="2"/>
        <v>3618.5800000000017</v>
      </c>
      <c r="D17" s="67">
        <f t="shared" si="0"/>
        <v>21118.069999999985</v>
      </c>
      <c r="G17">
        <f>G$15+G16</f>
        <v>375</v>
      </c>
    </row>
    <row r="18" spans="2:7">
      <c r="B18" s="80">
        <f t="shared" si="1"/>
        <v>43529</v>
      </c>
      <c r="C18" s="71">
        <f t="shared" si="2"/>
        <v>3877.050000000002</v>
      </c>
      <c r="D18" s="67">
        <f t="shared" si="0"/>
        <v>20859.599999999984</v>
      </c>
      <c r="G18">
        <f t="shared" ref="G18:G63" si="3">G$15+G17</f>
        <v>500</v>
      </c>
    </row>
    <row r="19" spans="2:7">
      <c r="B19" s="80">
        <f t="shared" si="1"/>
        <v>43560</v>
      </c>
      <c r="C19" s="71">
        <f t="shared" si="2"/>
        <v>4135.5200000000023</v>
      </c>
      <c r="D19" s="67">
        <f t="shared" si="0"/>
        <v>20601.129999999983</v>
      </c>
      <c r="G19">
        <f t="shared" si="3"/>
        <v>625</v>
      </c>
    </row>
    <row r="20" spans="2:7">
      <c r="B20" s="80">
        <f t="shared" si="1"/>
        <v>43590</v>
      </c>
      <c r="C20" s="71">
        <f t="shared" si="2"/>
        <v>4393.9900000000025</v>
      </c>
      <c r="D20" s="67">
        <f t="shared" si="0"/>
        <v>20342.659999999982</v>
      </c>
      <c r="G20">
        <f t="shared" si="3"/>
        <v>750</v>
      </c>
    </row>
    <row r="21" spans="2:7">
      <c r="B21" s="80">
        <f t="shared" si="1"/>
        <v>43621</v>
      </c>
      <c r="C21" s="71">
        <f t="shared" si="2"/>
        <v>4652.4600000000028</v>
      </c>
      <c r="D21" s="67">
        <f t="shared" si="0"/>
        <v>20084.189999999981</v>
      </c>
      <c r="G21">
        <f t="shared" si="3"/>
        <v>875</v>
      </c>
    </row>
    <row r="22" spans="2:7">
      <c r="B22" s="80">
        <f t="shared" si="1"/>
        <v>43651</v>
      </c>
      <c r="C22" s="71">
        <f t="shared" si="2"/>
        <v>4910.930000000003</v>
      </c>
      <c r="D22" s="67">
        <f t="shared" si="0"/>
        <v>19825.719999999979</v>
      </c>
      <c r="G22">
        <f t="shared" si="3"/>
        <v>1000</v>
      </c>
    </row>
    <row r="23" spans="2:7">
      <c r="B23" s="80">
        <f t="shared" si="1"/>
        <v>43682</v>
      </c>
      <c r="C23" s="71">
        <f t="shared" si="2"/>
        <v>5169.4000000000033</v>
      </c>
      <c r="D23" s="67">
        <f t="shared" si="0"/>
        <v>19567.249999999978</v>
      </c>
      <c r="G23">
        <f t="shared" si="3"/>
        <v>1125</v>
      </c>
    </row>
    <row r="24" spans="2:7">
      <c r="B24" s="80">
        <f t="shared" si="1"/>
        <v>43713</v>
      </c>
      <c r="C24" s="71">
        <f t="shared" si="2"/>
        <v>5427.8700000000035</v>
      </c>
      <c r="D24" s="67">
        <f t="shared" si="0"/>
        <v>19308.779999999977</v>
      </c>
      <c r="G24">
        <f t="shared" si="3"/>
        <v>1250</v>
      </c>
    </row>
    <row r="25" spans="2:7">
      <c r="B25" s="80">
        <f t="shared" si="1"/>
        <v>43743</v>
      </c>
      <c r="C25" s="71">
        <f t="shared" si="2"/>
        <v>5686.3400000000038</v>
      </c>
      <c r="D25" s="67">
        <f t="shared" si="0"/>
        <v>19050.309999999976</v>
      </c>
      <c r="G25">
        <f t="shared" si="3"/>
        <v>1375</v>
      </c>
    </row>
    <row r="26" spans="2:7">
      <c r="B26" s="80">
        <f t="shared" si="1"/>
        <v>43774</v>
      </c>
      <c r="C26" s="71">
        <f t="shared" si="2"/>
        <v>5944.810000000004</v>
      </c>
      <c r="D26" s="67">
        <f t="shared" si="0"/>
        <v>18791.839999999975</v>
      </c>
      <c r="G26">
        <f t="shared" si="3"/>
        <v>1500</v>
      </c>
    </row>
    <row r="27" spans="2:7">
      <c r="B27" s="80">
        <f t="shared" si="1"/>
        <v>43804</v>
      </c>
      <c r="C27" s="71">
        <f t="shared" si="2"/>
        <v>6203.2800000000043</v>
      </c>
      <c r="D27" s="67">
        <f t="shared" si="0"/>
        <v>18533.369999999974</v>
      </c>
      <c r="G27">
        <f t="shared" si="3"/>
        <v>1625</v>
      </c>
    </row>
    <row r="28" spans="2:7">
      <c r="B28" s="80">
        <f t="shared" si="1"/>
        <v>43835</v>
      </c>
      <c r="C28" s="71">
        <f t="shared" si="2"/>
        <v>6461.7500000000045</v>
      </c>
      <c r="D28" s="67">
        <f t="shared" si="0"/>
        <v>18274.899999999972</v>
      </c>
      <c r="G28">
        <f t="shared" si="3"/>
        <v>1750</v>
      </c>
    </row>
    <row r="29" spans="2:7">
      <c r="B29" s="80">
        <f t="shared" si="1"/>
        <v>43866</v>
      </c>
      <c r="C29" s="71">
        <f t="shared" si="2"/>
        <v>6720.2200000000048</v>
      </c>
      <c r="D29" s="67">
        <f t="shared" si="0"/>
        <v>18016.429999999971</v>
      </c>
      <c r="G29">
        <f t="shared" si="3"/>
        <v>1875</v>
      </c>
    </row>
    <row r="30" spans="2:7">
      <c r="B30" s="80">
        <f t="shared" si="1"/>
        <v>43895</v>
      </c>
      <c r="C30" s="71">
        <f t="shared" si="2"/>
        <v>6978.6900000000051</v>
      </c>
      <c r="D30" s="67">
        <f t="shared" si="0"/>
        <v>17757.95999999997</v>
      </c>
      <c r="G30">
        <f t="shared" si="3"/>
        <v>2000</v>
      </c>
    </row>
    <row r="31" spans="2:7">
      <c r="B31" s="80">
        <f t="shared" si="1"/>
        <v>43926</v>
      </c>
      <c r="C31" s="71">
        <f t="shared" si="2"/>
        <v>7237.1600000000053</v>
      </c>
      <c r="D31" s="67">
        <f t="shared" si="0"/>
        <v>17499.489999999969</v>
      </c>
      <c r="G31">
        <f t="shared" si="3"/>
        <v>2125</v>
      </c>
    </row>
    <row r="32" spans="2:7">
      <c r="B32" s="80">
        <f t="shared" si="1"/>
        <v>43956</v>
      </c>
      <c r="C32" s="71">
        <f t="shared" si="2"/>
        <v>7495.6300000000056</v>
      </c>
      <c r="D32" s="67">
        <f t="shared" si="0"/>
        <v>17241.019999999968</v>
      </c>
      <c r="G32">
        <f t="shared" si="3"/>
        <v>2250</v>
      </c>
    </row>
    <row r="33" spans="2:7">
      <c r="B33" s="80">
        <f t="shared" si="1"/>
        <v>43987</v>
      </c>
      <c r="C33" s="71">
        <f t="shared" si="2"/>
        <v>7754.1000000000058</v>
      </c>
      <c r="D33" s="67">
        <f t="shared" si="0"/>
        <v>16982.549999999967</v>
      </c>
      <c r="G33">
        <f t="shared" si="3"/>
        <v>2375</v>
      </c>
    </row>
    <row r="34" spans="2:7">
      <c r="B34" s="80">
        <f t="shared" si="1"/>
        <v>44017</v>
      </c>
      <c r="C34" s="71">
        <f t="shared" si="2"/>
        <v>8012.5700000000061</v>
      </c>
      <c r="D34" s="67">
        <f t="shared" si="0"/>
        <v>16724.079999999965</v>
      </c>
      <c r="G34">
        <f t="shared" si="3"/>
        <v>2500</v>
      </c>
    </row>
    <row r="35" spans="2:7">
      <c r="B35" s="80">
        <f t="shared" si="1"/>
        <v>44048</v>
      </c>
      <c r="C35" s="71">
        <f t="shared" si="2"/>
        <v>8271.0400000000063</v>
      </c>
      <c r="D35" s="67">
        <f t="shared" si="0"/>
        <v>16465.609999999964</v>
      </c>
      <c r="G35">
        <f t="shared" si="3"/>
        <v>2625</v>
      </c>
    </row>
    <row r="36" spans="2:7">
      <c r="B36" s="80">
        <f t="shared" si="1"/>
        <v>44079</v>
      </c>
      <c r="C36" s="71">
        <f t="shared" si="2"/>
        <v>8529.5100000000057</v>
      </c>
      <c r="D36" s="67">
        <f t="shared" si="0"/>
        <v>16207.139999999965</v>
      </c>
      <c r="G36">
        <f t="shared" si="3"/>
        <v>2750</v>
      </c>
    </row>
    <row r="37" spans="2:7">
      <c r="B37" s="80">
        <f t="shared" si="1"/>
        <v>44109</v>
      </c>
      <c r="C37" s="71">
        <f t="shared" si="2"/>
        <v>8787.980000000005</v>
      </c>
      <c r="D37" s="67">
        <f t="shared" si="0"/>
        <v>15948.669999999966</v>
      </c>
      <c r="G37">
        <f t="shared" si="3"/>
        <v>2875</v>
      </c>
    </row>
    <row r="38" spans="2:7">
      <c r="B38" s="80">
        <f t="shared" si="1"/>
        <v>44140</v>
      </c>
      <c r="C38" s="71">
        <f t="shared" si="2"/>
        <v>9046.4500000000044</v>
      </c>
      <c r="D38" s="67">
        <f t="shared" si="0"/>
        <v>15690.199999999966</v>
      </c>
      <c r="G38">
        <f t="shared" si="3"/>
        <v>3000</v>
      </c>
    </row>
    <row r="39" spans="2:7">
      <c r="B39" s="80">
        <f t="shared" si="1"/>
        <v>44170</v>
      </c>
      <c r="C39" s="71">
        <f t="shared" si="2"/>
        <v>9304.9200000000037</v>
      </c>
      <c r="D39" s="67">
        <f t="shared" si="0"/>
        <v>15431.729999999967</v>
      </c>
      <c r="G39">
        <f t="shared" si="3"/>
        <v>3125</v>
      </c>
    </row>
    <row r="40" spans="2:7">
      <c r="B40" s="80">
        <f t="shared" si="1"/>
        <v>44201</v>
      </c>
      <c r="C40" s="71">
        <f t="shared" si="2"/>
        <v>9563.3900000000031</v>
      </c>
      <c r="D40" s="67">
        <f>D39-A$1</f>
        <v>15173.259999999967</v>
      </c>
      <c r="G40">
        <f t="shared" si="3"/>
        <v>3250</v>
      </c>
    </row>
    <row r="41" spans="2:7">
      <c r="B41" s="80">
        <f t="shared" si="1"/>
        <v>44232</v>
      </c>
      <c r="C41" s="71">
        <f t="shared" si="2"/>
        <v>9821.8600000000024</v>
      </c>
      <c r="D41" s="67">
        <f t="shared" si="0"/>
        <v>14914.789999999968</v>
      </c>
      <c r="G41">
        <f t="shared" si="3"/>
        <v>3375</v>
      </c>
    </row>
    <row r="42" spans="2:7">
      <c r="B42" s="80">
        <f t="shared" si="1"/>
        <v>44260</v>
      </c>
      <c r="C42" s="71">
        <f t="shared" si="2"/>
        <v>10080.330000000002</v>
      </c>
      <c r="D42" s="67">
        <f t="shared" si="0"/>
        <v>14656.319999999969</v>
      </c>
      <c r="G42">
        <f t="shared" si="3"/>
        <v>3500</v>
      </c>
    </row>
    <row r="43" spans="2:7">
      <c r="B43" s="80">
        <f t="shared" si="1"/>
        <v>44291</v>
      </c>
      <c r="C43" s="71">
        <f t="shared" si="2"/>
        <v>10338.800000000001</v>
      </c>
      <c r="D43" s="67">
        <f t="shared" si="0"/>
        <v>14397.849999999969</v>
      </c>
      <c r="G43">
        <f t="shared" si="3"/>
        <v>3625</v>
      </c>
    </row>
    <row r="44" spans="2:7">
      <c r="B44" s="80">
        <f t="shared" si="1"/>
        <v>44321</v>
      </c>
      <c r="C44" s="71">
        <f t="shared" si="2"/>
        <v>10597.27</v>
      </c>
      <c r="D44" s="67">
        <f t="shared" si="0"/>
        <v>14139.37999999997</v>
      </c>
      <c r="G44">
        <f t="shared" si="3"/>
        <v>3750</v>
      </c>
    </row>
    <row r="45" spans="2:7">
      <c r="B45" s="80">
        <f t="shared" si="1"/>
        <v>44352</v>
      </c>
      <c r="C45" s="71">
        <f t="shared" si="2"/>
        <v>10855.74</v>
      </c>
      <c r="D45" s="67">
        <f t="shared" si="0"/>
        <v>13880.909999999971</v>
      </c>
      <c r="G45">
        <f t="shared" si="3"/>
        <v>3875</v>
      </c>
    </row>
    <row r="46" spans="2:7">
      <c r="B46" s="80">
        <f t="shared" si="1"/>
        <v>44382</v>
      </c>
      <c r="C46" s="71">
        <f t="shared" si="2"/>
        <v>11114.21</v>
      </c>
      <c r="D46" s="67">
        <f t="shared" si="0"/>
        <v>13622.439999999971</v>
      </c>
      <c r="G46">
        <f t="shared" si="3"/>
        <v>4000</v>
      </c>
    </row>
    <row r="47" spans="2:7">
      <c r="B47" s="80">
        <f t="shared" si="1"/>
        <v>44413</v>
      </c>
      <c r="C47" s="71">
        <f t="shared" si="2"/>
        <v>11372.679999999998</v>
      </c>
      <c r="D47" s="67">
        <f t="shared" si="0"/>
        <v>13363.969999999972</v>
      </c>
      <c r="G47">
        <f t="shared" si="3"/>
        <v>4125</v>
      </c>
    </row>
    <row r="48" spans="2:7">
      <c r="B48" s="80">
        <f t="shared" si="1"/>
        <v>44444</v>
      </c>
      <c r="C48" s="71">
        <f t="shared" si="2"/>
        <v>11631.149999999998</v>
      </c>
      <c r="D48" s="67">
        <f t="shared" si="0"/>
        <v>13105.499999999973</v>
      </c>
      <c r="G48">
        <f t="shared" si="3"/>
        <v>4250</v>
      </c>
    </row>
    <row r="49" spans="2:9">
      <c r="B49" s="80">
        <f t="shared" si="1"/>
        <v>44474</v>
      </c>
      <c r="C49" s="71">
        <f t="shared" si="2"/>
        <v>11889.619999999997</v>
      </c>
      <c r="D49" s="67">
        <f t="shared" si="0"/>
        <v>12847.029999999973</v>
      </c>
      <c r="G49">
        <f t="shared" si="3"/>
        <v>4375</v>
      </c>
    </row>
    <row r="50" spans="2:9">
      <c r="B50" s="80">
        <f t="shared" si="1"/>
        <v>44505</v>
      </c>
      <c r="C50" s="71">
        <f t="shared" si="2"/>
        <v>12148.089999999997</v>
      </c>
      <c r="D50" s="67">
        <f t="shared" si="0"/>
        <v>12588.559999999974</v>
      </c>
      <c r="G50">
        <f t="shared" si="3"/>
        <v>4500</v>
      </c>
    </row>
    <row r="51" spans="2:9">
      <c r="B51" s="80">
        <f t="shared" si="1"/>
        <v>44535</v>
      </c>
      <c r="C51" s="71">
        <f t="shared" si="2"/>
        <v>12406.559999999996</v>
      </c>
      <c r="D51" s="67">
        <f t="shared" si="0"/>
        <v>12330.089999999975</v>
      </c>
      <c r="G51">
        <f t="shared" si="3"/>
        <v>4625</v>
      </c>
    </row>
    <row r="52" spans="2:9">
      <c r="B52" s="80">
        <f t="shared" si="1"/>
        <v>44566</v>
      </c>
      <c r="C52" s="71">
        <f t="shared" si="2"/>
        <v>12665.029999999995</v>
      </c>
      <c r="D52" s="67">
        <f t="shared" si="0"/>
        <v>12071.619999999975</v>
      </c>
      <c r="G52">
        <f t="shared" si="3"/>
        <v>4750</v>
      </c>
    </row>
    <row r="53" spans="2:9">
      <c r="B53" s="80">
        <f t="shared" si="1"/>
        <v>44597</v>
      </c>
      <c r="C53" s="71">
        <f t="shared" si="2"/>
        <v>12923.499999999995</v>
      </c>
      <c r="D53" s="67">
        <f t="shared" si="0"/>
        <v>11813.149999999976</v>
      </c>
      <c r="G53">
        <f t="shared" si="3"/>
        <v>4875</v>
      </c>
    </row>
    <row r="54" spans="2:9">
      <c r="B54" s="80">
        <f t="shared" si="1"/>
        <v>44625</v>
      </c>
      <c r="C54" s="71">
        <f t="shared" si="2"/>
        <v>13181.969999999994</v>
      </c>
      <c r="D54" s="67">
        <f>D53-A$1</f>
        <v>11554.679999999977</v>
      </c>
      <c r="G54">
        <f t="shared" si="3"/>
        <v>5000</v>
      </c>
    </row>
    <row r="55" spans="2:9">
      <c r="B55" s="80">
        <f t="shared" si="1"/>
        <v>44656</v>
      </c>
      <c r="C55" s="71">
        <f t="shared" si="2"/>
        <v>13440.439999999993</v>
      </c>
      <c r="D55" s="67">
        <f t="shared" si="0"/>
        <v>11296.209999999977</v>
      </c>
      <c r="G55">
        <f t="shared" si="3"/>
        <v>5125</v>
      </c>
    </row>
    <row r="56" spans="2:9">
      <c r="B56" s="80">
        <f t="shared" si="1"/>
        <v>44686</v>
      </c>
      <c r="C56" s="71">
        <f t="shared" si="2"/>
        <v>13698.909999999993</v>
      </c>
      <c r="D56" s="67">
        <f t="shared" si="0"/>
        <v>11037.739999999978</v>
      </c>
      <c r="G56">
        <f t="shared" si="3"/>
        <v>5250</v>
      </c>
    </row>
    <row r="57" spans="2:9">
      <c r="B57" s="80">
        <f t="shared" si="1"/>
        <v>44717</v>
      </c>
      <c r="C57" s="71">
        <f t="shared" si="2"/>
        <v>13957.379999999992</v>
      </c>
      <c r="D57" s="67">
        <f t="shared" si="0"/>
        <v>10779.269999999979</v>
      </c>
      <c r="G57">
        <f t="shared" si="3"/>
        <v>5375</v>
      </c>
    </row>
    <row r="58" spans="2:9">
      <c r="B58" s="80">
        <f t="shared" si="1"/>
        <v>44747</v>
      </c>
      <c r="C58" s="71">
        <f t="shared" si="2"/>
        <v>14215.849999999991</v>
      </c>
      <c r="D58" s="67">
        <f t="shared" si="0"/>
        <v>10520.799999999979</v>
      </c>
      <c r="G58">
        <f t="shared" si="3"/>
        <v>5500</v>
      </c>
    </row>
    <row r="59" spans="2:9">
      <c r="B59" s="80">
        <f t="shared" si="1"/>
        <v>44778</v>
      </c>
      <c r="C59" s="71">
        <f t="shared" si="2"/>
        <v>14474.319999999991</v>
      </c>
      <c r="D59" s="67">
        <f t="shared" si="0"/>
        <v>10262.32999999998</v>
      </c>
      <c r="G59">
        <f t="shared" si="3"/>
        <v>5625</v>
      </c>
    </row>
    <row r="60" spans="2:9">
      <c r="B60" s="80">
        <f t="shared" si="1"/>
        <v>44809</v>
      </c>
      <c r="C60" s="71">
        <f t="shared" si="2"/>
        <v>14732.78999999999</v>
      </c>
      <c r="D60" s="67">
        <f t="shared" si="0"/>
        <v>10003.859999999981</v>
      </c>
      <c r="G60">
        <f t="shared" si="3"/>
        <v>5750</v>
      </c>
    </row>
    <row r="61" spans="2:9">
      <c r="B61" s="80">
        <f t="shared" si="1"/>
        <v>44839</v>
      </c>
      <c r="C61" s="71">
        <f t="shared" si="2"/>
        <v>14991.259999999989</v>
      </c>
      <c r="D61" s="67">
        <f t="shared" si="0"/>
        <v>9745.3899999999812</v>
      </c>
      <c r="G61">
        <f t="shared" si="3"/>
        <v>5875</v>
      </c>
    </row>
    <row r="62" spans="2:9">
      <c r="B62" s="80">
        <f t="shared" si="1"/>
        <v>44870</v>
      </c>
      <c r="C62" s="71">
        <f t="shared" si="2"/>
        <v>15249.729999999989</v>
      </c>
      <c r="D62" s="67">
        <f>D61-A$1</f>
        <v>9486.9199999999819</v>
      </c>
      <c r="G62">
        <f t="shared" si="3"/>
        <v>6000</v>
      </c>
    </row>
    <row r="63" spans="2:9" ht="15.75" thickBot="1">
      <c r="B63" s="92">
        <f t="shared" si="1"/>
        <v>44900</v>
      </c>
      <c r="C63" s="84">
        <f>C62+A$2</f>
        <v>24736.649999999987</v>
      </c>
      <c r="D63" s="82">
        <f>D62-A$2</f>
        <v>-1.8189894035458565E-11</v>
      </c>
      <c r="G63">
        <f t="shared" si="3"/>
        <v>6125</v>
      </c>
      <c r="H63" s="120">
        <f>G63+'12'!A109</f>
        <v>9211.3900000000031</v>
      </c>
      <c r="I63" s="120">
        <f>H63-D62</f>
        <v>-275.52999999997883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topLeftCell="A13" workbookViewId="0">
      <selection activeCell="B24" sqref="B24"/>
    </sheetView>
  </sheetViews>
  <sheetFormatPr defaultColWidth="8" defaultRowHeight="15"/>
  <cols>
    <col min="1" max="2" width="19.5703125" customWidth="1"/>
    <col min="3" max="3" width="13.28515625" customWidth="1"/>
    <col min="4" max="4" width="8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2" t="s">
        <v>116</v>
      </c>
      <c r="B1" s="116" t="s">
        <v>185</v>
      </c>
      <c r="C1" s="63" t="s">
        <v>117</v>
      </c>
      <c r="D1" s="64" t="s">
        <v>118</v>
      </c>
      <c r="E1" s="64" t="s">
        <v>119</v>
      </c>
      <c r="I1" s="65" t="s">
        <v>120</v>
      </c>
      <c r="J1" s="62" t="s">
        <v>121</v>
      </c>
      <c r="K1" s="64" t="s">
        <v>122</v>
      </c>
      <c r="L1" s="64" t="s">
        <v>123</v>
      </c>
      <c r="M1" s="64" t="s">
        <v>119</v>
      </c>
    </row>
    <row r="2" spans="1:13" ht="12.75" customHeight="1">
      <c r="A2" s="121">
        <v>39479</v>
      </c>
      <c r="B2" s="117"/>
      <c r="C2" s="66" t="s">
        <v>124</v>
      </c>
      <c r="D2" s="67">
        <f>848.08</f>
        <v>848.08</v>
      </c>
      <c r="E2" s="68">
        <v>0</v>
      </c>
      <c r="G2" s="69">
        <f t="shared" ref="G2:G23" si="0">D2*6</f>
        <v>5088.4800000000005</v>
      </c>
      <c r="I2" s="70"/>
      <c r="J2" s="71"/>
      <c r="K2" s="67"/>
      <c r="L2" s="67"/>
      <c r="M2" s="68">
        <v>0</v>
      </c>
    </row>
    <row r="3" spans="1:13" ht="12.75" customHeight="1">
      <c r="A3" s="121">
        <v>39661</v>
      </c>
      <c r="B3" s="117"/>
      <c r="C3" s="72">
        <v>5.323E-2</v>
      </c>
      <c r="D3" s="67">
        <v>914</v>
      </c>
      <c r="E3" s="73">
        <f t="shared" ref="E3:E15" si="1">D3-D2</f>
        <v>65.919999999999959</v>
      </c>
      <c r="G3" s="69">
        <f t="shared" si="0"/>
        <v>5484</v>
      </c>
      <c r="I3" s="70"/>
      <c r="J3" s="71"/>
      <c r="K3" s="67"/>
      <c r="L3" s="74"/>
      <c r="M3" s="73">
        <f t="shared" ref="M3:M16" si="2">L3-L2</f>
        <v>0</v>
      </c>
    </row>
    <row r="4" spans="1:13" ht="12.75" customHeight="1">
      <c r="A4" s="121">
        <v>39845</v>
      </c>
      <c r="B4" s="117"/>
      <c r="C4" s="72">
        <v>2.1350000000000001E-2</v>
      </c>
      <c r="D4" s="67">
        <f>577.6</f>
        <v>577.6</v>
      </c>
      <c r="E4" s="73">
        <f t="shared" si="1"/>
        <v>-336.4</v>
      </c>
      <c r="G4" s="69">
        <f t="shared" si="0"/>
        <v>3465.6000000000004</v>
      </c>
      <c r="I4" s="70"/>
      <c r="J4" s="71"/>
      <c r="K4" s="67"/>
      <c r="L4" s="75"/>
      <c r="M4" s="73">
        <f t="shared" si="2"/>
        <v>0</v>
      </c>
    </row>
    <row r="5" spans="1:13" ht="12.75" customHeight="1">
      <c r="A5" s="121">
        <v>40026</v>
      </c>
      <c r="B5" s="117"/>
      <c r="C5" s="72">
        <v>1.3339999999999999E-2</v>
      </c>
      <c r="D5" s="74">
        <v>505.94</v>
      </c>
      <c r="E5" s="73">
        <f t="shared" si="1"/>
        <v>-71.660000000000025</v>
      </c>
      <c r="G5" s="69">
        <f t="shared" si="0"/>
        <v>3035.64</v>
      </c>
      <c r="I5" s="70"/>
      <c r="J5" s="76"/>
      <c r="K5" s="74"/>
      <c r="L5" s="74"/>
      <c r="M5" s="73">
        <f t="shared" si="2"/>
        <v>0</v>
      </c>
    </row>
    <row r="6" spans="1:13" ht="12.75" customHeight="1">
      <c r="A6" s="121">
        <v>40210</v>
      </c>
      <c r="B6" s="117"/>
      <c r="C6" s="72">
        <v>1.225E-2</v>
      </c>
      <c r="D6" s="74">
        <v>496.71</v>
      </c>
      <c r="E6" s="73">
        <f t="shared" si="1"/>
        <v>-9.2300000000000182</v>
      </c>
      <c r="G6" s="69">
        <f t="shared" si="0"/>
        <v>2980.2599999999998</v>
      </c>
      <c r="I6" s="70"/>
      <c r="J6" s="76"/>
      <c r="K6" s="74"/>
      <c r="L6" s="74"/>
      <c r="M6" s="73">
        <f t="shared" si="2"/>
        <v>0</v>
      </c>
    </row>
    <row r="7" spans="1:13" ht="12.75" customHeight="1">
      <c r="A7" s="121">
        <v>40391</v>
      </c>
      <c r="B7" s="117"/>
      <c r="C7" s="72">
        <v>1.421E-2</v>
      </c>
      <c r="D7" s="74">
        <v>513.17999999999995</v>
      </c>
      <c r="E7" s="73">
        <f t="shared" si="1"/>
        <v>16.46999999999997</v>
      </c>
      <c r="G7" s="69">
        <f t="shared" si="0"/>
        <v>3079.08</v>
      </c>
      <c r="I7" s="70"/>
      <c r="J7" s="76"/>
      <c r="K7" s="74"/>
      <c r="L7" s="74"/>
      <c r="M7" s="73">
        <f t="shared" si="2"/>
        <v>0</v>
      </c>
    </row>
    <row r="8" spans="1:13" ht="12.75" customHeight="1">
      <c r="A8" s="121">
        <v>40575</v>
      </c>
      <c r="B8" s="117"/>
      <c r="C8" s="72">
        <v>1.7139999999999999E-2</v>
      </c>
      <c r="D8" s="77">
        <v>538.1</v>
      </c>
      <c r="E8" s="73">
        <f t="shared" si="1"/>
        <v>24.920000000000073</v>
      </c>
      <c r="G8" s="69">
        <f t="shared" si="0"/>
        <v>3228.6000000000004</v>
      </c>
      <c r="I8" s="70"/>
      <c r="J8" s="78"/>
      <c r="K8" s="77"/>
      <c r="L8" s="74"/>
      <c r="M8" s="73">
        <f t="shared" si="2"/>
        <v>0</v>
      </c>
    </row>
    <row r="9" spans="1:13" ht="12.75" customHeight="1">
      <c r="A9" s="121">
        <v>40756</v>
      </c>
      <c r="B9" s="117"/>
      <c r="C9" s="72">
        <v>2.0969999999999999E-2</v>
      </c>
      <c r="D9" s="74">
        <v>571.29</v>
      </c>
      <c r="E9" s="73">
        <f t="shared" si="1"/>
        <v>33.189999999999941</v>
      </c>
      <c r="G9" s="69">
        <f t="shared" si="0"/>
        <v>3427.74</v>
      </c>
      <c r="I9" s="70"/>
      <c r="J9" s="76"/>
      <c r="K9" s="74"/>
      <c r="L9" s="74"/>
      <c r="M9" s="73">
        <f t="shared" si="2"/>
        <v>0</v>
      </c>
    </row>
    <row r="10" spans="1:13" ht="12.75" customHeight="1">
      <c r="A10" s="122">
        <v>40940</v>
      </c>
      <c r="B10" s="118"/>
      <c r="C10" s="72">
        <v>1.678E-2</v>
      </c>
      <c r="D10" s="74">
        <v>535.46</v>
      </c>
      <c r="E10" s="73">
        <f t="shared" si="1"/>
        <v>-35.829999999999927</v>
      </c>
      <c r="G10" s="69">
        <f t="shared" si="0"/>
        <v>3212.76</v>
      </c>
      <c r="I10" s="79"/>
      <c r="J10" s="76"/>
      <c r="K10" s="74"/>
      <c r="L10" s="74"/>
      <c r="M10" s="73">
        <f t="shared" si="2"/>
        <v>0</v>
      </c>
    </row>
    <row r="11" spans="1:13" ht="12.75" customHeight="1">
      <c r="A11" s="121">
        <v>41122</v>
      </c>
      <c r="B11" s="117"/>
      <c r="C11" s="72">
        <f>(1.377-0.5)/100</f>
        <v>8.77E-3</v>
      </c>
      <c r="D11" s="74">
        <f>471.35</f>
        <v>471.35</v>
      </c>
      <c r="E11" s="73">
        <f t="shared" si="1"/>
        <v>-64.110000000000014</v>
      </c>
      <c r="G11" s="69">
        <f t="shared" si="0"/>
        <v>2828.1000000000004</v>
      </c>
      <c r="I11" s="70"/>
      <c r="J11" s="76"/>
      <c r="K11" s="74"/>
      <c r="L11" s="74"/>
      <c r="M11" s="73">
        <f t="shared" si="2"/>
        <v>0</v>
      </c>
    </row>
    <row r="12" spans="1:13" ht="12.75" customHeight="1">
      <c r="A12" s="121">
        <v>41306</v>
      </c>
      <c r="B12" s="117"/>
      <c r="C12" s="72">
        <f>0.594/100</f>
        <v>5.94E-3</v>
      </c>
      <c r="D12" s="74">
        <v>450.15</v>
      </c>
      <c r="E12" s="73">
        <v>-21.2</v>
      </c>
      <c r="G12" s="69">
        <f t="shared" si="0"/>
        <v>2700.8999999999996</v>
      </c>
      <c r="I12" s="70"/>
      <c r="J12" s="76"/>
      <c r="K12" s="74"/>
      <c r="L12" s="74"/>
      <c r="M12" s="73">
        <v>0</v>
      </c>
    </row>
    <row r="13" spans="1:13" ht="12.75" customHeight="1">
      <c r="A13" s="121">
        <v>41487</v>
      </c>
      <c r="B13" s="117"/>
      <c r="C13" s="72">
        <f>0.542/100</f>
        <v>5.4200000000000003E-3</v>
      </c>
      <c r="D13" s="74">
        <v>446.36</v>
      </c>
      <c r="E13" s="73">
        <v>-3.77</v>
      </c>
      <c r="G13" s="69">
        <f t="shared" si="0"/>
        <v>2678.16</v>
      </c>
      <c r="I13" s="70"/>
      <c r="J13" s="76"/>
      <c r="K13" s="74"/>
      <c r="L13" s="74"/>
      <c r="M13" s="73">
        <v>0</v>
      </c>
    </row>
    <row r="14" spans="1:13" ht="12.75" customHeight="1">
      <c r="A14" s="121">
        <v>41671</v>
      </c>
      <c r="B14" s="117"/>
      <c r="C14" s="72">
        <f>0.549/100</f>
        <v>5.4900000000000001E-3</v>
      </c>
      <c r="D14" s="74">
        <f>446.86</f>
        <v>446.86</v>
      </c>
      <c r="E14" s="73">
        <f t="shared" si="1"/>
        <v>0.5</v>
      </c>
      <c r="G14" s="69">
        <f t="shared" si="0"/>
        <v>2681.16</v>
      </c>
      <c r="I14" s="80">
        <f>EDATE(A14,2)</f>
        <v>41730</v>
      </c>
      <c r="J14" s="127">
        <v>153293.20000000001</v>
      </c>
      <c r="K14" s="128">
        <v>15951.99</v>
      </c>
      <c r="L14" s="128">
        <f t="shared" ref="L14:L19" si="3">K14-J14</f>
        <v>-137341.21000000002</v>
      </c>
      <c r="M14" s="73">
        <f t="shared" si="2"/>
        <v>-137341.21000000002</v>
      </c>
    </row>
    <row r="15" spans="1:13" ht="12.75" customHeight="1">
      <c r="A15" s="121">
        <f>EDATE(A14,6)</f>
        <v>41852</v>
      </c>
      <c r="B15" s="117">
        <v>151411.95000000001</v>
      </c>
      <c r="C15" s="72">
        <f>(0.969-0.5)/100</f>
        <v>4.6899999999999997E-3</v>
      </c>
      <c r="D15" s="74">
        <f>318.97+122.27</f>
        <v>441.24</v>
      </c>
      <c r="E15" s="73">
        <f t="shared" si="1"/>
        <v>-5.6200000000000045</v>
      </c>
      <c r="G15" s="69">
        <f t="shared" si="0"/>
        <v>2647.44</v>
      </c>
      <c r="I15" s="80">
        <f t="shared" ref="I15:I62" si="4">EDATE(A15,2)</f>
        <v>41913</v>
      </c>
      <c r="J15" s="129">
        <f>151411.95+18544.65-(198.04*2)</f>
        <v>169560.52000000002</v>
      </c>
      <c r="K15" s="128">
        <v>17897.71</v>
      </c>
      <c r="L15" s="128">
        <f t="shared" si="3"/>
        <v>-151662.81000000003</v>
      </c>
      <c r="M15" s="73">
        <f t="shared" si="2"/>
        <v>-14321.600000000006</v>
      </c>
    </row>
    <row r="16" spans="1:13" ht="12.75" customHeight="1">
      <c r="A16" s="121">
        <f t="shared" ref="A16:A79" si="5">EDATE(A15,6)</f>
        <v>42036</v>
      </c>
      <c r="B16" s="117">
        <v>149494.24</v>
      </c>
      <c r="C16" s="72">
        <f>0.00255</f>
        <v>2.5500000000000002E-3</v>
      </c>
      <c r="D16" s="74">
        <f>426.61</f>
        <v>426.61</v>
      </c>
      <c r="E16" s="73">
        <f>D16-D15</f>
        <v>-14.629999999999995</v>
      </c>
      <c r="G16" s="69">
        <f t="shared" si="0"/>
        <v>2559.66</v>
      </c>
      <c r="I16" s="80">
        <f t="shared" si="4"/>
        <v>42095</v>
      </c>
      <c r="J16" s="129">
        <f>149494.24+18544.65-(198.04*(2+6))</f>
        <v>166454.56999999998</v>
      </c>
      <c r="K16" s="128">
        <v>20433.009999999998</v>
      </c>
      <c r="L16" s="128">
        <f t="shared" si="3"/>
        <v>-146021.55999999997</v>
      </c>
      <c r="M16" s="73">
        <f t="shared" si="2"/>
        <v>5641.2500000000582</v>
      </c>
    </row>
    <row r="17" spans="1:13" ht="12.75" customHeight="1">
      <c r="A17" s="121">
        <f t="shared" si="5"/>
        <v>42217</v>
      </c>
      <c r="B17" s="117">
        <v>147495.79</v>
      </c>
      <c r="C17" s="72">
        <v>1.6138095238095241E-3</v>
      </c>
      <c r="D17" s="74">
        <v>420.38</v>
      </c>
      <c r="E17" s="73">
        <f>D17-D16</f>
        <v>-6.2300000000000182</v>
      </c>
      <c r="G17" s="69">
        <f t="shared" si="0"/>
        <v>2522.2799999999997</v>
      </c>
      <c r="I17" s="80">
        <f t="shared" si="4"/>
        <v>42278</v>
      </c>
      <c r="J17" s="129">
        <f>147495.79+18544.65-(198.04*(2+12))</f>
        <v>163267.88</v>
      </c>
      <c r="K17" s="128">
        <v>17715.88</v>
      </c>
      <c r="L17" s="128">
        <f t="shared" si="3"/>
        <v>-145552</v>
      </c>
      <c r="M17" s="73">
        <f t="shared" ref="M17:M22" si="6">L17-L16</f>
        <v>469.55999999996857</v>
      </c>
    </row>
    <row r="18" spans="1:13" ht="12.75" customHeight="1">
      <c r="A18" s="121">
        <f t="shared" si="5"/>
        <v>42401</v>
      </c>
      <c r="B18" s="117">
        <v>145458.18</v>
      </c>
      <c r="C18" s="72">
        <f>-0.00008</f>
        <v>-8.0000000000000007E-5</v>
      </c>
      <c r="D18" s="74">
        <v>409.48</v>
      </c>
      <c r="E18" s="73">
        <v>-10.89</v>
      </c>
      <c r="G18" s="69">
        <f t="shared" si="0"/>
        <v>2456.88</v>
      </c>
      <c r="I18" s="80">
        <f t="shared" si="4"/>
        <v>42461</v>
      </c>
      <c r="J18" s="129">
        <f>145458.18+18544.65-(198.04*(2+18))</f>
        <v>160042.03</v>
      </c>
      <c r="K18" s="128">
        <f>1167.12+4510.82+2610.71+5004.39+800+2627.7+1337.06</f>
        <v>18057.800000000003</v>
      </c>
      <c r="L18" s="128">
        <f t="shared" si="3"/>
        <v>-141984.22999999998</v>
      </c>
      <c r="M18" s="73">
        <f t="shared" si="6"/>
        <v>3567.7700000000186</v>
      </c>
    </row>
    <row r="19" spans="1:13" ht="12.75" customHeight="1">
      <c r="A19" s="121">
        <f t="shared" si="5"/>
        <v>42583</v>
      </c>
      <c r="B19" s="117">
        <v>143356.97</v>
      </c>
      <c r="C19" s="72">
        <f>-0.048%</f>
        <v>-4.8000000000000001E-4</v>
      </c>
      <c r="D19" s="74">
        <v>406.97</v>
      </c>
      <c r="E19" s="73">
        <f t="shared" ref="E19:E24" si="7">D19-D18</f>
        <v>-2.5099999999999909</v>
      </c>
      <c r="G19" s="69">
        <f t="shared" si="0"/>
        <v>2441.8200000000002</v>
      </c>
      <c r="I19" s="80">
        <f t="shared" si="4"/>
        <v>42644</v>
      </c>
      <c r="J19" s="129">
        <f>143356.97+18544.65-(198.04*(2+24))</f>
        <v>156752.57999999999</v>
      </c>
      <c r="K19" s="128">
        <f>18827.92-5007.8+(833*5.448)</f>
        <v>18358.304</v>
      </c>
      <c r="L19" s="128">
        <f t="shared" si="3"/>
        <v>-138394.27599999998</v>
      </c>
      <c r="M19" s="73">
        <f t="shared" si="6"/>
        <v>3589.9539999999979</v>
      </c>
    </row>
    <row r="20" spans="1:13" ht="12.75" customHeight="1">
      <c r="A20" s="121">
        <f t="shared" si="5"/>
        <v>42767</v>
      </c>
      <c r="B20" s="117">
        <v>141384.89000000001</v>
      </c>
      <c r="C20" s="72">
        <f>-0.00106</f>
        <v>-1.06E-3</v>
      </c>
      <c r="D20" s="74">
        <v>403.39</v>
      </c>
      <c r="E20" s="73">
        <f t="shared" si="7"/>
        <v>-3.5800000000000409</v>
      </c>
      <c r="G20" s="69">
        <f t="shared" si="0"/>
        <v>2420.34</v>
      </c>
      <c r="I20" s="80">
        <f t="shared" si="4"/>
        <v>42826</v>
      </c>
      <c r="J20" s="129">
        <f>141384.89+18544.65-(198.04*(2+30))</f>
        <v>153592.26</v>
      </c>
      <c r="K20" s="128">
        <f>19200-5007.8+(833*7.9)</f>
        <v>20772.900000000001</v>
      </c>
      <c r="L20" s="128">
        <f>K20-J20</f>
        <v>-132819.36000000002</v>
      </c>
      <c r="M20" s="73">
        <f t="shared" si="6"/>
        <v>5574.9159999999683</v>
      </c>
    </row>
    <row r="21" spans="1:13" ht="12.75" customHeight="1">
      <c r="A21" s="121">
        <f t="shared" si="5"/>
        <v>42948</v>
      </c>
      <c r="B21" s="117">
        <v>139093.28</v>
      </c>
      <c r="C21" s="72">
        <v>-1.56E-3</v>
      </c>
      <c r="D21" s="74">
        <v>400.38</v>
      </c>
      <c r="E21" s="73">
        <f t="shared" si="7"/>
        <v>-3.0099999999999909</v>
      </c>
      <c r="G21" s="69">
        <f t="shared" si="0"/>
        <v>2402.2799999999997</v>
      </c>
      <c r="I21" s="80">
        <f t="shared" si="4"/>
        <v>43009</v>
      </c>
      <c r="J21" s="129">
        <f>139093.28+18544.65-(198.04*(2+36))</f>
        <v>150112.41</v>
      </c>
      <c r="K21" s="128">
        <f>11743+(306*21.51)</f>
        <v>18325.060000000001</v>
      </c>
      <c r="L21" s="128">
        <f>K21-J21</f>
        <v>-131787.35</v>
      </c>
      <c r="M21" s="73">
        <f t="shared" si="6"/>
        <v>1032.0100000000093</v>
      </c>
    </row>
    <row r="22" spans="1:13" ht="12.75" customHeight="1">
      <c r="A22" s="121">
        <f t="shared" si="5"/>
        <v>43132</v>
      </c>
      <c r="B22" s="117">
        <v>136928.69</v>
      </c>
      <c r="C22" s="72">
        <v>-1.9124999999999997E-3</v>
      </c>
      <c r="D22" s="74">
        <v>398.31</v>
      </c>
      <c r="E22" s="73">
        <f t="shared" si="7"/>
        <v>-2.0699999999999932</v>
      </c>
      <c r="G22" s="69">
        <f t="shared" si="0"/>
        <v>2389.86</v>
      </c>
      <c r="I22" s="80">
        <f t="shared" si="4"/>
        <v>43191</v>
      </c>
      <c r="J22" s="129">
        <f>B22+Coche!D6</f>
        <v>160889.93</v>
      </c>
      <c r="K22" s="128">
        <v>20719.909999999996</v>
      </c>
      <c r="L22" s="128">
        <f>K22-J22</f>
        <v>-140170.01999999999</v>
      </c>
      <c r="M22" s="73">
        <f t="shared" si="6"/>
        <v>-8382.6699999999837</v>
      </c>
    </row>
    <row r="23" spans="1:13" ht="12.75" customHeight="1">
      <c r="A23" s="121">
        <f t="shared" si="5"/>
        <v>43313</v>
      </c>
      <c r="B23" s="117">
        <v>134748.99</v>
      </c>
      <c r="C23" s="72">
        <v>-1.6900000000000001E-3</v>
      </c>
      <c r="D23" s="74">
        <v>399.58584259812636</v>
      </c>
      <c r="E23" s="73">
        <f t="shared" si="7"/>
        <v>1.2758425981263599</v>
      </c>
      <c r="G23" s="69">
        <f t="shared" si="0"/>
        <v>2397.5150555887581</v>
      </c>
      <c r="I23" s="80">
        <f t="shared" si="4"/>
        <v>43374</v>
      </c>
      <c r="J23" s="129">
        <f>B23+Coche!D12</f>
        <v>157159.40999999997</v>
      </c>
      <c r="K23" s="128">
        <v>23252.510000000002</v>
      </c>
      <c r="L23" s="128">
        <f>K23-J23</f>
        <v>-133906.89999999997</v>
      </c>
      <c r="M23" s="73">
        <f t="shared" ref="M23" si="8">L23-L22</f>
        <v>6263.1200000000244</v>
      </c>
    </row>
    <row r="24" spans="1:13" ht="12.75" customHeight="1">
      <c r="A24" s="121">
        <f t="shared" si="5"/>
        <v>43497</v>
      </c>
      <c r="B24" s="117">
        <v>132572.97</v>
      </c>
      <c r="C24" s="72">
        <f>Hipoteca!B$6/100</f>
        <v>-1.6900000000000001E-3</v>
      </c>
      <c r="D24" s="74">
        <f>Hipoteca!B$13</f>
        <v>399.58579898879282</v>
      </c>
      <c r="E24" s="73">
        <f t="shared" si="7"/>
        <v>-4.3609333545191475E-5</v>
      </c>
      <c r="I24" s="80">
        <f t="shared" si="4"/>
        <v>43556</v>
      </c>
      <c r="J24" s="129">
        <f>B24+Coche!D18</f>
        <v>153432.56999999998</v>
      </c>
      <c r="K24" s="128"/>
      <c r="L24" s="128"/>
      <c r="M24" s="73"/>
    </row>
    <row r="25" spans="1:13" ht="12.75" customHeight="1">
      <c r="A25" s="121">
        <f t="shared" si="5"/>
        <v>43678</v>
      </c>
      <c r="B25" s="117"/>
      <c r="C25" s="72"/>
      <c r="D25" s="74"/>
      <c r="E25" s="73"/>
      <c r="I25" s="80">
        <f t="shared" si="4"/>
        <v>43739</v>
      </c>
      <c r="J25" s="129"/>
      <c r="K25" s="128"/>
      <c r="L25" s="128"/>
      <c r="M25" s="73"/>
    </row>
    <row r="26" spans="1:13" ht="12.75" customHeight="1">
      <c r="A26" s="121">
        <f t="shared" si="5"/>
        <v>43862</v>
      </c>
      <c r="B26" s="117"/>
      <c r="C26" s="72"/>
      <c r="D26" s="74"/>
      <c r="E26" s="73"/>
      <c r="I26" s="80">
        <f t="shared" si="4"/>
        <v>43922</v>
      </c>
      <c r="J26" s="129"/>
      <c r="K26" s="128"/>
      <c r="L26" s="128"/>
      <c r="M26" s="73"/>
    </row>
    <row r="27" spans="1:13" ht="12.75" customHeight="1">
      <c r="A27" s="121">
        <f t="shared" si="5"/>
        <v>44044</v>
      </c>
      <c r="B27" s="117"/>
      <c r="C27" s="72"/>
      <c r="D27" s="74"/>
      <c r="E27" s="73"/>
      <c r="I27" s="80">
        <f t="shared" si="4"/>
        <v>44105</v>
      </c>
      <c r="J27" s="129"/>
      <c r="K27" s="128"/>
      <c r="L27" s="128"/>
      <c r="M27" s="73"/>
    </row>
    <row r="28" spans="1:13" ht="12.75" customHeight="1">
      <c r="A28" s="121">
        <f t="shared" si="5"/>
        <v>44228</v>
      </c>
      <c r="B28" s="117"/>
      <c r="C28" s="72"/>
      <c r="D28" s="74"/>
      <c r="E28" s="73"/>
      <c r="I28" s="80">
        <f t="shared" si="4"/>
        <v>44287</v>
      </c>
      <c r="J28" s="129"/>
      <c r="K28" s="128"/>
      <c r="L28" s="128"/>
      <c r="M28" s="73"/>
    </row>
    <row r="29" spans="1:13" ht="12.75" customHeight="1">
      <c r="A29" s="121">
        <f t="shared" si="5"/>
        <v>44409</v>
      </c>
      <c r="B29" s="117"/>
      <c r="C29" s="72"/>
      <c r="D29" s="74"/>
      <c r="E29" s="73"/>
      <c r="I29" s="80">
        <f t="shared" si="4"/>
        <v>44470</v>
      </c>
      <c r="J29" s="129"/>
      <c r="K29" s="128"/>
      <c r="L29" s="128"/>
      <c r="M29" s="73"/>
    </row>
    <row r="30" spans="1:13" ht="12.75" customHeight="1">
      <c r="A30" s="121">
        <f t="shared" si="5"/>
        <v>44593</v>
      </c>
      <c r="B30" s="117"/>
      <c r="C30" s="72"/>
      <c r="D30" s="74"/>
      <c r="E30" s="73"/>
      <c r="I30" s="80">
        <f t="shared" si="4"/>
        <v>44652</v>
      </c>
      <c r="J30" s="129"/>
      <c r="K30" s="128"/>
      <c r="L30" s="128"/>
      <c r="M30" s="73"/>
    </row>
    <row r="31" spans="1:13" ht="12.75" customHeight="1">
      <c r="A31" s="121">
        <f t="shared" si="5"/>
        <v>44774</v>
      </c>
      <c r="B31" s="117"/>
      <c r="C31" s="72"/>
      <c r="D31" s="74"/>
      <c r="E31" s="73"/>
      <c r="I31" s="80">
        <f t="shared" si="4"/>
        <v>44835</v>
      </c>
      <c r="J31" s="129"/>
      <c r="K31" s="128"/>
      <c r="L31" s="128"/>
      <c r="M31" s="73"/>
    </row>
    <row r="32" spans="1:13" ht="12.75" customHeight="1">
      <c r="A32" s="121">
        <f t="shared" si="5"/>
        <v>44958</v>
      </c>
      <c r="B32" s="117"/>
      <c r="C32" s="72"/>
      <c r="D32" s="74"/>
      <c r="E32" s="73"/>
      <c r="I32" s="80">
        <f t="shared" si="4"/>
        <v>45017</v>
      </c>
      <c r="J32" s="129"/>
      <c r="K32" s="128"/>
      <c r="L32" s="128"/>
      <c r="M32" s="73"/>
    </row>
    <row r="33" spans="1:13" ht="12.75" customHeight="1">
      <c r="A33" s="121">
        <f t="shared" si="5"/>
        <v>45139</v>
      </c>
      <c r="B33" s="117"/>
      <c r="C33" s="72"/>
      <c r="D33" s="74"/>
      <c r="E33" s="73"/>
      <c r="I33" s="80">
        <f t="shared" si="4"/>
        <v>45200</v>
      </c>
      <c r="J33" s="129"/>
      <c r="K33" s="128"/>
      <c r="L33" s="128"/>
      <c r="M33" s="73"/>
    </row>
    <row r="34" spans="1:13" ht="12.75" customHeight="1">
      <c r="A34" s="121">
        <f t="shared" si="5"/>
        <v>45323</v>
      </c>
      <c r="B34" s="117"/>
      <c r="C34" s="72"/>
      <c r="D34" s="74"/>
      <c r="E34" s="73"/>
      <c r="I34" s="80">
        <f t="shared" si="4"/>
        <v>45383</v>
      </c>
      <c r="J34" s="129"/>
      <c r="K34" s="128"/>
      <c r="L34" s="128"/>
      <c r="M34" s="73"/>
    </row>
    <row r="35" spans="1:13" ht="12.75" customHeight="1">
      <c r="A35" s="121">
        <f t="shared" si="5"/>
        <v>45505</v>
      </c>
      <c r="B35" s="117"/>
      <c r="C35" s="72"/>
      <c r="D35" s="74"/>
      <c r="E35" s="73"/>
      <c r="I35" s="80">
        <f t="shared" si="4"/>
        <v>45566</v>
      </c>
      <c r="J35" s="129"/>
      <c r="K35" s="128"/>
      <c r="L35" s="128"/>
      <c r="M35" s="73"/>
    </row>
    <row r="36" spans="1:13" ht="12.75" customHeight="1">
      <c r="A36" s="121">
        <f t="shared" si="5"/>
        <v>45689</v>
      </c>
      <c r="B36" s="117"/>
      <c r="C36" s="72"/>
      <c r="D36" s="74"/>
      <c r="E36" s="73"/>
      <c r="I36" s="80">
        <f t="shared" si="4"/>
        <v>45748</v>
      </c>
      <c r="J36" s="129"/>
      <c r="K36" s="128"/>
      <c r="L36" s="128"/>
      <c r="M36" s="73"/>
    </row>
    <row r="37" spans="1:13" ht="12.75" customHeight="1">
      <c r="A37" s="121">
        <f t="shared" si="5"/>
        <v>45870</v>
      </c>
      <c r="B37" s="117"/>
      <c r="C37" s="72"/>
      <c r="D37" s="74"/>
      <c r="E37" s="73"/>
      <c r="I37" s="80">
        <f t="shared" si="4"/>
        <v>45931</v>
      </c>
      <c r="J37" s="129"/>
      <c r="K37" s="128"/>
      <c r="L37" s="128"/>
      <c r="M37" s="73"/>
    </row>
    <row r="38" spans="1:13" ht="12.75" customHeight="1">
      <c r="A38" s="121">
        <f t="shared" si="5"/>
        <v>46054</v>
      </c>
      <c r="B38" s="117"/>
      <c r="C38" s="72"/>
      <c r="D38" s="74"/>
      <c r="E38" s="73"/>
      <c r="I38" s="80">
        <f t="shared" si="4"/>
        <v>46113</v>
      </c>
      <c r="J38" s="129"/>
      <c r="K38" s="128"/>
      <c r="L38" s="128"/>
      <c r="M38" s="73"/>
    </row>
    <row r="39" spans="1:13" ht="12.75" customHeight="1">
      <c r="A39" s="121">
        <f t="shared" si="5"/>
        <v>46235</v>
      </c>
      <c r="B39" s="117"/>
      <c r="C39" s="72"/>
      <c r="D39" s="74"/>
      <c r="E39" s="73"/>
      <c r="I39" s="80">
        <f t="shared" si="4"/>
        <v>46296</v>
      </c>
      <c r="J39" s="129"/>
      <c r="K39" s="128"/>
      <c r="L39" s="128"/>
      <c r="M39" s="73"/>
    </row>
    <row r="40" spans="1:13" ht="12.75" customHeight="1">
      <c r="A40" s="121">
        <f t="shared" si="5"/>
        <v>46419</v>
      </c>
      <c r="B40" s="117"/>
      <c r="C40" s="72"/>
      <c r="D40" s="74"/>
      <c r="E40" s="73"/>
      <c r="I40" s="80">
        <f t="shared" si="4"/>
        <v>46478</v>
      </c>
      <c r="J40" s="129"/>
      <c r="K40" s="128"/>
      <c r="L40" s="128"/>
      <c r="M40" s="73"/>
    </row>
    <row r="41" spans="1:13" ht="12.75" customHeight="1">
      <c r="A41" s="121">
        <f t="shared" si="5"/>
        <v>46600</v>
      </c>
      <c r="B41" s="117"/>
      <c r="C41" s="72"/>
      <c r="D41" s="74"/>
      <c r="E41" s="73"/>
      <c r="I41" s="80">
        <f t="shared" si="4"/>
        <v>46661</v>
      </c>
      <c r="J41" s="129"/>
      <c r="K41" s="128"/>
      <c r="L41" s="128"/>
      <c r="M41" s="73"/>
    </row>
    <row r="42" spans="1:13" ht="12.75" customHeight="1">
      <c r="A42" s="121">
        <f t="shared" si="5"/>
        <v>46784</v>
      </c>
      <c r="B42" s="117"/>
      <c r="C42" s="72"/>
      <c r="D42" s="74"/>
      <c r="E42" s="73"/>
      <c r="I42" s="80">
        <f t="shared" si="4"/>
        <v>46844</v>
      </c>
      <c r="J42" s="129"/>
      <c r="K42" s="128"/>
      <c r="L42" s="128"/>
      <c r="M42" s="73"/>
    </row>
    <row r="43" spans="1:13" ht="12.75" customHeight="1">
      <c r="A43" s="121">
        <f t="shared" si="5"/>
        <v>46966</v>
      </c>
      <c r="B43" s="117"/>
      <c r="C43" s="72"/>
      <c r="D43" s="74"/>
      <c r="E43" s="73"/>
      <c r="I43" s="80">
        <f t="shared" si="4"/>
        <v>47027</v>
      </c>
      <c r="J43" s="129"/>
      <c r="K43" s="128"/>
      <c r="L43" s="128"/>
      <c r="M43" s="73"/>
    </row>
    <row r="44" spans="1:13" ht="12.75" customHeight="1">
      <c r="A44" s="121">
        <f t="shared" si="5"/>
        <v>47150</v>
      </c>
      <c r="B44" s="117"/>
      <c r="C44" s="72"/>
      <c r="D44" s="74"/>
      <c r="E44" s="73"/>
      <c r="I44" s="80">
        <f t="shared" si="4"/>
        <v>47209</v>
      </c>
      <c r="J44" s="129"/>
      <c r="K44" s="128"/>
      <c r="L44" s="128"/>
      <c r="M44" s="73"/>
    </row>
    <row r="45" spans="1:13" ht="12.75" customHeight="1">
      <c r="A45" s="121">
        <f t="shared" si="5"/>
        <v>47331</v>
      </c>
      <c r="B45" s="117"/>
      <c r="C45" s="72"/>
      <c r="D45" s="74"/>
      <c r="E45" s="73"/>
      <c r="I45" s="80">
        <f t="shared" si="4"/>
        <v>47392</v>
      </c>
      <c r="J45" s="129"/>
      <c r="K45" s="128"/>
      <c r="L45" s="128"/>
      <c r="M45" s="73"/>
    </row>
    <row r="46" spans="1:13" ht="12.75" customHeight="1">
      <c r="A46" s="121">
        <f t="shared" si="5"/>
        <v>47515</v>
      </c>
      <c r="B46" s="117"/>
      <c r="C46" s="72"/>
      <c r="D46" s="74"/>
      <c r="E46" s="73"/>
      <c r="I46" s="80">
        <f t="shared" si="4"/>
        <v>47574</v>
      </c>
      <c r="J46" s="129"/>
      <c r="K46" s="128"/>
      <c r="L46" s="128"/>
      <c r="M46" s="73"/>
    </row>
    <row r="47" spans="1:13" ht="12.75" customHeight="1">
      <c r="A47" s="121">
        <f t="shared" si="5"/>
        <v>47696</v>
      </c>
      <c r="B47" s="117"/>
      <c r="C47" s="72"/>
      <c r="D47" s="74"/>
      <c r="E47" s="73"/>
      <c r="I47" s="80">
        <f t="shared" si="4"/>
        <v>47757</v>
      </c>
      <c r="J47" s="129"/>
      <c r="K47" s="128"/>
      <c r="L47" s="128"/>
      <c r="M47" s="73"/>
    </row>
    <row r="48" spans="1:13" ht="12.75" customHeight="1">
      <c r="A48" s="121">
        <f t="shared" si="5"/>
        <v>47880</v>
      </c>
      <c r="B48" s="117"/>
      <c r="C48" s="72"/>
      <c r="D48" s="74"/>
      <c r="E48" s="73"/>
      <c r="I48" s="80">
        <f t="shared" si="4"/>
        <v>47939</v>
      </c>
      <c r="J48" s="129"/>
      <c r="K48" s="128"/>
      <c r="L48" s="128"/>
      <c r="M48" s="73"/>
    </row>
    <row r="49" spans="1:13" ht="12.75" customHeight="1">
      <c r="A49" s="121">
        <f t="shared" si="5"/>
        <v>48061</v>
      </c>
      <c r="B49" s="117"/>
      <c r="C49" s="72"/>
      <c r="D49" s="74"/>
      <c r="E49" s="73"/>
      <c r="I49" s="80">
        <f t="shared" si="4"/>
        <v>48122</v>
      </c>
      <c r="J49" s="129"/>
      <c r="K49" s="128"/>
      <c r="L49" s="128"/>
      <c r="M49" s="73"/>
    </row>
    <row r="50" spans="1:13" ht="12.75" customHeight="1">
      <c r="A50" s="121">
        <f t="shared" si="5"/>
        <v>48245</v>
      </c>
      <c r="B50" s="117"/>
      <c r="C50" s="72"/>
      <c r="D50" s="74"/>
      <c r="E50" s="73"/>
      <c r="I50" s="80">
        <f t="shared" si="4"/>
        <v>48305</v>
      </c>
      <c r="J50" s="129"/>
      <c r="K50" s="128"/>
      <c r="L50" s="128"/>
      <c r="M50" s="73"/>
    </row>
    <row r="51" spans="1:13" ht="12.75" customHeight="1">
      <c r="A51" s="121">
        <f t="shared" si="5"/>
        <v>48427</v>
      </c>
      <c r="B51" s="117"/>
      <c r="C51" s="72"/>
      <c r="D51" s="74"/>
      <c r="E51" s="73"/>
      <c r="I51" s="80">
        <f t="shared" si="4"/>
        <v>48488</v>
      </c>
      <c r="J51" s="129"/>
      <c r="K51" s="128"/>
      <c r="L51" s="128"/>
      <c r="M51" s="73"/>
    </row>
    <row r="52" spans="1:13" ht="12.75" customHeight="1">
      <c r="A52" s="121">
        <f t="shared" si="5"/>
        <v>48611</v>
      </c>
      <c r="B52" s="117"/>
      <c r="C52" s="72"/>
      <c r="D52" s="74"/>
      <c r="E52" s="73"/>
      <c r="I52" s="80">
        <f t="shared" si="4"/>
        <v>48670</v>
      </c>
      <c r="J52" s="129"/>
      <c r="K52" s="128"/>
      <c r="L52" s="128"/>
      <c r="M52" s="73"/>
    </row>
    <row r="53" spans="1:13" ht="12.75" customHeight="1">
      <c r="A53" s="121">
        <f t="shared" si="5"/>
        <v>48792</v>
      </c>
      <c r="B53" s="117"/>
      <c r="C53" s="72"/>
      <c r="D53" s="74"/>
      <c r="E53" s="73"/>
      <c r="I53" s="80">
        <f t="shared" si="4"/>
        <v>48853</v>
      </c>
      <c r="J53" s="129"/>
      <c r="K53" s="128"/>
      <c r="L53" s="128"/>
      <c r="M53" s="73"/>
    </row>
    <row r="54" spans="1:13" ht="12.75" customHeight="1">
      <c r="A54" s="121">
        <f t="shared" si="5"/>
        <v>48976</v>
      </c>
      <c r="B54" s="117"/>
      <c r="C54" s="72"/>
      <c r="D54" s="74"/>
      <c r="E54" s="73"/>
      <c r="I54" s="80">
        <f t="shared" si="4"/>
        <v>49035</v>
      </c>
      <c r="J54" s="129"/>
      <c r="K54" s="128"/>
      <c r="L54" s="128"/>
      <c r="M54" s="73"/>
    </row>
    <row r="55" spans="1:13" ht="12.75" customHeight="1">
      <c r="A55" s="121">
        <f t="shared" si="5"/>
        <v>49157</v>
      </c>
      <c r="B55" s="117"/>
      <c r="C55" s="72"/>
      <c r="D55" s="74"/>
      <c r="E55" s="73"/>
      <c r="I55" s="80">
        <f t="shared" si="4"/>
        <v>49218</v>
      </c>
      <c r="J55" s="129"/>
      <c r="K55" s="128"/>
      <c r="L55" s="128"/>
      <c r="M55" s="73"/>
    </row>
    <row r="56" spans="1:13" ht="12.75" customHeight="1">
      <c r="A56" s="121">
        <f t="shared" si="5"/>
        <v>49341</v>
      </c>
      <c r="B56" s="117"/>
      <c r="C56" s="72"/>
      <c r="D56" s="74"/>
      <c r="E56" s="73"/>
      <c r="I56" s="80">
        <f t="shared" si="4"/>
        <v>49400</v>
      </c>
      <c r="J56" s="129"/>
      <c r="K56" s="128"/>
      <c r="L56" s="128"/>
      <c r="M56" s="73"/>
    </row>
    <row r="57" spans="1:13" ht="12.75" customHeight="1">
      <c r="A57" s="121">
        <f t="shared" si="5"/>
        <v>49522</v>
      </c>
      <c r="B57" s="117"/>
      <c r="C57" s="72"/>
      <c r="D57" s="74"/>
      <c r="E57" s="73"/>
      <c r="I57" s="80">
        <f t="shared" si="4"/>
        <v>49583</v>
      </c>
      <c r="J57" s="129"/>
      <c r="K57" s="128"/>
      <c r="L57" s="128"/>
      <c r="M57" s="73"/>
    </row>
    <row r="58" spans="1:13" ht="12.75" customHeight="1">
      <c r="A58" s="121">
        <f t="shared" si="5"/>
        <v>49706</v>
      </c>
      <c r="B58" s="117"/>
      <c r="C58" s="72"/>
      <c r="D58" s="74"/>
      <c r="E58" s="73"/>
      <c r="I58" s="80">
        <f t="shared" si="4"/>
        <v>49766</v>
      </c>
      <c r="J58" s="129"/>
      <c r="K58" s="128"/>
      <c r="L58" s="128"/>
      <c r="M58" s="73"/>
    </row>
    <row r="59" spans="1:13" ht="12.75" customHeight="1">
      <c r="A59" s="121">
        <f t="shared" si="5"/>
        <v>49888</v>
      </c>
      <c r="B59" s="117"/>
      <c r="C59" s="72"/>
      <c r="D59" s="74"/>
      <c r="E59" s="73"/>
      <c r="I59" s="80">
        <f t="shared" si="4"/>
        <v>49949</v>
      </c>
      <c r="J59" s="129"/>
      <c r="K59" s="128"/>
      <c r="L59" s="128"/>
      <c r="M59" s="73"/>
    </row>
    <row r="60" spans="1:13" ht="12.75" customHeight="1">
      <c r="A60" s="121">
        <f t="shared" si="5"/>
        <v>50072</v>
      </c>
      <c r="B60" s="117"/>
      <c r="C60" s="72"/>
      <c r="D60" s="74"/>
      <c r="E60" s="73"/>
      <c r="I60" s="80">
        <f t="shared" si="4"/>
        <v>50131</v>
      </c>
      <c r="J60" s="129"/>
      <c r="K60" s="128"/>
      <c r="L60" s="128"/>
      <c r="M60" s="73"/>
    </row>
    <row r="61" spans="1:13" ht="12.75" customHeight="1">
      <c r="A61" s="121">
        <f t="shared" si="5"/>
        <v>50253</v>
      </c>
      <c r="B61" s="117"/>
      <c r="C61" s="72"/>
      <c r="D61" s="74"/>
      <c r="E61" s="73"/>
      <c r="I61" s="80">
        <f t="shared" si="4"/>
        <v>50314</v>
      </c>
      <c r="J61" s="129"/>
      <c r="K61" s="128"/>
      <c r="L61" s="128"/>
      <c r="M61" s="73"/>
    </row>
    <row r="62" spans="1:13" ht="12.75" customHeight="1">
      <c r="A62" s="121">
        <f t="shared" si="5"/>
        <v>50437</v>
      </c>
      <c r="B62" s="117"/>
      <c r="C62" s="72"/>
      <c r="D62" s="74"/>
      <c r="E62" s="73"/>
      <c r="I62" s="80">
        <f t="shared" si="4"/>
        <v>50496</v>
      </c>
      <c r="J62" s="129"/>
      <c r="K62" s="128"/>
      <c r="L62" s="128"/>
      <c r="M62" s="73"/>
    </row>
    <row r="63" spans="1:13" ht="12.75" customHeight="1">
      <c r="A63" s="121">
        <f t="shared" si="5"/>
        <v>50618</v>
      </c>
      <c r="B63" s="117"/>
      <c r="C63" s="72"/>
      <c r="D63" s="74"/>
      <c r="E63" s="73"/>
      <c r="I63" s="80">
        <f t="shared" ref="I63:I82" si="9">EDATE(A63,2)</f>
        <v>50679</v>
      </c>
      <c r="J63" s="129"/>
      <c r="K63" s="128"/>
      <c r="L63" s="128"/>
      <c r="M63" s="73"/>
    </row>
    <row r="64" spans="1:13" ht="12.75" customHeight="1">
      <c r="A64" s="121">
        <f t="shared" si="5"/>
        <v>50802</v>
      </c>
      <c r="B64" s="117"/>
      <c r="C64" s="72"/>
      <c r="D64" s="74"/>
      <c r="E64" s="73"/>
      <c r="I64" s="80">
        <f t="shared" si="9"/>
        <v>50861</v>
      </c>
      <c r="J64" s="129"/>
      <c r="K64" s="128"/>
      <c r="L64" s="128"/>
      <c r="M64" s="73"/>
    </row>
    <row r="65" spans="1:13" ht="12.75" customHeight="1">
      <c r="A65" s="121">
        <f t="shared" si="5"/>
        <v>50983</v>
      </c>
      <c r="B65" s="117"/>
      <c r="C65" s="72"/>
      <c r="D65" s="74"/>
      <c r="E65" s="73"/>
      <c r="I65" s="80">
        <f t="shared" si="9"/>
        <v>51044</v>
      </c>
      <c r="J65" s="129"/>
      <c r="K65" s="128"/>
      <c r="L65" s="128"/>
      <c r="M65" s="73"/>
    </row>
    <row r="66" spans="1:13" ht="12.75" customHeight="1">
      <c r="A66" s="121">
        <f t="shared" si="5"/>
        <v>51167</v>
      </c>
      <c r="B66" s="117"/>
      <c r="C66" s="72"/>
      <c r="D66" s="74"/>
      <c r="E66" s="73"/>
      <c r="I66" s="80">
        <f t="shared" si="9"/>
        <v>51227</v>
      </c>
      <c r="J66" s="129"/>
      <c r="K66" s="128"/>
      <c r="L66" s="128"/>
      <c r="M66" s="73"/>
    </row>
    <row r="67" spans="1:13" ht="12.75" customHeight="1">
      <c r="A67" s="121">
        <f t="shared" si="5"/>
        <v>51349</v>
      </c>
      <c r="B67" s="117"/>
      <c r="C67" s="72"/>
      <c r="D67" s="74"/>
      <c r="E67" s="73"/>
      <c r="I67" s="80">
        <f t="shared" si="9"/>
        <v>51410</v>
      </c>
      <c r="J67" s="129"/>
      <c r="K67" s="128"/>
      <c r="L67" s="128"/>
      <c r="M67" s="73"/>
    </row>
    <row r="68" spans="1:13" ht="12.75" customHeight="1">
      <c r="A68" s="121">
        <f t="shared" si="5"/>
        <v>51533</v>
      </c>
      <c r="B68" s="117"/>
      <c r="C68" s="72"/>
      <c r="D68" s="74"/>
      <c r="E68" s="73"/>
      <c r="I68" s="80">
        <f t="shared" si="9"/>
        <v>51592</v>
      </c>
      <c r="J68" s="129"/>
      <c r="K68" s="128"/>
      <c r="L68" s="128"/>
      <c r="M68" s="73"/>
    </row>
    <row r="69" spans="1:13" ht="12.75" customHeight="1">
      <c r="A69" s="121">
        <f t="shared" si="5"/>
        <v>51714</v>
      </c>
      <c r="B69" s="117"/>
      <c r="C69" s="72"/>
      <c r="D69" s="74"/>
      <c r="E69" s="73"/>
      <c r="I69" s="80">
        <f t="shared" si="9"/>
        <v>51775</v>
      </c>
      <c r="J69" s="129"/>
      <c r="K69" s="128"/>
      <c r="L69" s="128"/>
      <c r="M69" s="73"/>
    </row>
    <row r="70" spans="1:13" ht="12.75" customHeight="1">
      <c r="A70" s="121">
        <f t="shared" si="5"/>
        <v>51898</v>
      </c>
      <c r="B70" s="117"/>
      <c r="C70" s="72"/>
      <c r="D70" s="74"/>
      <c r="E70" s="73"/>
      <c r="I70" s="80">
        <f t="shared" si="9"/>
        <v>51957</v>
      </c>
      <c r="J70" s="129"/>
      <c r="K70" s="128"/>
      <c r="L70" s="128"/>
      <c r="M70" s="73"/>
    </row>
    <row r="71" spans="1:13" ht="12.75" customHeight="1">
      <c r="A71" s="121">
        <f t="shared" si="5"/>
        <v>52079</v>
      </c>
      <c r="B71" s="117"/>
      <c r="C71" s="72"/>
      <c r="D71" s="74"/>
      <c r="E71" s="73"/>
      <c r="I71" s="80">
        <f t="shared" si="9"/>
        <v>52140</v>
      </c>
      <c r="J71" s="129"/>
      <c r="K71" s="128"/>
      <c r="L71" s="128"/>
      <c r="M71" s="73"/>
    </row>
    <row r="72" spans="1:13" ht="12.75" customHeight="1">
      <c r="A72" s="121">
        <f t="shared" si="5"/>
        <v>52263</v>
      </c>
      <c r="B72" s="117"/>
      <c r="C72" s="72"/>
      <c r="D72" s="74"/>
      <c r="E72" s="73"/>
      <c r="I72" s="80">
        <f t="shared" si="9"/>
        <v>52322</v>
      </c>
      <c r="J72" s="129"/>
      <c r="K72" s="128"/>
      <c r="L72" s="128"/>
      <c r="M72" s="73"/>
    </row>
    <row r="73" spans="1:13" ht="12.75" customHeight="1">
      <c r="A73" s="121">
        <f t="shared" si="5"/>
        <v>52444</v>
      </c>
      <c r="B73" s="117"/>
      <c r="C73" s="72"/>
      <c r="D73" s="74"/>
      <c r="E73" s="73"/>
      <c r="I73" s="80">
        <f t="shared" si="9"/>
        <v>52505</v>
      </c>
      <c r="J73" s="129"/>
      <c r="K73" s="128"/>
      <c r="L73" s="128"/>
      <c r="M73" s="73"/>
    </row>
    <row r="74" spans="1:13" ht="12.75" customHeight="1">
      <c r="A74" s="121">
        <f t="shared" si="5"/>
        <v>52628</v>
      </c>
      <c r="B74" s="117"/>
      <c r="C74" s="72"/>
      <c r="D74" s="74"/>
      <c r="E74" s="73"/>
      <c r="I74" s="80">
        <f t="shared" si="9"/>
        <v>52688</v>
      </c>
      <c r="J74" s="129"/>
      <c r="K74" s="128"/>
      <c r="L74" s="128"/>
      <c r="M74" s="73"/>
    </row>
    <row r="75" spans="1:13" ht="12.75" customHeight="1">
      <c r="A75" s="121">
        <f t="shared" si="5"/>
        <v>52810</v>
      </c>
      <c r="B75" s="117"/>
      <c r="C75" s="72"/>
      <c r="D75" s="74"/>
      <c r="E75" s="73"/>
      <c r="I75" s="80">
        <f t="shared" si="9"/>
        <v>52871</v>
      </c>
      <c r="J75" s="129"/>
      <c r="K75" s="128"/>
      <c r="L75" s="128"/>
      <c r="M75" s="73"/>
    </row>
    <row r="76" spans="1:13" ht="12.75" customHeight="1">
      <c r="A76" s="121">
        <f t="shared" si="5"/>
        <v>52994</v>
      </c>
      <c r="B76" s="117"/>
      <c r="C76" s="72"/>
      <c r="D76" s="74"/>
      <c r="E76" s="73"/>
      <c r="I76" s="80">
        <f t="shared" si="9"/>
        <v>53053</v>
      </c>
      <c r="J76" s="129"/>
      <c r="K76" s="128"/>
      <c r="L76" s="128"/>
      <c r="M76" s="73"/>
    </row>
    <row r="77" spans="1:13" ht="12.75" customHeight="1">
      <c r="A77" s="121">
        <f t="shared" si="5"/>
        <v>53175</v>
      </c>
      <c r="B77" s="117"/>
      <c r="C77" s="72"/>
      <c r="D77" s="74"/>
      <c r="E77" s="73"/>
      <c r="I77" s="80">
        <f t="shared" si="9"/>
        <v>53236</v>
      </c>
      <c r="J77" s="129"/>
      <c r="K77" s="128"/>
      <c r="L77" s="128"/>
      <c r="M77" s="73"/>
    </row>
    <row r="78" spans="1:13" ht="12.75" customHeight="1">
      <c r="A78" s="121">
        <f t="shared" si="5"/>
        <v>53359</v>
      </c>
      <c r="B78" s="117"/>
      <c r="C78" s="72"/>
      <c r="D78" s="74"/>
      <c r="E78" s="73"/>
      <c r="I78" s="80">
        <f t="shared" si="9"/>
        <v>53418</v>
      </c>
      <c r="J78" s="129"/>
      <c r="K78" s="128"/>
      <c r="L78" s="128"/>
      <c r="M78" s="73"/>
    </row>
    <row r="79" spans="1:13" ht="12.75" customHeight="1">
      <c r="A79" s="121">
        <f t="shared" si="5"/>
        <v>53540</v>
      </c>
      <c r="B79" s="117"/>
      <c r="C79" s="72"/>
      <c r="D79" s="74"/>
      <c r="E79" s="73"/>
      <c r="I79" s="80">
        <f t="shared" si="9"/>
        <v>53601</v>
      </c>
      <c r="J79" s="129"/>
      <c r="K79" s="128"/>
      <c r="L79" s="128"/>
      <c r="M79" s="73"/>
    </row>
    <row r="80" spans="1:13" ht="12.75" customHeight="1">
      <c r="A80" s="121">
        <f t="shared" ref="A80:A82" si="10">EDATE(A79,6)</f>
        <v>53724</v>
      </c>
      <c r="B80" s="117"/>
      <c r="C80" s="72"/>
      <c r="D80" s="74"/>
      <c r="E80" s="73"/>
      <c r="I80" s="80">
        <f t="shared" si="9"/>
        <v>53783</v>
      </c>
      <c r="J80" s="129"/>
      <c r="K80" s="128"/>
      <c r="L80" s="128"/>
      <c r="M80" s="73"/>
    </row>
    <row r="81" spans="1:13" ht="12.75" customHeight="1">
      <c r="A81" s="121">
        <f t="shared" si="10"/>
        <v>53905</v>
      </c>
      <c r="B81" s="117"/>
      <c r="C81" s="72"/>
      <c r="D81" s="74"/>
      <c r="E81" s="73"/>
      <c r="I81" s="80">
        <f t="shared" si="9"/>
        <v>53966</v>
      </c>
      <c r="J81" s="129"/>
      <c r="K81" s="128"/>
      <c r="L81" s="128"/>
      <c r="M81" s="73"/>
    </row>
    <row r="82" spans="1:13" ht="13.5" customHeight="1" thickBot="1">
      <c r="A82" s="123">
        <f t="shared" si="10"/>
        <v>54089</v>
      </c>
      <c r="B82" s="119"/>
      <c r="C82" s="81"/>
      <c r="D82" s="82"/>
      <c r="E82" s="83"/>
      <c r="I82" s="92">
        <f t="shared" si="9"/>
        <v>54149</v>
      </c>
      <c r="J82" s="130"/>
      <c r="K82" s="131"/>
      <c r="L82" s="131"/>
      <c r="M82" s="83"/>
    </row>
    <row r="83" spans="1:13" ht="12.75" customHeight="1">
      <c r="C83" s="85">
        <f>AVERAGE(C3:C82)</f>
        <v>8.8759686147186125E-3</v>
      </c>
      <c r="D83" s="86">
        <f>AVERAGE(D2:D82)</f>
        <v>496.56572354725716</v>
      </c>
      <c r="E83" s="87">
        <f>AVERAGE(E3:E82)</f>
        <v>-20.384736409600325</v>
      </c>
      <c r="M83" s="87">
        <f>AVERAGE(M3:M82)</f>
        <v>-6376.5190476190455</v>
      </c>
    </row>
    <row r="85" spans="1:13">
      <c r="E85" t="s">
        <v>125</v>
      </c>
      <c r="G85" s="69">
        <f>SUM(G2:G82)</f>
        <v>66128.555055588746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topLeftCell="A37" workbookViewId="0">
      <selection activeCell="B51" sqref="B51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40">
        <f>C3*D2</f>
        <v>63.609900000000003</v>
      </c>
      <c r="F2" s="40">
        <f>E2*D2</f>
        <v>9.4098125070000016</v>
      </c>
    </row>
    <row r="3" spans="3:8">
      <c r="C3">
        <v>430</v>
      </c>
      <c r="D3">
        <v>0.14732000000000001</v>
      </c>
      <c r="E3" s="40">
        <f>C3*D3</f>
        <v>63.3476</v>
      </c>
      <c r="G3" s="40">
        <f>D3*E3</f>
        <v>9.3323684320000009</v>
      </c>
    </row>
    <row r="4" spans="3:8">
      <c r="D4">
        <v>5.9817000000000002E-2</v>
      </c>
      <c r="E4" s="40">
        <f>C5*D4</f>
        <v>8.8050623999999988</v>
      </c>
      <c r="F4" s="40">
        <f>E4*D4</f>
        <v>0.52669241758079999</v>
      </c>
    </row>
    <row r="5" spans="3:8">
      <c r="C5" s="40">
        <f>4.6*32</f>
        <v>147.19999999999999</v>
      </c>
      <c r="D5">
        <v>5.9851000000000001E-2</v>
      </c>
      <c r="E5" s="40">
        <f>C5*D5</f>
        <v>8.8100671999999989</v>
      </c>
      <c r="G5" s="40">
        <f>D5*E5</f>
        <v>0.52729133198719991</v>
      </c>
    </row>
    <row r="6" spans="3:8">
      <c r="F6" s="40">
        <f>SUM(F2:F4)</f>
        <v>9.9365049245808024</v>
      </c>
      <c r="G6" s="40">
        <f>SUM(G2:G5)</f>
        <v>9.8596597639872012</v>
      </c>
    </row>
    <row r="8" spans="3:8">
      <c r="F8" t="s">
        <v>126</v>
      </c>
      <c r="G8">
        <v>386785</v>
      </c>
    </row>
    <row r="9" spans="3:8">
      <c r="F9" t="s">
        <v>127</v>
      </c>
      <c r="G9">
        <v>36372553</v>
      </c>
    </row>
    <row r="13" spans="3:8">
      <c r="D13">
        <v>217.11</v>
      </c>
      <c r="E13">
        <v>6</v>
      </c>
      <c r="F13" s="40">
        <f>D13*E13</f>
        <v>1302.6600000000001</v>
      </c>
      <c r="H13" s="40">
        <f>(6*5)+2</f>
        <v>32</v>
      </c>
    </row>
    <row r="14" spans="3:8">
      <c r="F14" s="40">
        <f>F13/H13</f>
        <v>40.708125000000003</v>
      </c>
    </row>
    <row r="15" spans="3:8">
      <c r="F15" s="40">
        <f>F14*12</f>
        <v>488.49750000000006</v>
      </c>
      <c r="G15" s="40">
        <f>F14*2</f>
        <v>81.416250000000005</v>
      </c>
    </row>
    <row r="19" spans="1:9">
      <c r="A19" t="s">
        <v>128</v>
      </c>
    </row>
    <row r="21" spans="1:9">
      <c r="B21" t="s">
        <v>129</v>
      </c>
      <c r="C21" s="88"/>
      <c r="F21" t="s">
        <v>130</v>
      </c>
    </row>
    <row r="22" spans="1:9">
      <c r="B22" t="s">
        <v>131</v>
      </c>
      <c r="C22" s="88"/>
      <c r="F22" t="s">
        <v>132</v>
      </c>
    </row>
    <row r="23" spans="1:9">
      <c r="B23" t="s">
        <v>133</v>
      </c>
      <c r="C23" t="s">
        <v>167</v>
      </c>
      <c r="I23" s="45"/>
    </row>
    <row r="26" spans="1:9">
      <c r="B26" s="45" t="s">
        <v>17</v>
      </c>
    </row>
    <row r="27" spans="1:9">
      <c r="B27" t="s">
        <v>134</v>
      </c>
    </row>
    <row r="28" spans="1:9">
      <c r="B28" s="48"/>
      <c r="C28" s="45"/>
      <c r="D28" s="45"/>
      <c r="E28" s="48"/>
      <c r="F28" s="48"/>
    </row>
    <row r="33" spans="1:9" ht="150">
      <c r="B33" s="89" t="s">
        <v>135</v>
      </c>
      <c r="I33" s="89" t="s">
        <v>142</v>
      </c>
    </row>
    <row r="34" spans="1:9">
      <c r="B34" s="90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workbookViewId="0">
      <selection activeCell="B47" sqref="B47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222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>
        <v>2018</v>
      </c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 t="s">
        <v>187</v>
      </c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H6+(B6-SUM(D6:F6))</f>
        <v>805.18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>
        <v>405.59</v>
      </c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 t="shared" ref="A7:A13" si="0">H7+(B7-SUM(D7:F7))</f>
        <v>308.51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>
        <v>238.32999999999998</v>
      </c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 t="shared" si="0"/>
        <v>0</v>
      </c>
      <c r="B8" s="135">
        <v>0</v>
      </c>
      <c r="C8" s="16" t="s">
        <v>35</v>
      </c>
      <c r="D8" s="138"/>
      <c r="F8" s="139"/>
      <c r="G8" s="16" t="s">
        <v>35</v>
      </c>
      <c r="H8" s="1">
        <v>0</v>
      </c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 t="shared" si="0"/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>
        <v>0</v>
      </c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 t="shared" si="0"/>
        <v>24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>
        <v>12</v>
      </c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 t="shared" si="0"/>
        <v>60.46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>
        <v>30.23</v>
      </c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 t="shared" si="0"/>
        <v>63.04000000000002</v>
      </c>
      <c r="B12" s="135">
        <v>25</v>
      </c>
      <c r="C12" s="16" t="s">
        <v>209</v>
      </c>
      <c r="D12" s="138"/>
      <c r="E12" s="139"/>
      <c r="F12" s="139"/>
      <c r="G12" s="16"/>
      <c r="H12" s="1">
        <v>38.04000000000002</v>
      </c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 t="shared" si="0"/>
        <v>70</v>
      </c>
      <c r="B13" s="135">
        <v>7</v>
      </c>
      <c r="C13" s="16" t="s">
        <v>204</v>
      </c>
      <c r="D13" s="138"/>
      <c r="E13" s="139"/>
      <c r="F13" s="139"/>
      <c r="G13" s="16"/>
      <c r="H13" s="1">
        <v>63</v>
      </c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1331.19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>
        <v>787.19</v>
      </c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 t="s">
        <v>187</v>
      </c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H26+(B26-SUM(D26:F26))</f>
        <v>1800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>
        <v>900</v>
      </c>
      <c r="I26" s="290"/>
      <c r="J26" s="294"/>
      <c r="K26" s="295"/>
      <c r="L26" s="200"/>
      <c r="M26" s="1"/>
      <c r="R26" s="3"/>
    </row>
    <row r="27" spans="1:18" ht="15.75">
      <c r="A27" s="113">
        <f t="shared" ref="A27:A30" si="1">H27+(B27-SUM(D27:F27))</f>
        <v>349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>
        <v>179</v>
      </c>
      <c r="I27" s="290"/>
      <c r="J27" s="294"/>
      <c r="K27" s="295"/>
      <c r="L27" s="200"/>
      <c r="M27" s="1"/>
      <c r="R27" s="3"/>
    </row>
    <row r="28" spans="1:18" ht="15.75">
      <c r="A28" s="113">
        <f t="shared" si="1"/>
        <v>183.06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>
        <v>143.06</v>
      </c>
      <c r="I28" s="290"/>
      <c r="J28" s="294"/>
      <c r="K28" s="295"/>
      <c r="L28" s="200"/>
      <c r="M28" s="1"/>
      <c r="R28" s="3"/>
    </row>
    <row r="29" spans="1:18" ht="15.75">
      <c r="A29" s="113">
        <f t="shared" si="1"/>
        <v>37.129999999999995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>
        <v>19.13</v>
      </c>
      <c r="I29" s="298"/>
      <c r="J29" s="299"/>
      <c r="K29" s="300"/>
      <c r="L29" s="202"/>
      <c r="M29" s="1"/>
      <c r="R29" s="3"/>
    </row>
    <row r="30" spans="1:18" ht="15.75" customHeight="1">
      <c r="A30" s="113">
        <f t="shared" si="1"/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>
        <v>593.55999999999995</v>
      </c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2962.75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>
        <v>1834.75</v>
      </c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 t="s">
        <v>187</v>
      </c>
      <c r="M105" s="1"/>
      <c r="R105" s="3"/>
    </row>
    <row r="106" spans="1:18" ht="15.75">
      <c r="A106" s="113">
        <f>H106+(B106-SUM(D106:F106))</f>
        <v>516.94000000000005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>
        <v>258.47000000000003</v>
      </c>
      <c r="M106" s="1"/>
      <c r="R106" s="3"/>
    </row>
    <row r="107" spans="1:18" ht="15.75">
      <c r="A107" s="113">
        <f t="shared" ref="A107:A109" si="2">H107+(B107-SUM(D107:F107))</f>
        <v>143.30000000000001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>
        <v>72.300000000000011</v>
      </c>
      <c r="M107" s="1"/>
      <c r="R107" s="3"/>
    </row>
    <row r="108" spans="1:18" ht="15.75">
      <c r="A108" s="113">
        <f t="shared" si="2"/>
        <v>247.09999999999991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>
        <v>197.09999999999991</v>
      </c>
      <c r="M108" s="1"/>
      <c r="R108" s="3"/>
    </row>
    <row r="109" spans="1:18" ht="15.75">
      <c r="A109" s="113">
        <f t="shared" si="2"/>
        <v>2805.5600000000009</v>
      </c>
      <c r="B109" s="135">
        <v>25.53</v>
      </c>
      <c r="C109" s="18" t="s">
        <v>208</v>
      </c>
      <c r="D109" s="138"/>
      <c r="E109" s="139"/>
      <c r="F109" s="139"/>
      <c r="G109" s="32"/>
      <c r="H109" s="1">
        <v>2780.0300000000007</v>
      </c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907.33999999999992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>
        <v>527.86999999999989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8">
      <c r="B417" s="135"/>
      <c r="C417" s="16"/>
      <c r="D417" s="138"/>
      <c r="E417" s="139"/>
      <c r="F417" s="139"/>
      <c r="G417" s="16"/>
    </row>
    <row r="418" spans="1:8">
      <c r="B418" s="135"/>
      <c r="C418" s="16"/>
      <c r="D418" s="138"/>
      <c r="E418" s="139"/>
      <c r="F418" s="139"/>
      <c r="G418" s="16"/>
    </row>
    <row r="419" spans="1:8" ht="15.75" thickBot="1">
      <c r="B419" s="136"/>
      <c r="C419" s="17"/>
      <c r="D419" s="136"/>
      <c r="E419" s="140"/>
      <c r="F419" s="140"/>
      <c r="G419" s="17"/>
    </row>
    <row r="420" spans="1:8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8" ht="15" customHeight="1" thickBot="1">
      <c r="B423" s="321"/>
      <c r="C423" s="322"/>
      <c r="D423" s="322"/>
      <c r="E423" s="322"/>
      <c r="F423" s="322"/>
      <c r="G423" s="323"/>
    </row>
    <row r="424" spans="1:8">
      <c r="B424" s="314" t="s">
        <v>8</v>
      </c>
      <c r="C424" s="315"/>
      <c r="D424" s="316" t="s">
        <v>9</v>
      </c>
      <c r="E424" s="316"/>
      <c r="F424" s="316"/>
      <c r="G424" s="315"/>
    </row>
    <row r="425" spans="1:8">
      <c r="A425" s="90" t="s">
        <v>223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  <c r="H425" s="90" t="s">
        <v>212</v>
      </c>
    </row>
    <row r="426" spans="1:8" ht="15.75">
      <c r="A426" s="113">
        <v>3900</v>
      </c>
      <c r="B426" s="135">
        <f>AÑO!C17 -A426</f>
        <v>-3900</v>
      </c>
      <c r="C426" s="19" t="s">
        <v>201</v>
      </c>
      <c r="D426" s="138"/>
      <c r="E426" s="139"/>
      <c r="F426" s="139"/>
      <c r="G426" s="16"/>
      <c r="H426" s="90">
        <v>3900</v>
      </c>
    </row>
    <row r="427" spans="1:8">
      <c r="A427" s="114"/>
      <c r="B427" s="135"/>
      <c r="C427" s="16"/>
      <c r="D427" s="138"/>
      <c r="E427" s="139"/>
      <c r="F427" s="139"/>
      <c r="G427" s="16"/>
    </row>
    <row r="428" spans="1:8">
      <c r="A428" s="114"/>
      <c r="B428" s="135"/>
      <c r="C428" s="16"/>
      <c r="D428" s="138"/>
      <c r="E428" s="139"/>
      <c r="F428" s="139"/>
      <c r="G428" s="16"/>
    </row>
    <row r="429" spans="1:8">
      <c r="A429" s="114"/>
      <c r="B429" s="135"/>
      <c r="C429" s="16"/>
      <c r="D429" s="138"/>
      <c r="E429" s="139"/>
      <c r="F429" s="139"/>
      <c r="G429" s="16"/>
    </row>
    <row r="430" spans="1:8">
      <c r="A430" s="114"/>
      <c r="B430" s="135"/>
      <c r="C430" s="16"/>
      <c r="D430" s="138"/>
      <c r="E430" s="139"/>
      <c r="F430" s="139"/>
      <c r="G430" s="16"/>
    </row>
    <row r="431" spans="1:8">
      <c r="B431" s="135"/>
      <c r="C431" s="16"/>
      <c r="D431" s="138"/>
      <c r="E431" s="139"/>
      <c r="F431" s="139"/>
      <c r="G431" s="16"/>
    </row>
    <row r="432" spans="1:8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8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  <c r="H465" s="90" t="s">
        <v>187</v>
      </c>
    </row>
    <row r="466" spans="1:8" ht="15.75">
      <c r="A466" s="113">
        <f>H466+(B466-SUM(D466:F466))</f>
        <v>371</v>
      </c>
      <c r="B466" s="135">
        <v>25</v>
      </c>
      <c r="C466" s="16" t="s">
        <v>177</v>
      </c>
      <c r="D466" s="138"/>
      <c r="E466" s="139"/>
      <c r="F466" s="139"/>
      <c r="G466" s="16"/>
      <c r="H466" s="90">
        <v>346</v>
      </c>
    </row>
    <row r="467" spans="1:8" ht="15.75">
      <c r="A467" s="113">
        <f t="shared" ref="A467:A468" si="3">H467+(B467-SUM(D467:F467))</f>
        <v>75</v>
      </c>
      <c r="B467" s="135">
        <v>20</v>
      </c>
      <c r="C467" s="16" t="s">
        <v>188</v>
      </c>
      <c r="D467" s="138"/>
      <c r="E467" s="139"/>
      <c r="F467" s="139"/>
      <c r="G467" s="16"/>
      <c r="H467" s="90">
        <v>55</v>
      </c>
    </row>
    <row r="468" spans="1:8" ht="15.75">
      <c r="A468" s="113">
        <f t="shared" si="3"/>
        <v>20</v>
      </c>
      <c r="B468" s="135">
        <v>5</v>
      </c>
      <c r="C468" s="16" t="s">
        <v>189</v>
      </c>
      <c r="D468" s="138"/>
      <c r="E468" s="139"/>
      <c r="F468" s="139"/>
      <c r="G468" s="16"/>
      <c r="H468" s="90">
        <v>15</v>
      </c>
    </row>
    <row r="469" spans="1:8">
      <c r="B469" s="135"/>
      <c r="C469" s="16"/>
      <c r="D469" s="138"/>
      <c r="E469" s="139"/>
      <c r="F469" s="139"/>
      <c r="G469" s="16"/>
    </row>
    <row r="470" spans="1:8">
      <c r="B470" s="135"/>
      <c r="C470" s="16"/>
      <c r="D470" s="138"/>
      <c r="E470" s="139"/>
      <c r="F470" s="139"/>
      <c r="G470" s="16"/>
    </row>
    <row r="471" spans="1:8">
      <c r="B471" s="135"/>
      <c r="C471" s="16"/>
      <c r="D471" s="138"/>
      <c r="E471" s="139"/>
      <c r="F471" s="139"/>
      <c r="G471" s="16"/>
    </row>
    <row r="472" spans="1:8">
      <c r="B472" s="135"/>
      <c r="C472" s="16"/>
      <c r="D472" s="138"/>
      <c r="E472" s="139"/>
      <c r="F472" s="139"/>
      <c r="G472" s="16"/>
    </row>
    <row r="473" spans="1:8">
      <c r="B473" s="135"/>
      <c r="C473" s="16"/>
      <c r="D473" s="138"/>
      <c r="E473" s="139"/>
      <c r="F473" s="139"/>
      <c r="G473" s="16"/>
    </row>
    <row r="474" spans="1:8">
      <c r="B474" s="135"/>
      <c r="C474" s="16"/>
      <c r="D474" s="138"/>
      <c r="E474" s="139"/>
      <c r="F474" s="139"/>
      <c r="G474" s="16"/>
    </row>
    <row r="475" spans="1:8">
      <c r="B475" s="135"/>
      <c r="C475" s="16"/>
      <c r="D475" s="138"/>
      <c r="E475" s="139"/>
      <c r="F475" s="139"/>
      <c r="G475" s="16"/>
    </row>
    <row r="476" spans="1:8">
      <c r="B476" s="135"/>
      <c r="C476" s="16"/>
      <c r="D476" s="138"/>
      <c r="E476" s="139"/>
      <c r="F476" s="139"/>
      <c r="G476" s="16"/>
    </row>
    <row r="477" spans="1:8">
      <c r="B477" s="135"/>
      <c r="C477" s="16"/>
      <c r="D477" s="138"/>
      <c r="E477" s="139"/>
      <c r="F477" s="139"/>
      <c r="G477" s="16"/>
    </row>
    <row r="478" spans="1:8">
      <c r="B478" s="135"/>
      <c r="C478" s="16"/>
      <c r="D478" s="138"/>
      <c r="E478" s="139"/>
      <c r="F478" s="139"/>
      <c r="G478" s="16"/>
    </row>
    <row r="479" spans="1:8" ht="15.75" thickBot="1">
      <c r="B479" s="136"/>
      <c r="C479" s="17"/>
      <c r="D479" s="136"/>
      <c r="E479" s="140"/>
      <c r="F479" s="140"/>
      <c r="G479" s="17"/>
    </row>
    <row r="480" spans="1:8" ht="15.75" thickBot="1">
      <c r="A480" s="114">
        <f>SUM(A466:A468)</f>
        <v>466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  <c r="H480" s="90">
        <v>416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2" workbookViewId="0">
      <selection activeCell="I2" sqref="I2:L19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" t="s">
        <v>224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'01'!A6+(B6-SUM(D6:F6))</f>
        <v>1204.77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'01'!A7+(B7-SUM(D7:F7))</f>
        <v>378.69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'01'!A8+(B8-SUM(D8:F8))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'01'!A9+(B9-SUM(D9:F9))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'01'!A10+(B10-SUM(D10:F10))</f>
        <v>36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'01'!A11+(B11-SUM(D11:F11))</f>
        <v>90.69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'01'!A12+(B12-SUM(D12:F12))</f>
        <v>88.04000000000002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'01'!A13+(B13-SUM(D13:F13))</f>
        <v>77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1875.19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'01'!A26+(B26-SUM(D26:F26))</f>
        <v>2700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'01'!A27+(B27-SUM(D27:F27))</f>
        <v>519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'01'!A28+(B28-SUM(D28:F28))</f>
        <v>223.06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'01'!A29+(B29-SUM(D29:F29))</f>
        <v>55.129999999999995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'01'!A30+(B30-SUM(D30:F30))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4090.75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'01'!A106+(B106-SUM(D106:F106))</f>
        <v>775.41000000000008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'01'!A107+(B107-SUM(D107:F107))</f>
        <v>214.3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'01'!A108+(B108-SUM(D108:F108))</f>
        <v>297.09999999999991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'01'!A109+(B109-SUM(D109:F109))</f>
        <v>2831.0900000000011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1286.81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AÑO!G17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'01'!A466+(B466-SUM(D466:F466))</f>
        <v>396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'01'!A467+(B467-SUM(D467:F467))</f>
        <v>95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'01'!A468+(B468-SUM(D468:F468))</f>
        <v>25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516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225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'02'!A6+(B6-SUM(D6:F6))</f>
        <v>1604.36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'02'!A7+(B7-SUM(D7:F7))</f>
        <v>448.87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'02'!A8+(B8-SUM(D8:F8))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'02'!A9+(B9-SUM(D9:F9))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'02'!A10+(B10-SUM(D10:F10))</f>
        <v>48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'02'!A11+(B11-SUM(D11:F11))</f>
        <v>120.92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'02'!A12+(B12-SUM(D12:F12))</f>
        <v>113.04000000000002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'02'!A13+(B13-SUM(D13:F13))</f>
        <v>84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2419.19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'02'!A26+(B26-SUM(D26:F26))</f>
        <v>3600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'02'!A27+(B27-SUM(D27:F27))</f>
        <v>689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'02'!A28+(B28-SUM(D28:F28))</f>
        <v>263.06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'02'!A29+(B29-SUM(D29:F29))</f>
        <v>73.13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'02'!A30+(B30-SUM(D30:F30))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5218.75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'02'!A106+(B106-SUM(D106:F106))</f>
        <v>1033.8800000000001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'02'!A107+(B107-SUM(D107:F107))</f>
        <v>285.3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'02'!A108+(B108-SUM(D108:F108))</f>
        <v>347.09999999999991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'02'!A109+(B109-SUM(D109:F109))</f>
        <v>2856.6200000000013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1666.28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AÑO!K17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'02'!A466+(B466-SUM(D466:F466))</f>
        <v>421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'02'!A467+(B467-SUM(D467:F467))</f>
        <v>115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'02'!A468+(B468-SUM(D468:F468))</f>
        <v>30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566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A306026B-BDE6-4BD0-A6BC-B11D2FBAED61}"/>
    <hyperlink ref="B2:G3" location="AÑO!K20:N20" display="AÑO!K20:N20" xr:uid="{2191FB90-DE83-4D70-B89D-6EBBCCB11DD2}"/>
    <hyperlink ref="B22" location="Trimestre!C25:F26" display="HIPOTECA" xr:uid="{4A8F4709-924D-4A34-A141-CF73AF5D22FB}"/>
    <hyperlink ref="B22:G23" location="AÑO!K21:N21" display="AÑO!K21:N21" xr:uid="{7E154CCE-D9E5-4EEE-ACBB-B99CCACC81A6}"/>
    <hyperlink ref="B42" location="Trimestre!C25:F26" display="HIPOTECA" xr:uid="{C54C6013-7CDA-42F2-A142-A5A24FC52FCD}"/>
    <hyperlink ref="B42:G43" location="AÑO!K22:N22" display="AÑO!K22:N22" xr:uid="{8EA8E6CF-B8CC-4615-838C-D2889274B2FC}"/>
    <hyperlink ref="B62" location="Trimestre!C25:F26" display="HIPOTECA" xr:uid="{0D09E23D-2375-45A0-9A4A-89D539BE3E27}"/>
    <hyperlink ref="B62:G63" location="AÑO!K23:N23" display="AÑO!K23:N23" xr:uid="{C4157A3B-9FBB-4C8C-AF13-81FE6448E0BB}"/>
    <hyperlink ref="B82" location="Trimestre!C25:F26" display="HIPOTECA" xr:uid="{989342A1-3C77-4418-8CAA-BA752A40F32A}"/>
    <hyperlink ref="B82:G83" location="AÑO!K24:N24" display="AÑO!K24:N24" xr:uid="{20299CCB-830C-4F7C-9B00-4E2A68FCC707}"/>
    <hyperlink ref="B102" location="Trimestre!C25:F26" display="HIPOTECA" xr:uid="{178F82F4-28A5-452C-9816-A3A3E19C6F8E}"/>
    <hyperlink ref="B102:G103" location="AÑO!K25:N25" display="AÑO!K25:N25" xr:uid="{BDDCBE00-0D6E-4553-9930-A7F1E1CCF1C3}"/>
    <hyperlink ref="B122" location="Trimestre!C25:F26" display="HIPOTECA" xr:uid="{D748190A-39BA-4A3D-BBA3-880C8D94E67D}"/>
    <hyperlink ref="B122:G123" location="AÑO!K26:N26" display="AÑO!K26:N26" xr:uid="{75343A39-E7D0-4E7F-8D71-AAD9CF10693C}"/>
    <hyperlink ref="B142" location="Trimestre!C25:F26" display="HIPOTECA" xr:uid="{6A3563D4-52D5-433F-9187-7B76925D72B2}"/>
    <hyperlink ref="B142:G143" location="AÑO!K27:N27" display="AÑO!K27:N27" xr:uid="{D4B7F401-AE83-4372-8359-72A812E4621B}"/>
    <hyperlink ref="B162" location="Trimestre!C25:F26" display="HIPOTECA" xr:uid="{9DEC627E-EC5E-4FD1-86FA-53C02F9C4AF3}"/>
    <hyperlink ref="B162:G163" location="AÑO!K28:N28" display="AÑO!K28:N28" xr:uid="{60BF88E8-1BFC-411E-96AC-FFD16A3BF5F3}"/>
    <hyperlink ref="B182" location="Trimestre!C25:F26" display="HIPOTECA" xr:uid="{C4B8FC66-19B0-4B50-896B-FFCCE76CA0D5}"/>
    <hyperlink ref="B182:G183" location="AÑO!K29:N29" display="AÑO!K29:N29" xr:uid="{1CE6C77E-299D-4FD5-B614-343527B8368A}"/>
    <hyperlink ref="B202" location="Trimestre!C25:F26" display="HIPOTECA" xr:uid="{C716F81C-B064-4B12-AEE4-EC28CA72C869}"/>
    <hyperlink ref="B202:G203" location="AÑO!K30:N30" display="AÑO!K30:N30" xr:uid="{F7C08DB5-B26F-4E32-9C29-3DC8137C5AEC}"/>
    <hyperlink ref="B222" location="Trimestre!C25:F26" display="HIPOTECA" xr:uid="{AA3A8439-2424-42DA-B63D-F92AFD121183}"/>
    <hyperlink ref="B222:G223" location="AÑO!K31:N31" display="AÑO!K31:N31" xr:uid="{17B3C97F-2721-4523-8582-D29E95B0DFEC}"/>
    <hyperlink ref="B242" location="Trimestre!C25:F26" display="HIPOTECA" xr:uid="{60DC33AD-0E4D-4E86-9815-E637210C2016}"/>
    <hyperlink ref="B242:G243" location="AÑO!K32:N32" display="AÑO!K32:N32" xr:uid="{77775A36-028B-4A01-A5E0-0219916D0345}"/>
    <hyperlink ref="B262" location="Trimestre!C25:F26" display="HIPOTECA" xr:uid="{0D652822-28BA-43F5-B722-ADB72BA3245F}"/>
    <hyperlink ref="B262:G263" location="AÑO!K33:N33" display="AÑO!K33:N33" xr:uid="{4D5B8590-0965-44D8-A0BF-846F79C5BC79}"/>
    <hyperlink ref="B282" location="Trimestre!C25:F26" display="HIPOTECA" xr:uid="{F62D905F-5CBE-4549-A6C0-F828BCF682C7}"/>
    <hyperlink ref="B282:G283" location="AÑO!K34:N34" display="AÑO!K34:N34" xr:uid="{79128DC3-E62C-42F6-8A91-93EB15A67AC4}"/>
    <hyperlink ref="B302" location="Trimestre!C25:F26" display="HIPOTECA" xr:uid="{74368565-138C-48B0-8650-1D2BB1EF44DF}"/>
    <hyperlink ref="B302:G303" location="AÑO!K35:N35" display="AÑO!K35:N35" xr:uid="{AB9D3F06-5374-423A-81D1-D586C49FBB61}"/>
    <hyperlink ref="B322" location="Trimestre!C25:F26" display="HIPOTECA" xr:uid="{EBA935A6-4585-4F36-ADF0-23097ECCF777}"/>
    <hyperlink ref="B322:G323" location="AÑO!K36:N36" display="AÑO!K36:N36" xr:uid="{4B5D442C-B55A-460F-8303-52D1AF0BBE52}"/>
    <hyperlink ref="B342" location="Trimestre!C25:F26" display="HIPOTECA" xr:uid="{DE9C76C2-885C-4769-ACA0-38A97B1042D9}"/>
    <hyperlink ref="B342:G343" location="AÑO!K37:N37" display="AÑO!K37:N37" xr:uid="{8E5F8C99-F785-4524-AE63-93CC0B19CB28}"/>
    <hyperlink ref="B362" location="Trimestre!C25:F26" display="HIPOTECA" xr:uid="{9354EA19-A938-4AF9-96E3-0819D2396A4F}"/>
    <hyperlink ref="B362:G363" location="AÑO!K38:N38" display="AÑO!K38:N38" xr:uid="{35C18899-2988-47CA-AF45-63B39717847E}"/>
    <hyperlink ref="B382" location="Trimestre!C25:F26" display="HIPOTECA" xr:uid="{8FBC7CD3-8B1F-4CC4-A2E2-1F25A83A8955}"/>
    <hyperlink ref="B382:G383" location="AÑO!K39:N39" display="AÑO!K39:N39" xr:uid="{3A9F18C8-29E1-4869-B67C-ECF8CDB710E5}"/>
    <hyperlink ref="B402" location="Trimestre!C25:F26" display="HIPOTECA" xr:uid="{0454DA44-C84E-4A70-93DA-25C397FAB8BF}"/>
    <hyperlink ref="B402:G403" location="AÑO!K40:N40" display="AÑO!K40:N40" xr:uid="{2F5B7FB2-EC34-49ED-A6CF-78E8356F02C5}"/>
    <hyperlink ref="B422" location="Trimestre!C25:F26" display="HIPOTECA" xr:uid="{8AF2EC8F-46F8-4B1F-87E7-4D01265AB75A}"/>
    <hyperlink ref="B422:G423" location="AÑO!K41:N41" display="AÑO!K41:N41" xr:uid="{3C7E8D25-7994-4B1D-9EA2-6C9FDDE95FA7}"/>
    <hyperlink ref="B442" location="Trimestre!C25:F26" display="HIPOTECA" xr:uid="{C02E62F5-6190-4EFA-9095-0886C19DCAFD}"/>
    <hyperlink ref="B442:G443" location="AÑO!K42:N42" display="AÑO!K42:N42" xr:uid="{319FFFC9-5376-4C47-BAC7-650A1B417084}"/>
    <hyperlink ref="B462" location="Trimestre!C25:F26" display="HIPOTECA" xr:uid="{F1A1699B-893D-45DD-9B0E-21F32EC5FFD7}"/>
    <hyperlink ref="B462:G463" location="AÑO!K43:N43" display="AÑO!K43:N43" xr:uid="{F34195C6-3A43-46E3-BC7E-8454FDBB9BCB}"/>
    <hyperlink ref="B482" location="Trimestre!C25:F26" display="HIPOTECA" xr:uid="{C6440A07-EAD6-4EE2-A55D-002F55C6AA7E}"/>
    <hyperlink ref="B482:G483" location="AÑO!K44:N44" display="AÑO!K44:N44" xr:uid="{04B5E324-AC9E-4BA8-AF44-6F440BAB68BB}"/>
    <hyperlink ref="B502" location="Trimestre!C25:F26" display="HIPOTECA" xr:uid="{097C1FC2-7D32-4BFC-AC52-1758A33D602A}"/>
    <hyperlink ref="B502:G503" location="AÑO!K45:N45" display="AÑO!K45:N45" xr:uid="{B8FCF781-CB17-45CE-A32F-3BC879B988E6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96" workbookViewId="0">
      <selection activeCell="B402" sqref="B402:G40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226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'03'!A6+(B6-SUM(D6:F6))</f>
        <v>2003.9499999999998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'03'!A7+(B7-SUM(D7:F7))</f>
        <v>519.04999999999995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'03'!A8+(B8-SUM(D8:F8))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'03'!A9+(B9-SUM(D9:F9))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'03'!A10+(B10-SUM(D10:F10))</f>
        <v>60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'03'!A11+(B11-SUM(D11:F11))</f>
        <v>151.15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'03'!A12+(B12-SUM(D12:F12))</f>
        <v>138.04000000000002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'03'!A13+(B13-SUM(D13:F13))</f>
        <v>91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2963.19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'03'!A26+(B26-SUM(D26:F26))</f>
        <v>4500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'03'!A27+(B27-SUM(D27:F27))</f>
        <v>859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'03'!A28+(B28-SUM(D28:F28))</f>
        <v>303.06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'03'!A29+(B29-SUM(D29:F29))</f>
        <v>91.13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'03'!A30+(B30-SUM(D30:F30))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6346.75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'03'!A106+(B106-SUM(D106:F106))</f>
        <v>1292.3500000000001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'03'!A107+(B107-SUM(D107:F107))</f>
        <v>356.3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'03'!A108+(B108-SUM(D108:F108))</f>
        <v>397.09999999999991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'03'!A109+(B109-SUM(D109:F109))</f>
        <v>2882.1500000000015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2045.75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AÑO!O17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'03'!A466+(B466-SUM(D466:F466))</f>
        <v>446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'03'!A467+(B467-SUM(D467:F467))</f>
        <v>135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'03'!A468+(B468-SUM(D468:F468))</f>
        <v>35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616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284C302-2F04-4EF9-A105-8793DDC0F20D}"/>
    <hyperlink ref="I22:L23" location="AÑO!G7:J17" display="INGRESOS" xr:uid="{AB72CB7A-FD44-4BBF-8805-CDF06790D90F}"/>
    <hyperlink ref="I2" location="Trimestre!C39:F40" display="TELÉFONO" xr:uid="{7E774096-7051-4973-B402-20F73DA42EB5}"/>
    <hyperlink ref="I2:L3" location="AÑO!G4:J5" display="SALDO REAL" xr:uid="{D05D382C-BDC9-40D8-BE32-55AA53A43AE1}"/>
    <hyperlink ref="B2" location="Trimestre!C25:F26" display="HIPOTECA" xr:uid="{C64B3EDE-5459-4D12-8455-CB5F4887D82C}"/>
    <hyperlink ref="B2:G3" location="AÑO!G20:J20" display="AÑO!G20:J20" xr:uid="{CDD1BEE1-EEF1-40E5-AFBB-A3552C5C257D}"/>
    <hyperlink ref="B22" location="Trimestre!C25:F26" display="HIPOTECA" xr:uid="{FC6E62D7-1E15-449E-9819-504B849CA0D9}"/>
    <hyperlink ref="B22:G23" location="AÑO!G21:J21" display="AÑO!G21:J21" xr:uid="{9AA75B68-AF65-438E-AE8C-F999FB38AD7A}"/>
    <hyperlink ref="B42" location="Trimestre!C25:F26" display="HIPOTECA" xr:uid="{B8BCF716-3B82-451A-939D-23DE6ACE46E2}"/>
    <hyperlink ref="B42:G43" location="AÑO!G22:J22" display="AÑO!G22:J22" xr:uid="{499B76DC-5DAB-4FDB-9911-55F735AF8B00}"/>
    <hyperlink ref="B62" location="Trimestre!C25:F26" display="HIPOTECA" xr:uid="{BC831A43-7766-45A5-985A-9DB27ABE42EC}"/>
    <hyperlink ref="B62:G63" location="AÑO!G23:J23" display="AÑO!G23:J23" xr:uid="{E1CC2ACD-305C-4A13-842B-C13E549ADFDE}"/>
    <hyperlink ref="B82" location="Trimestre!C25:F26" display="HIPOTECA" xr:uid="{8B2ABBC4-2C14-449A-A753-A4A3C4992B8A}"/>
    <hyperlink ref="B82:G83" location="AÑO!G24:J24" display="AÑO!G24:J24" xr:uid="{602B2251-A590-49C3-8234-E48DB9914725}"/>
    <hyperlink ref="B102" location="Trimestre!C25:F26" display="HIPOTECA" xr:uid="{1F3206CE-4AD4-4EA1-A0AD-37DC2E34AC35}"/>
    <hyperlink ref="B102:G103" location="AÑO!G25:J25" display="AÑO!G25:J25" xr:uid="{48C5FABA-AC93-4AD5-B346-705B0C1D2C8E}"/>
    <hyperlink ref="B122" location="Trimestre!C25:F26" display="HIPOTECA" xr:uid="{1BBD95D0-FE3A-423B-908A-EE269C6E2887}"/>
    <hyperlink ref="B122:G123" location="AÑO!G26:J26" display="AÑO!G26:J26" xr:uid="{07CFA47E-4921-406C-9AB5-0ADE5B8A0ACC}"/>
    <hyperlink ref="B142" location="Trimestre!C25:F26" display="HIPOTECA" xr:uid="{4A2ABFA9-576B-4297-A256-914C7A250507}"/>
    <hyperlink ref="B142:G143" location="AÑO!G27:J27" display="AÑO!G27:J27" xr:uid="{6E02405E-7039-4044-B6F3-C1C9000F2AA7}"/>
    <hyperlink ref="B162" location="Trimestre!C25:F26" display="HIPOTECA" xr:uid="{C2D7BCCD-2AAF-4C05-A624-9A23AFD1DC3F}"/>
    <hyperlink ref="B162:G163" location="AÑO!G28:J28" display="AÑO!G28:J28" xr:uid="{174AE121-46BD-4ABE-9D8A-6C52DBD3573B}"/>
    <hyperlink ref="B182" location="Trimestre!C25:F26" display="HIPOTECA" xr:uid="{15AC1390-0419-4919-8E1A-FC349F2FAFA5}"/>
    <hyperlink ref="B182:G183" location="AÑO!G29:J29" display="AÑO!G29:J29" xr:uid="{B21BA4F1-DEE2-4324-9433-A379AA75B064}"/>
    <hyperlink ref="B202" location="Trimestre!C25:F26" display="HIPOTECA" xr:uid="{A9D17CF5-7F4E-408C-BAEB-AD923A29DD51}"/>
    <hyperlink ref="B202:G203" location="AÑO!G30:J30" display="AÑO!G30:J30" xr:uid="{F39154BB-D0F9-4FE1-82EF-98D7B668564B}"/>
    <hyperlink ref="B222" location="Trimestre!C25:F26" display="HIPOTECA" xr:uid="{A9A05634-9737-45E4-A5CB-C24B9B93DF8E}"/>
    <hyperlink ref="B222:G223" location="AÑO!G31:J31" display="AÑO!G31:J31" xr:uid="{E367A397-1BC9-4A5D-9D56-671B2E909CE4}"/>
    <hyperlink ref="B242" location="Trimestre!C25:F26" display="HIPOTECA" xr:uid="{95624E7D-EFB5-45F2-8AF3-620643B9423B}"/>
    <hyperlink ref="B242:G243" location="AÑO!G32:J32" display="AÑO!G32:J32" xr:uid="{56627EF1-83C5-4AEE-A39B-8A875AE41079}"/>
    <hyperlink ref="B262" location="Trimestre!C25:F26" display="HIPOTECA" xr:uid="{E1B24F8B-36A2-4CB7-B5DF-B21BB1988398}"/>
    <hyperlink ref="B262:G263" location="AÑO!G33:J33" display="AÑO!G33:J33" xr:uid="{CD8AD7E5-8962-4209-8BD6-9A29F22236E0}"/>
    <hyperlink ref="B282" location="Trimestre!C25:F26" display="HIPOTECA" xr:uid="{5B87D9F3-64F8-47F3-8039-252958ED12F0}"/>
    <hyperlink ref="B282:G283" location="AÑO!G34:J34" display="AÑO!G34:J34" xr:uid="{CB9E540A-86FF-4C04-8424-8A3D789058E8}"/>
    <hyperlink ref="B302" location="Trimestre!C25:F26" display="HIPOTECA" xr:uid="{5D7C6137-F62F-48F1-99D1-87B62006FD25}"/>
    <hyperlink ref="B302:G303" location="AÑO!G35:J35" display="AÑO!G35:J35" xr:uid="{54F5054E-3632-4F1D-9BC0-651FDDB0745A}"/>
    <hyperlink ref="B322" location="Trimestre!C25:F26" display="HIPOTECA" xr:uid="{898B1858-E002-4FEE-BD82-D50DE09C186E}"/>
    <hyperlink ref="B322:G323" location="AÑO!G36:J36" display="AÑO!G36:J36" xr:uid="{A9A4278B-4E92-47D6-9078-7687322D545D}"/>
    <hyperlink ref="B342" location="Trimestre!C25:F26" display="HIPOTECA" xr:uid="{C4068FDB-3767-49C3-96DC-DCD2DC90876F}"/>
    <hyperlink ref="B342:G343" location="AÑO!G37:J37" display="AÑO!G37:J37" xr:uid="{EF31C1EB-1428-4A11-BCF1-AE35C32FA135}"/>
    <hyperlink ref="B362" location="Trimestre!C25:F26" display="HIPOTECA" xr:uid="{1272E538-290D-4C37-ABD9-67576951C3D5}"/>
    <hyperlink ref="B362:G363" location="AÑO!G38:J38" display="AÑO!G38:J38" xr:uid="{ADFBDEEE-A6F5-4CAF-9A45-662C5119321A}"/>
    <hyperlink ref="B382" location="Trimestre!C25:F26" display="HIPOTECA" xr:uid="{A29C803B-6273-4BEE-AA3B-8FB81A1267CD}"/>
    <hyperlink ref="B382:G383" location="AÑO!G39:J39" display="AÑO!G39:J39" xr:uid="{9B7A2DA5-921F-4047-B8E6-66224D3A326C}"/>
    <hyperlink ref="B402" location="Trimestre!C25:F26" display="HIPOTECA" xr:uid="{DFA81920-2C11-432B-BBDC-45E4C8081413}"/>
    <hyperlink ref="B402:G403" location="AÑO!G40:J40" display="AÑO!G40:J40" xr:uid="{CBBA71FB-BACD-4C9D-BB96-23889C33792A}"/>
    <hyperlink ref="B422" location="Trimestre!C25:F26" display="HIPOTECA" xr:uid="{35467531-41DF-42A1-9784-378AA4AA321B}"/>
    <hyperlink ref="B422:G423" location="AÑO!G41:J41" display="AÑO!G41:J41" xr:uid="{80CA8B61-8862-4679-82CB-35656AD913E4}"/>
    <hyperlink ref="B442" location="Trimestre!C25:F26" display="HIPOTECA" xr:uid="{C140AE08-74B6-422E-A10B-EE5C6CDA7183}"/>
    <hyperlink ref="B442:G443" location="AÑO!G42:J42" display="AÑO!G42:J42" xr:uid="{DC8D58AA-426B-46C6-B9CD-00A76744EA2D}"/>
    <hyperlink ref="B462" location="Trimestre!C25:F26" display="HIPOTECA" xr:uid="{41489A83-E67F-4EBC-B338-1984C5E55411}"/>
    <hyperlink ref="B462:G463" location="AÑO!G43:J43" display="AÑO!G43:J43" xr:uid="{34177480-3807-4B5E-B32A-28F9FE03712D}"/>
    <hyperlink ref="B482" location="Trimestre!C25:F26" display="HIPOTECA" xr:uid="{5E98C95E-D23F-4BDF-8E89-54F335B15797}"/>
    <hyperlink ref="B482:G483" location="AÑO!G44:J44" display="AÑO!G44:J44" xr:uid="{D9A143F9-1959-4E3B-8175-513BE2216B03}"/>
    <hyperlink ref="B502" location="Trimestre!C25:F26" display="HIPOTECA" xr:uid="{71B96830-7226-4B99-8CD6-590D9C67D79F}"/>
    <hyperlink ref="B502:G503" location="AÑO!G45:J45" display="AÑO!G45:J45" xr:uid="{D4D75C86-757D-4264-A1C2-A758D1A10E47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227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'04'!A6+(B6-SUM(D6:F6))</f>
        <v>2403.54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'04'!A7+(B7-SUM(D7:F7))</f>
        <v>589.23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'04'!A8+(B8-SUM(D8:F8))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'04'!A9+(B9-SUM(D9:F9))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'04'!A10+(B10-SUM(D10:F10))</f>
        <v>72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'04'!A11+(B11-SUM(D11:F11))</f>
        <v>181.38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'04'!A12+(B12-SUM(D12:F12))</f>
        <v>163.04000000000002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'04'!A13+(B13-SUM(D13:F13))</f>
        <v>98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3507.19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'04'!A26+(B26-SUM(D26:F26))</f>
        <v>5400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'04'!A27+(B27-SUM(D27:F27))</f>
        <v>1029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'04'!A28+(B28-SUM(D28:F28))</f>
        <v>343.06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'04'!A29+(B29-SUM(D29:F29))</f>
        <v>109.13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'04'!A30+(B30-SUM(D30:F30))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7474.75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'04'!A106+(B106-SUM(D106:F106))</f>
        <v>1550.8200000000002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'04'!A107+(B107-SUM(D107:F107))</f>
        <v>427.3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'04'!A108+(B108-SUM(D108:F108))</f>
        <v>447.09999999999991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'04'!A109+(B109-SUM(D109:F109))</f>
        <v>2907.6800000000017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2425.2200000000003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AÑO!S17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'04'!A466+(B466-SUM(D466:F466))</f>
        <v>471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'04'!A467+(B467-SUM(D467:F467))</f>
        <v>155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'04'!A468+(B468-SUM(D468:F468))</f>
        <v>40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666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8D598D7-0F8B-4272-B8DF-394081809EEF}"/>
    <hyperlink ref="I22:L23" location="AÑO!G7:J17" display="INGRESOS" xr:uid="{4FCEC184-C5EB-4088-9EFA-AEE7755EF722}"/>
    <hyperlink ref="I2" location="Trimestre!C39:F40" display="TELÉFONO" xr:uid="{B09E1C9F-F9BA-45FE-A6B3-FCE4C0637D08}"/>
    <hyperlink ref="I2:L3" location="AÑO!G4:J5" display="SALDO REAL" xr:uid="{A72922C9-FD62-41E5-873E-0F3E3B8AE2CB}"/>
    <hyperlink ref="B2" location="Trimestre!C25:F26" display="HIPOTECA" xr:uid="{C3CFE1AB-FB72-4FB2-BBB9-C82991A65662}"/>
    <hyperlink ref="B2:G3" location="AÑO!G20:J20" display="AÑO!G20:J20" xr:uid="{ECC6ECB5-D6C2-48B5-BAF1-5496F09750B4}"/>
    <hyperlink ref="B22" location="Trimestre!C25:F26" display="HIPOTECA" xr:uid="{BCE9C200-87FF-4D3F-8DEB-E0B1F1082D1B}"/>
    <hyperlink ref="B22:G23" location="AÑO!G21:J21" display="AÑO!G21:J21" xr:uid="{E5DAC134-A662-4BA1-A645-D1B39F1D4916}"/>
    <hyperlink ref="B42" location="Trimestre!C25:F26" display="HIPOTECA" xr:uid="{65FCFAC3-ECE0-4E26-BA39-4051C984459B}"/>
    <hyperlink ref="B42:G43" location="AÑO!G22:J22" display="AÑO!G22:J22" xr:uid="{EA67336C-7002-4A15-AC87-43C75104129F}"/>
    <hyperlink ref="B62" location="Trimestre!C25:F26" display="HIPOTECA" xr:uid="{AB1CE080-AB9A-42FF-99CC-7C54A13FE52E}"/>
    <hyperlink ref="B62:G63" location="AÑO!G23:J23" display="AÑO!G23:J23" xr:uid="{E48648C5-0259-4A7B-976A-4468DC21C7D8}"/>
    <hyperlink ref="B82" location="Trimestre!C25:F26" display="HIPOTECA" xr:uid="{9BC86DD5-FB50-4BD3-B6FF-20F9909EBD0F}"/>
    <hyperlink ref="B82:G83" location="AÑO!G24:J24" display="AÑO!G24:J24" xr:uid="{BD4B93BA-8D48-4267-A7F3-0A74F5080382}"/>
    <hyperlink ref="B102" location="Trimestre!C25:F26" display="HIPOTECA" xr:uid="{4B56C388-79BA-495D-B9E4-2CD3A1A461F4}"/>
    <hyperlink ref="B102:G103" location="AÑO!G25:J25" display="AÑO!G25:J25" xr:uid="{090EEC7A-F169-4D45-A728-8A796648A26D}"/>
    <hyperlink ref="B122" location="Trimestre!C25:F26" display="HIPOTECA" xr:uid="{E1EFBA83-BBB6-485C-BD5E-771DCCDAFD42}"/>
    <hyperlink ref="B122:G123" location="AÑO!G26:J26" display="AÑO!G26:J26" xr:uid="{0673E99C-1B93-42C4-ADD1-05DBAC320A2E}"/>
    <hyperlink ref="B142" location="Trimestre!C25:F26" display="HIPOTECA" xr:uid="{E6C75660-AC29-4C82-9399-795F94877267}"/>
    <hyperlink ref="B142:G143" location="AÑO!G27:J27" display="AÑO!G27:J27" xr:uid="{3D37B702-E228-40C1-8774-B968D5A5153E}"/>
    <hyperlink ref="B162" location="Trimestre!C25:F26" display="HIPOTECA" xr:uid="{E8A03C8B-16A5-434B-B947-84BF7D8E0EF4}"/>
    <hyperlink ref="B162:G163" location="AÑO!G28:J28" display="AÑO!G28:J28" xr:uid="{C594B3F9-90FE-4665-993E-7FC11E4BD23D}"/>
    <hyperlink ref="B182" location="Trimestre!C25:F26" display="HIPOTECA" xr:uid="{BC7B2A39-B8BD-4795-BCA0-D64E34945CD3}"/>
    <hyperlink ref="B182:G183" location="AÑO!G29:J29" display="AÑO!G29:J29" xr:uid="{D2274F82-59BD-492C-B39D-0F9AA1578279}"/>
    <hyperlink ref="B202" location="Trimestre!C25:F26" display="HIPOTECA" xr:uid="{5688AB6C-6A0D-4AFF-ADE8-A59E0F3E08DC}"/>
    <hyperlink ref="B202:G203" location="AÑO!G30:J30" display="AÑO!G30:J30" xr:uid="{CB4CBBBD-30A0-480B-BD12-B1679A621651}"/>
    <hyperlink ref="B222" location="Trimestre!C25:F26" display="HIPOTECA" xr:uid="{1F1CB57C-EE15-4E96-9AE1-23932D4FC3A3}"/>
    <hyperlink ref="B222:G223" location="AÑO!G31:J31" display="AÑO!G31:J31" xr:uid="{239797AA-BCA8-44D8-BAEB-75EFC0863028}"/>
    <hyperlink ref="B242" location="Trimestre!C25:F26" display="HIPOTECA" xr:uid="{2880ADFC-D3D3-43E4-ADAA-D841A0A9521E}"/>
    <hyperlink ref="B242:G243" location="AÑO!G32:J32" display="AÑO!G32:J32" xr:uid="{FE28C75D-7F9B-4653-87AA-B2657734A519}"/>
    <hyperlink ref="B262" location="Trimestre!C25:F26" display="HIPOTECA" xr:uid="{2671C8EB-D2B1-4A6C-8340-7121D5CBB841}"/>
    <hyperlink ref="B262:G263" location="AÑO!G33:J33" display="AÑO!G33:J33" xr:uid="{FDC6EB1E-2D31-4CA3-B6B8-1A779A1BEEC0}"/>
    <hyperlink ref="B282" location="Trimestre!C25:F26" display="HIPOTECA" xr:uid="{3F5439A5-C701-4D75-9862-A5C3B24CD984}"/>
    <hyperlink ref="B282:G283" location="AÑO!G34:J34" display="AÑO!G34:J34" xr:uid="{96F56B2F-2CC4-4C63-B229-8B971D1319C4}"/>
    <hyperlink ref="B302" location="Trimestre!C25:F26" display="HIPOTECA" xr:uid="{4F811042-0959-4495-B69D-B77445E98935}"/>
    <hyperlink ref="B302:G303" location="AÑO!G35:J35" display="AÑO!G35:J35" xr:uid="{69CC7E9A-0FCF-4FB2-AF69-AD233166BB44}"/>
    <hyperlink ref="B322" location="Trimestre!C25:F26" display="HIPOTECA" xr:uid="{62841A54-26FC-4BFD-BA94-1B81FE05920B}"/>
    <hyperlink ref="B322:G323" location="AÑO!G36:J36" display="AÑO!G36:J36" xr:uid="{80DF340F-1468-4886-946D-C265BF654F3C}"/>
    <hyperlink ref="B342" location="Trimestre!C25:F26" display="HIPOTECA" xr:uid="{F5A4B8FD-B2FF-499E-A0E7-74D41E01880A}"/>
    <hyperlink ref="B342:G343" location="AÑO!G37:J37" display="AÑO!G37:J37" xr:uid="{D4D43513-2CED-4B6A-AC37-5442548557DF}"/>
    <hyperlink ref="B362" location="Trimestre!C25:F26" display="HIPOTECA" xr:uid="{A68DEECB-27C1-4BC9-91F4-FF05504999DA}"/>
    <hyperlink ref="B362:G363" location="AÑO!G38:J38" display="AÑO!G38:J38" xr:uid="{9D369F78-1040-4C67-BD3D-8296044E7B02}"/>
    <hyperlink ref="B382" location="Trimestre!C25:F26" display="HIPOTECA" xr:uid="{8643464F-DF94-4A0C-853E-52CD61DB514F}"/>
    <hyperlink ref="B382:G383" location="AÑO!G39:J39" display="AÑO!G39:J39" xr:uid="{DF525F2B-2F96-409E-96BA-47AD96879300}"/>
    <hyperlink ref="B402" location="Trimestre!C25:F26" display="HIPOTECA" xr:uid="{FCBD4704-FEBE-40BF-8FB2-3AC5E2BBC13F}"/>
    <hyperlink ref="B402:G403" location="AÑO!G40:J40" display="AÑO!G40:J40" xr:uid="{48661024-B13B-461F-8495-DA7A4F06A06A}"/>
    <hyperlink ref="B422" location="Trimestre!C25:F26" display="HIPOTECA" xr:uid="{801ED9D4-77D3-4C95-823B-BC093ABD6AAE}"/>
    <hyperlink ref="B422:G423" location="AÑO!G41:J41" display="AÑO!G41:J41" xr:uid="{49BC4910-D88E-4008-9C77-730C6CECF115}"/>
    <hyperlink ref="B442" location="Trimestre!C25:F26" display="HIPOTECA" xr:uid="{4F49E9A6-FD02-4253-A70F-149908D57EC0}"/>
    <hyperlink ref="B442:G443" location="AÑO!G42:J42" display="AÑO!G42:J42" xr:uid="{C26ED8D2-77CC-4E23-817A-6CC6457DF2AD}"/>
    <hyperlink ref="B462" location="Trimestre!C25:F26" display="HIPOTECA" xr:uid="{60EFBEC7-D887-4633-8BC0-BD2AC87FA5B1}"/>
    <hyperlink ref="B462:G463" location="AÑO!G43:J43" display="AÑO!G43:J43" xr:uid="{D5D227CB-43A7-4361-8D50-E465B8BC722F}"/>
    <hyperlink ref="B482" location="Trimestre!C25:F26" display="HIPOTECA" xr:uid="{5853D647-AB46-4003-8E4E-D97A6B062CB7}"/>
    <hyperlink ref="B482:G483" location="AÑO!G44:J44" display="AÑO!G44:J44" xr:uid="{1C995D0F-13C4-4569-89E2-C4A59E68D4D8}"/>
    <hyperlink ref="B502" location="Trimestre!C25:F26" display="HIPOTECA" xr:uid="{1D957D33-DE28-4352-9355-946C46D933EA}"/>
    <hyperlink ref="B502:G503" location="AÑO!G45:J45" display="AÑO!G45:J45" xr:uid="{193225BA-ADBD-48B1-B37E-27BFB42191A9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16" workbookViewId="0">
      <selection activeCell="B16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228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'05'!A6+(B6-SUM(D6:F6))</f>
        <v>2803.13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'05'!A7+(B7-SUM(D7:F7))</f>
        <v>659.41000000000008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'05'!A8+(B8-SUM(D8:F8))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'05'!A9+(B9-SUM(D9:F9))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'05'!A10+(B10-SUM(D10:F10))</f>
        <v>84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'05'!A11+(B11-SUM(D11:F11))</f>
        <v>211.60999999999999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'05'!A12+(B12-SUM(D12:F12))</f>
        <v>188.04000000000002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'05'!A13+(B13-SUM(D13:F13))</f>
        <v>105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4051.19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'05'!A26+(B26-SUM(D26:F26))</f>
        <v>6300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'05'!A27+(B27-SUM(D27:F27))</f>
        <v>1199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'05'!A28+(B28-SUM(D28:F28))</f>
        <v>383.06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'05'!A29+(B29-SUM(D29:F29))</f>
        <v>127.13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'05'!A30+(B30-SUM(D30:F30))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8602.75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'05'!A106+(B106-SUM(D106:F106))</f>
        <v>1809.2900000000002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'05'!A107+(B107-SUM(D107:F107))</f>
        <v>498.3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'05'!A108+(B108-SUM(D108:F108))</f>
        <v>497.09999999999991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'05'!A109+(B109-SUM(D109:F109))</f>
        <v>2933.2100000000019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2804.69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AÑO!W17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'05'!A466+(B466-SUM(D466:F466))</f>
        <v>496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'05'!A467+(B467-SUM(D467:F467))</f>
        <v>175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'05'!A468+(B468-SUM(D468:F468))</f>
        <v>45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716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41B15096-E482-446E-8649-1C66B1C8A1B9}"/>
    <hyperlink ref="I22:L23" location="AÑO!G7:J17" display="INGRESOS" xr:uid="{5BD543B2-F93F-4FC3-B72D-88D82E760F7D}"/>
    <hyperlink ref="I2" location="Trimestre!C39:F40" display="TELÉFONO" xr:uid="{EE4B6CB0-75A2-489C-8C13-609E727A5712}"/>
    <hyperlink ref="I2:L3" location="AÑO!G4:J5" display="SALDO REAL" xr:uid="{3244170D-AFD0-4DC5-A6D5-29E4EC706D5B}"/>
    <hyperlink ref="B2" location="Trimestre!C25:F26" display="HIPOTECA" xr:uid="{B6943170-9062-4F9C-84C3-3AF9EE6155C3}"/>
    <hyperlink ref="B2:G3" location="AÑO!G20:J20" display="AÑO!G20:J20" xr:uid="{00F14F13-4B92-4FAB-8BF5-0D762F006FBA}"/>
    <hyperlink ref="B22" location="Trimestre!C25:F26" display="HIPOTECA" xr:uid="{AD77EA19-CEF4-4265-80AD-DA116E6058B1}"/>
    <hyperlink ref="B22:G23" location="AÑO!G21:J21" display="AÑO!G21:J21" xr:uid="{0D12B8EA-B0D2-4A0B-B825-A07D469A8000}"/>
    <hyperlink ref="B42" location="Trimestre!C25:F26" display="HIPOTECA" xr:uid="{CB130CAB-BB65-4746-A615-9B3302712384}"/>
    <hyperlink ref="B42:G43" location="AÑO!G22:J22" display="AÑO!G22:J22" xr:uid="{9ADDE86F-B516-430A-AE45-584824505E11}"/>
    <hyperlink ref="B62" location="Trimestre!C25:F26" display="HIPOTECA" xr:uid="{0C593661-0EA3-45FD-A925-B375A279F3FD}"/>
    <hyperlink ref="B62:G63" location="AÑO!G23:J23" display="AÑO!G23:J23" xr:uid="{A91FBCBA-8459-4630-BC7A-7591DE02869B}"/>
    <hyperlink ref="B82" location="Trimestre!C25:F26" display="HIPOTECA" xr:uid="{60594036-C581-470B-BECF-73C272FF1B05}"/>
    <hyperlink ref="B82:G83" location="AÑO!G24:J24" display="AÑO!G24:J24" xr:uid="{8230AEED-6DDC-4919-BD6C-4FC7A2794ACF}"/>
    <hyperlink ref="B102" location="Trimestre!C25:F26" display="HIPOTECA" xr:uid="{418BF3B6-18B2-439A-991F-45AC6A80EA47}"/>
    <hyperlink ref="B102:G103" location="AÑO!G25:J25" display="AÑO!G25:J25" xr:uid="{4FEDEE19-F326-4747-A160-2570D74D3D04}"/>
    <hyperlink ref="B122" location="Trimestre!C25:F26" display="HIPOTECA" xr:uid="{631DAA91-7273-4807-A5B0-7D103C9FC152}"/>
    <hyperlink ref="B122:G123" location="AÑO!G26:J26" display="AÑO!G26:J26" xr:uid="{89503C91-FFE5-4AB1-8104-91018805F1CC}"/>
    <hyperlink ref="B142" location="Trimestre!C25:F26" display="HIPOTECA" xr:uid="{9037FC8B-91AB-4898-A5DD-6770FAA9A975}"/>
    <hyperlink ref="B142:G143" location="AÑO!G27:J27" display="AÑO!G27:J27" xr:uid="{C62DF6FD-549D-415A-9240-5B900F190F31}"/>
    <hyperlink ref="B162" location="Trimestre!C25:F26" display="HIPOTECA" xr:uid="{31881BC3-3D9C-4723-B337-DDECE8EF5DA8}"/>
    <hyperlink ref="B162:G163" location="AÑO!G28:J28" display="AÑO!G28:J28" xr:uid="{7D153ADA-12F3-4DBA-8232-F9A82625F485}"/>
    <hyperlink ref="B182" location="Trimestre!C25:F26" display="HIPOTECA" xr:uid="{3888199A-BC0B-42D5-8543-5AD0DCE3C96F}"/>
    <hyperlink ref="B182:G183" location="AÑO!G29:J29" display="AÑO!G29:J29" xr:uid="{64520E00-43CE-4AF9-96A7-E8C3FE00EE53}"/>
    <hyperlink ref="B202" location="Trimestre!C25:F26" display="HIPOTECA" xr:uid="{61CF9F97-1FF5-44E3-A14F-CBD5D92DEB44}"/>
    <hyperlink ref="B202:G203" location="AÑO!G30:J30" display="AÑO!G30:J30" xr:uid="{BB925F1E-FFDE-4E93-8655-D0791AC4E423}"/>
    <hyperlink ref="B222" location="Trimestre!C25:F26" display="HIPOTECA" xr:uid="{727E3E6A-BBF1-4A6D-AE09-CD3B04CB6B92}"/>
    <hyperlink ref="B222:G223" location="AÑO!G31:J31" display="AÑO!G31:J31" xr:uid="{923F00FA-354B-4F72-BBB9-2D70C776B954}"/>
    <hyperlink ref="B242" location="Trimestre!C25:F26" display="HIPOTECA" xr:uid="{3047D296-1B6D-4DB3-95BB-50289A7B2B2F}"/>
    <hyperlink ref="B242:G243" location="AÑO!G32:J32" display="AÑO!G32:J32" xr:uid="{4B22BB9F-AF73-4A96-87B3-AC8651B0D91E}"/>
    <hyperlink ref="B262" location="Trimestre!C25:F26" display="HIPOTECA" xr:uid="{25EA9827-55C9-410F-8287-699B9DB076FA}"/>
    <hyperlink ref="B262:G263" location="AÑO!G33:J33" display="AÑO!G33:J33" xr:uid="{EBFC272C-52E3-40F2-B4F3-7F30A7903239}"/>
    <hyperlink ref="B282" location="Trimestre!C25:F26" display="HIPOTECA" xr:uid="{537C6FEC-1DCD-4CAC-868C-9666C1F061EF}"/>
    <hyperlink ref="B282:G283" location="AÑO!G34:J34" display="AÑO!G34:J34" xr:uid="{F98366CF-4218-49E1-A044-2640502079C5}"/>
    <hyperlink ref="B302" location="Trimestre!C25:F26" display="HIPOTECA" xr:uid="{3100BFFB-7BF1-4A99-9E78-9049FC96602F}"/>
    <hyperlink ref="B302:G303" location="AÑO!G35:J35" display="AÑO!G35:J35" xr:uid="{EDAA385D-3BEC-49B2-A080-F6D798818952}"/>
    <hyperlink ref="B322" location="Trimestre!C25:F26" display="HIPOTECA" xr:uid="{B3C33869-81E5-42C3-B227-1DA724A78CA2}"/>
    <hyperlink ref="B322:G323" location="AÑO!G36:J36" display="AÑO!G36:J36" xr:uid="{4F215C16-C548-4F86-8F67-92B0464EFBC0}"/>
    <hyperlink ref="B342" location="Trimestre!C25:F26" display="HIPOTECA" xr:uid="{67BB085D-5601-4CE6-BD36-250122D8CAA5}"/>
    <hyperlink ref="B342:G343" location="AÑO!G37:J37" display="AÑO!G37:J37" xr:uid="{163007D5-5FEB-41DA-B28E-76C7B8E30CB0}"/>
    <hyperlink ref="B362" location="Trimestre!C25:F26" display="HIPOTECA" xr:uid="{3E1E5CAC-2C15-43E8-9AF6-7E7C5C51D773}"/>
    <hyperlink ref="B362:G363" location="AÑO!G38:J38" display="AÑO!G38:J38" xr:uid="{A066E3D0-36D8-43F2-A6C9-654775CD38F2}"/>
    <hyperlink ref="B382" location="Trimestre!C25:F26" display="HIPOTECA" xr:uid="{DD7E3970-5423-4A91-B387-EDF558DF3C7C}"/>
    <hyperlink ref="B382:G383" location="AÑO!G39:J39" display="AÑO!G39:J39" xr:uid="{88F95607-9E00-40B4-A6EE-E1A34A6F7187}"/>
    <hyperlink ref="B402" location="Trimestre!C25:F26" display="HIPOTECA" xr:uid="{CFEA187C-FB9C-4510-B631-C3EE02A1EB4C}"/>
    <hyperlink ref="B402:G403" location="AÑO!G40:J40" display="AÑO!G40:J40" xr:uid="{7785E09E-DCDF-4EED-832E-5601C1080AE8}"/>
    <hyperlink ref="B422" location="Trimestre!C25:F26" display="HIPOTECA" xr:uid="{8569DC99-FEA5-4CCD-BB05-D2ED40ADE5F3}"/>
    <hyperlink ref="B422:G423" location="AÑO!G41:J41" display="AÑO!G41:J41" xr:uid="{4F54DCCB-B9A3-4472-B9A2-A2B4FD045809}"/>
    <hyperlink ref="B442" location="Trimestre!C25:F26" display="HIPOTECA" xr:uid="{B16093DD-08A6-4B58-9C47-B9E68F610201}"/>
    <hyperlink ref="B442:G443" location="AÑO!G42:J42" display="AÑO!G42:J42" xr:uid="{E1D77A31-9D9D-4281-9545-7744CAF9E345}"/>
    <hyperlink ref="B462" location="Trimestre!C25:F26" display="HIPOTECA" xr:uid="{8422A097-D658-4B90-A8F2-8E9D651F1962}"/>
    <hyperlink ref="B462:G463" location="AÑO!G43:J43" display="AÑO!G43:J43" xr:uid="{5E91FE77-2ED3-4B8F-A1FD-950134358D2A}"/>
    <hyperlink ref="B482" location="Trimestre!C25:F26" display="HIPOTECA" xr:uid="{A26288ED-6572-4898-8F73-8222EA04D168}"/>
    <hyperlink ref="B482:G483" location="AÑO!G44:J44" display="AÑO!G44:J44" xr:uid="{6EAA1860-0A20-435F-AE82-34F9528E4B26}"/>
    <hyperlink ref="B502" location="Trimestre!C25:F26" display="HIPOTECA" xr:uid="{0A155613-846D-4322-B41C-17793466D7D4}"/>
    <hyperlink ref="B502:G503" location="AÑO!G45:J45" display="AÑO!G45:J45" xr:uid="{E50A07A9-3044-4344-968C-CB7E5BC7E268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229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'06'!A6+(B6-SUM(D6:F6))</f>
        <v>3202.7200000000003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'06'!A7+(B7-SUM(D7:F7))</f>
        <v>729.59000000000015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'06'!A8+(B8-SUM(D8:F8))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'06'!A9+(B9-SUM(D9:F9))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'06'!A10+(B10-SUM(D10:F10))</f>
        <v>96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'06'!A11+(B11-SUM(D11:F11))</f>
        <v>241.83999999999997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'06'!A12+(B12-SUM(D12:F12))</f>
        <v>213.04000000000002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'06'!A13+(B13-SUM(D13:F13))</f>
        <v>112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4595.1900000000005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'06'!A26+(B26-SUM(D26:F26))</f>
        <v>7200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'06'!A27+(B27-SUM(D27:F27))</f>
        <v>1369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'06'!A28+(B28-SUM(D28:F28))</f>
        <v>423.06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'06'!A29+(B29-SUM(D29:F29))</f>
        <v>145.13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'06'!A30+(B30-SUM(D30:F30))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9730.7499999999982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'06'!A106+(B106-SUM(D106:F106))</f>
        <v>2067.7600000000002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'06'!A107+(B107-SUM(D107:F107))</f>
        <v>569.29999999999995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'06'!A108+(B108-SUM(D108:F108))</f>
        <v>547.09999999999991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'06'!A109+(B109-SUM(D109:F109))</f>
        <v>2958.7400000000021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3184.1600000000003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AÑO!AA17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'06'!A466+(B466-SUM(D466:F466))</f>
        <v>521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'06'!A467+(B467-SUM(D467:F467))</f>
        <v>195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'06'!A468+(B468-SUM(D468:F468))</f>
        <v>50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766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90"/>
    <col min="2" max="2" width="10" style="114" customWidth="1"/>
    <col min="3" max="3" width="33.28515625" style="90" customWidth="1"/>
    <col min="4" max="6" width="10" style="114" customWidth="1"/>
    <col min="7" max="7" width="33.28515625" style="90" customWidth="1"/>
    <col min="8" max="9" width="11.42578125" style="90"/>
    <col min="10" max="10" width="31.28515625" style="90" customWidth="1"/>
    <col min="11" max="16384" width="11.42578125" style="90"/>
  </cols>
  <sheetData>
    <row r="1" spans="1:22" ht="16.5" thickBot="1">
      <c r="A1" s="113" t="s">
        <v>230</v>
      </c>
      <c r="C1" s="1"/>
      <c r="D1" s="113"/>
      <c r="E1" s="113"/>
      <c r="F1" s="113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13" t="str">
        <f>AÑO!A20</f>
        <v>Cártama Gastos</v>
      </c>
      <c r="C2" s="302"/>
      <c r="D2" s="302"/>
      <c r="E2" s="302"/>
      <c r="F2" s="302"/>
      <c r="G2" s="303"/>
      <c r="H2" s="223"/>
      <c r="I2" s="301" t="s">
        <v>4</v>
      </c>
      <c r="J2" s="302"/>
      <c r="K2" s="302"/>
      <c r="L2" s="303"/>
      <c r="M2" s="1"/>
      <c r="N2" s="1"/>
      <c r="R2" s="3"/>
    </row>
    <row r="3" spans="1:22" ht="16.5" thickBot="1">
      <c r="A3" s="1"/>
      <c r="B3" s="304"/>
      <c r="C3" s="305"/>
      <c r="D3" s="305"/>
      <c r="E3" s="305"/>
      <c r="F3" s="305"/>
      <c r="G3" s="306"/>
      <c r="H3" s="1"/>
      <c r="I3" s="304"/>
      <c r="J3" s="305"/>
      <c r="K3" s="305"/>
      <c r="L3" s="306"/>
      <c r="M3" s="1"/>
      <c r="N3" s="1"/>
      <c r="R3" s="3"/>
    </row>
    <row r="4" spans="1:22" ht="15.75">
      <c r="A4" s="1"/>
      <c r="B4" s="314" t="s">
        <v>8</v>
      </c>
      <c r="C4" s="315"/>
      <c r="D4" s="316" t="s">
        <v>9</v>
      </c>
      <c r="E4" s="316"/>
      <c r="F4" s="316"/>
      <c r="G4" s="315"/>
      <c r="H4" s="223"/>
      <c r="I4" s="41" t="s">
        <v>57</v>
      </c>
      <c r="J4" s="106" t="s">
        <v>58</v>
      </c>
      <c r="K4" s="307" t="s">
        <v>59</v>
      </c>
      <c r="L4" s="308"/>
      <c r="M4" s="1"/>
      <c r="N4" s="1"/>
      <c r="R4" s="3"/>
    </row>
    <row r="5" spans="1:22" ht="15.75">
      <c r="A5" s="1" t="s">
        <v>187</v>
      </c>
      <c r="B5" s="133" t="s">
        <v>30</v>
      </c>
      <c r="C5" s="25" t="s">
        <v>31</v>
      </c>
      <c r="D5" s="133" t="s">
        <v>55</v>
      </c>
      <c r="E5" s="137" t="s">
        <v>56</v>
      </c>
      <c r="F5" s="137" t="s">
        <v>30</v>
      </c>
      <c r="G5" s="25" t="s">
        <v>31</v>
      </c>
      <c r="H5" s="1"/>
      <c r="I5" s="107" t="s">
        <v>60</v>
      </c>
      <c r="J5" s="108" t="s">
        <v>61</v>
      </c>
      <c r="K5" s="309"/>
      <c r="L5" s="310"/>
      <c r="M5" s="1"/>
      <c r="N5" s="1"/>
      <c r="R5" s="3"/>
    </row>
    <row r="6" spans="1:22" ht="15.75">
      <c r="A6" s="113">
        <f>'07'!A6+(B6-SUM(D6:F6))</f>
        <v>3602.3100000000004</v>
      </c>
      <c r="B6" s="134">
        <v>399.59</v>
      </c>
      <c r="C6" s="19" t="s">
        <v>184</v>
      </c>
      <c r="D6" s="138"/>
      <c r="E6" s="139"/>
      <c r="F6" s="139"/>
      <c r="G6" s="16" t="s">
        <v>32</v>
      </c>
      <c r="H6" s="1"/>
      <c r="I6" s="109" t="s">
        <v>60</v>
      </c>
      <c r="J6" s="108" t="s">
        <v>62</v>
      </c>
      <c r="K6" s="311">
        <v>550</v>
      </c>
      <c r="L6" s="312"/>
      <c r="M6" s="1" t="s">
        <v>166</v>
      </c>
      <c r="N6" s="1"/>
      <c r="R6" s="3"/>
    </row>
    <row r="7" spans="1:22" ht="15.75">
      <c r="A7" s="113">
        <f>'07'!A7+(B7-SUM(D7:F7))</f>
        <v>799.77000000000021</v>
      </c>
      <c r="B7" s="135">
        <v>70.180000000000007</v>
      </c>
      <c r="C7" s="16" t="s">
        <v>203</v>
      </c>
      <c r="D7" s="138"/>
      <c r="E7" s="139"/>
      <c r="F7" s="139"/>
      <c r="G7" s="16" t="s">
        <v>74</v>
      </c>
      <c r="H7" s="1"/>
      <c r="I7" s="109" t="s">
        <v>63</v>
      </c>
      <c r="J7" s="108" t="s">
        <v>64</v>
      </c>
      <c r="K7" s="311"/>
      <c r="L7" s="312"/>
      <c r="M7" s="1"/>
      <c r="N7" s="1"/>
      <c r="R7" s="3"/>
    </row>
    <row r="8" spans="1:22" ht="15.75">
      <c r="A8" s="113">
        <f>'07'!A8+(B8-SUM(D8:F8))</f>
        <v>0</v>
      </c>
      <c r="B8" s="135">
        <v>0</v>
      </c>
      <c r="C8" s="16" t="s">
        <v>35</v>
      </c>
      <c r="D8" s="138"/>
      <c r="F8" s="139"/>
      <c r="G8" s="16" t="s">
        <v>35</v>
      </c>
      <c r="H8" s="1"/>
      <c r="I8" s="109" t="s">
        <v>63</v>
      </c>
      <c r="J8" s="108" t="s">
        <v>65</v>
      </c>
      <c r="K8" s="311">
        <v>7000</v>
      </c>
      <c r="L8" s="312"/>
      <c r="M8" s="1"/>
      <c r="N8" s="1"/>
      <c r="R8" s="3"/>
    </row>
    <row r="9" spans="1:22" ht="15.75">
      <c r="A9" s="113">
        <f>'07'!A9+(B9-SUM(D9:F9))</f>
        <v>0</v>
      </c>
      <c r="B9" s="135">
        <v>0</v>
      </c>
      <c r="C9" s="16" t="s">
        <v>37</v>
      </c>
      <c r="D9" s="138"/>
      <c r="E9" s="139"/>
      <c r="F9" s="139"/>
      <c r="G9" s="16" t="s">
        <v>37</v>
      </c>
      <c r="H9" s="1"/>
      <c r="I9" s="109" t="s">
        <v>63</v>
      </c>
      <c r="J9" s="108" t="s">
        <v>157</v>
      </c>
      <c r="K9" s="311">
        <v>659.77</v>
      </c>
      <c r="L9" s="312"/>
      <c r="M9" s="1"/>
      <c r="N9" s="1"/>
      <c r="R9" s="3"/>
    </row>
    <row r="10" spans="1:22" ht="15.75">
      <c r="A10" s="113">
        <f>'07'!A10+(B10-SUM(D10:F10))</f>
        <v>108</v>
      </c>
      <c r="B10" s="135">
        <v>12</v>
      </c>
      <c r="C10" s="16" t="s">
        <v>36</v>
      </c>
      <c r="D10" s="138"/>
      <c r="E10" s="139"/>
      <c r="F10" s="139"/>
      <c r="G10" s="16" t="s">
        <v>36</v>
      </c>
      <c r="H10" s="1"/>
      <c r="I10" s="109" t="s">
        <v>63</v>
      </c>
      <c r="J10" s="108" t="s">
        <v>81</v>
      </c>
      <c r="K10" s="311">
        <v>1800.04</v>
      </c>
      <c r="L10" s="312"/>
      <c r="M10" s="1" t="s">
        <v>156</v>
      </c>
      <c r="N10" s="1"/>
      <c r="R10" s="3"/>
    </row>
    <row r="11" spans="1:22" ht="15.75">
      <c r="A11" s="113">
        <f>'07'!A11+(B11-SUM(D11:F11))</f>
        <v>272.07</v>
      </c>
      <c r="B11" s="135">
        <v>30.23</v>
      </c>
      <c r="C11" s="16" t="s">
        <v>34</v>
      </c>
      <c r="D11" s="138"/>
      <c r="E11" s="139"/>
      <c r="F11" s="139"/>
      <c r="G11" s="16" t="s">
        <v>34</v>
      </c>
      <c r="H11" s="1"/>
      <c r="I11" s="109" t="s">
        <v>68</v>
      </c>
      <c r="J11" s="108" t="s">
        <v>69</v>
      </c>
      <c r="K11" s="311"/>
      <c r="L11" s="312"/>
      <c r="M11" s="1"/>
      <c r="N11" s="1"/>
      <c r="R11" s="3"/>
    </row>
    <row r="12" spans="1:22" ht="15.75">
      <c r="A12" s="113">
        <f>'07'!A12+(B12-SUM(D12:F12))</f>
        <v>238.04000000000002</v>
      </c>
      <c r="B12" s="135">
        <v>25</v>
      </c>
      <c r="C12" s="16" t="s">
        <v>209</v>
      </c>
      <c r="D12" s="138"/>
      <c r="E12" s="139"/>
      <c r="F12" s="139"/>
      <c r="G12" s="16"/>
      <c r="H12" s="1"/>
      <c r="I12" s="109" t="s">
        <v>158</v>
      </c>
      <c r="J12" s="108" t="s">
        <v>159</v>
      </c>
      <c r="K12" s="311">
        <v>5092.08</v>
      </c>
      <c r="L12" s="312"/>
      <c r="M12" s="93"/>
      <c r="N12" s="1"/>
      <c r="R12" s="3"/>
    </row>
    <row r="13" spans="1:22" ht="15.75">
      <c r="A13" s="113">
        <f>'07'!A13+(B13-SUM(D13:F13))</f>
        <v>119</v>
      </c>
      <c r="B13" s="135">
        <v>7</v>
      </c>
      <c r="C13" s="16" t="s">
        <v>204</v>
      </c>
      <c r="D13" s="138"/>
      <c r="E13" s="139"/>
      <c r="F13" s="139"/>
      <c r="G13" s="16"/>
      <c r="H13" s="1"/>
      <c r="I13" s="109"/>
      <c r="J13" s="108"/>
      <c r="K13" s="311"/>
      <c r="L13" s="312"/>
      <c r="M13" s="1"/>
      <c r="N13" s="1"/>
      <c r="R13" s="3"/>
    </row>
    <row r="14" spans="1:22" ht="15.75">
      <c r="A14" s="113"/>
      <c r="B14" s="135"/>
      <c r="C14" s="16"/>
      <c r="D14" s="138"/>
      <c r="E14" s="139"/>
      <c r="F14" s="139"/>
      <c r="G14" s="16"/>
      <c r="H14" s="1"/>
      <c r="I14" s="109"/>
      <c r="J14" s="108"/>
      <c r="K14" s="311"/>
      <c r="L14" s="312"/>
      <c r="M14" s="1"/>
      <c r="N14" s="1"/>
      <c r="R14" s="3"/>
    </row>
    <row r="15" spans="1:22" ht="15.75">
      <c r="A15" s="113"/>
      <c r="B15" s="135"/>
      <c r="C15" s="16"/>
      <c r="D15" s="138"/>
      <c r="E15" s="139"/>
      <c r="F15" s="139"/>
      <c r="G15" s="16"/>
      <c r="H15" s="1"/>
      <c r="I15" s="109"/>
      <c r="J15" s="108"/>
      <c r="K15" s="311"/>
      <c r="L15" s="312"/>
      <c r="M15" s="1"/>
      <c r="N15" s="1"/>
      <c r="R15" s="3"/>
    </row>
    <row r="16" spans="1:22" ht="15.75">
      <c r="A16" s="113"/>
      <c r="B16" s="135"/>
      <c r="C16" s="16"/>
      <c r="D16" s="138"/>
      <c r="E16" s="139"/>
      <c r="F16" s="139"/>
      <c r="G16" s="16"/>
      <c r="H16" s="1"/>
      <c r="I16" s="109"/>
      <c r="J16" s="108"/>
      <c r="K16" s="311"/>
      <c r="L16" s="312"/>
      <c r="M16" s="1"/>
      <c r="N16" s="1"/>
      <c r="R16" s="3"/>
    </row>
    <row r="17" spans="1:18" ht="15.75">
      <c r="A17" s="113"/>
      <c r="B17" s="135"/>
      <c r="C17" s="16"/>
      <c r="D17" s="138"/>
      <c r="E17" s="139"/>
      <c r="F17" s="139"/>
      <c r="G17" s="16"/>
      <c r="H17" s="1"/>
      <c r="I17" s="109"/>
      <c r="J17" s="108"/>
      <c r="K17" s="311"/>
      <c r="L17" s="312"/>
      <c r="M17" s="1"/>
      <c r="N17" s="1"/>
      <c r="R17" s="3"/>
    </row>
    <row r="18" spans="1:18" ht="16.5" thickBot="1">
      <c r="A18" s="113"/>
      <c r="B18" s="135"/>
      <c r="C18" s="16"/>
      <c r="D18" s="138"/>
      <c r="E18" s="139"/>
      <c r="F18" s="139"/>
      <c r="G18" s="16"/>
      <c r="H18" s="1"/>
      <c r="I18" s="110"/>
      <c r="J18" s="111"/>
      <c r="K18" s="317"/>
      <c r="L18" s="318"/>
      <c r="M18" s="1"/>
      <c r="N18" s="1"/>
      <c r="R18" s="3"/>
    </row>
    <row r="19" spans="1:18" ht="16.5" thickBot="1">
      <c r="A19" s="113"/>
      <c r="B19" s="136"/>
      <c r="C19" s="17"/>
      <c r="D19" s="136"/>
      <c r="E19" s="140"/>
      <c r="F19" s="140"/>
      <c r="G19" s="17"/>
      <c r="H19" s="1"/>
      <c r="I19" s="26" t="s">
        <v>66</v>
      </c>
      <c r="J19" s="20"/>
      <c r="K19" s="317">
        <f>SUM(K5:K18)</f>
        <v>15101.890000000001</v>
      </c>
      <c r="L19" s="318"/>
      <c r="M19" s="1"/>
      <c r="N19" s="1"/>
      <c r="R19" s="3"/>
    </row>
    <row r="20" spans="1:18" ht="16.5" thickBot="1">
      <c r="A20" s="113">
        <f>SUM(A6:A15)</f>
        <v>5139.1900000000005</v>
      </c>
      <c r="B20" s="136">
        <f>SUM(B6:B19)</f>
        <v>544</v>
      </c>
      <c r="C20" s="17" t="s">
        <v>53</v>
      </c>
      <c r="D20" s="136">
        <f>SUM(D6:D19)</f>
        <v>0</v>
      </c>
      <c r="E20" s="136">
        <f>SUM(E6:E19)</f>
        <v>0</v>
      </c>
      <c r="F20" s="136">
        <f>SUM(F6:F19)</f>
        <v>0</v>
      </c>
      <c r="G20" s="17" t="s">
        <v>53</v>
      </c>
      <c r="H20" s="1"/>
      <c r="I20" s="90" t="s">
        <v>82</v>
      </c>
      <c r="K20" s="114"/>
      <c r="L20" s="114">
        <f>K19-K10-K12</f>
        <v>8209.7700000000023</v>
      </c>
      <c r="M20" s="1"/>
      <c r="R20" s="3"/>
    </row>
    <row r="21" spans="1:18" ht="16.5" thickBot="1">
      <c r="A21" s="1"/>
      <c r="B21" s="113"/>
      <c r="C21" s="1"/>
      <c r="D21" s="113"/>
      <c r="E21" s="113"/>
      <c r="F21" s="113"/>
      <c r="G21" s="1"/>
      <c r="H21" s="1"/>
      <c r="M21" s="1"/>
      <c r="R21" s="3"/>
    </row>
    <row r="22" spans="1:18" ht="15.6" customHeight="1">
      <c r="A22" s="1"/>
      <c r="B22" s="313" t="str">
        <f>AÑO!A21</f>
        <v>Waterloo</v>
      </c>
      <c r="C22" s="302"/>
      <c r="D22" s="302"/>
      <c r="E22" s="302"/>
      <c r="F22" s="302"/>
      <c r="G22" s="303"/>
      <c r="H22" s="1"/>
      <c r="I22" s="301" t="s">
        <v>6</v>
      </c>
      <c r="J22" s="302"/>
      <c r="K22" s="302"/>
      <c r="L22" s="303"/>
      <c r="M22" s="1"/>
      <c r="R22" s="3"/>
    </row>
    <row r="23" spans="1:18" ht="16.149999999999999" customHeight="1" thickBot="1">
      <c r="A23" s="1"/>
      <c r="B23" s="304"/>
      <c r="C23" s="305"/>
      <c r="D23" s="305"/>
      <c r="E23" s="305"/>
      <c r="F23" s="305"/>
      <c r="G23" s="306"/>
      <c r="H23" s="1"/>
      <c r="I23" s="304"/>
      <c r="J23" s="305"/>
      <c r="K23" s="305"/>
      <c r="L23" s="306"/>
      <c r="M23" s="1"/>
      <c r="R23" s="3"/>
    </row>
    <row r="24" spans="1:18" ht="15.75">
      <c r="A24" s="1"/>
      <c r="B24" s="314" t="s">
        <v>8</v>
      </c>
      <c r="C24" s="315"/>
      <c r="D24" s="316" t="s">
        <v>9</v>
      </c>
      <c r="E24" s="316"/>
      <c r="F24" s="316"/>
      <c r="G24" s="315"/>
      <c r="H24" s="1"/>
      <c r="I24" s="41" t="s">
        <v>31</v>
      </c>
      <c r="J24" s="287" t="s">
        <v>87</v>
      </c>
      <c r="K24" s="288"/>
      <c r="L24" s="198" t="s">
        <v>88</v>
      </c>
      <c r="M24" s="1"/>
      <c r="R24" s="3"/>
    </row>
    <row r="25" spans="1:18" ht="15.75" customHeight="1">
      <c r="A25" s="1" t="s">
        <v>187</v>
      </c>
      <c r="B25" s="133" t="s">
        <v>30</v>
      </c>
      <c r="C25" s="25" t="s">
        <v>31</v>
      </c>
      <c r="D25" s="133" t="s">
        <v>55</v>
      </c>
      <c r="E25" s="137" t="s">
        <v>56</v>
      </c>
      <c r="F25" s="137" t="s">
        <v>30</v>
      </c>
      <c r="G25" s="25" t="s">
        <v>31</v>
      </c>
      <c r="H25" s="1"/>
      <c r="I25" s="289" t="str">
        <f>AÑO!A8</f>
        <v>Manolo Salario</v>
      </c>
      <c r="J25" s="292"/>
      <c r="K25" s="293"/>
      <c r="L25" s="199"/>
      <c r="M25" s="1"/>
      <c r="R25" s="3"/>
    </row>
    <row r="26" spans="1:18" ht="15.75">
      <c r="A26" s="113">
        <f>'07'!A26+(B26-SUM(D26:F26))</f>
        <v>8100</v>
      </c>
      <c r="B26" s="134">
        <v>900</v>
      </c>
      <c r="C26" s="28" t="s">
        <v>39</v>
      </c>
      <c r="D26" s="138"/>
      <c r="E26" s="139"/>
      <c r="F26" s="139"/>
      <c r="G26" s="16" t="s">
        <v>39</v>
      </c>
      <c r="H26" s="1"/>
      <c r="I26" s="290"/>
      <c r="J26" s="294"/>
      <c r="K26" s="295"/>
      <c r="L26" s="200"/>
      <c r="M26" s="1"/>
      <c r="R26" s="3"/>
    </row>
    <row r="27" spans="1:18" ht="15.75">
      <c r="A27" s="113">
        <f>'07'!A27+(B27-SUM(D27:F27))</f>
        <v>1539</v>
      </c>
      <c r="B27" s="135">
        <v>170</v>
      </c>
      <c r="C27" s="28" t="s">
        <v>40</v>
      </c>
      <c r="D27" s="138"/>
      <c r="E27" s="139"/>
      <c r="F27" s="139"/>
      <c r="G27" s="16" t="s">
        <v>40</v>
      </c>
      <c r="H27" s="1"/>
      <c r="I27" s="290"/>
      <c r="J27" s="294"/>
      <c r="K27" s="295"/>
      <c r="L27" s="200"/>
      <c r="M27" s="1"/>
      <c r="R27" s="3"/>
    </row>
    <row r="28" spans="1:18" ht="15.75">
      <c r="A28" s="113">
        <f>'07'!A28+(B28-SUM(D28:F28))</f>
        <v>463.06</v>
      </c>
      <c r="B28" s="135">
        <v>40</v>
      </c>
      <c r="C28" s="28" t="s">
        <v>41</v>
      </c>
      <c r="D28" s="138"/>
      <c r="E28" s="139"/>
      <c r="F28" s="139"/>
      <c r="G28" s="16" t="s">
        <v>41</v>
      </c>
      <c r="H28" s="1"/>
      <c r="I28" s="290"/>
      <c r="J28" s="294"/>
      <c r="K28" s="295"/>
      <c r="L28" s="200"/>
      <c r="M28" s="1"/>
      <c r="R28" s="3"/>
    </row>
    <row r="29" spans="1:18" ht="15.75">
      <c r="A29" s="113">
        <f>'07'!A29+(B29-SUM(D29:F29))</f>
        <v>163.13</v>
      </c>
      <c r="B29" s="135">
        <v>18</v>
      </c>
      <c r="C29" s="28" t="s">
        <v>38</v>
      </c>
      <c r="D29" s="138"/>
      <c r="E29" s="139"/>
      <c r="F29" s="139"/>
      <c r="G29" s="16" t="s">
        <v>38</v>
      </c>
      <c r="H29" s="1"/>
      <c r="I29" s="298"/>
      <c r="J29" s="299"/>
      <c r="K29" s="300"/>
      <c r="L29" s="202"/>
      <c r="M29" s="1"/>
      <c r="R29" s="3"/>
    </row>
    <row r="30" spans="1:18" ht="15.75" customHeight="1">
      <c r="A30" s="113">
        <f>'07'!A30+(B30-SUM(D30:F30))</f>
        <v>593.55999999999995</v>
      </c>
      <c r="B30" s="135">
        <v>0</v>
      </c>
      <c r="C30" s="28" t="s">
        <v>42</v>
      </c>
      <c r="D30" s="138"/>
      <c r="E30" s="139"/>
      <c r="F30" s="139"/>
      <c r="G30" s="16"/>
      <c r="H30" s="1"/>
      <c r="I30" s="289" t="str">
        <f>AÑO!A9</f>
        <v>Rocío Salario</v>
      </c>
      <c r="J30" s="292"/>
      <c r="K30" s="293"/>
      <c r="L30" s="199"/>
      <c r="M30" s="1"/>
      <c r="R30" s="3"/>
    </row>
    <row r="31" spans="1:18" ht="15.75">
      <c r="A31" s="113"/>
      <c r="B31" s="135"/>
      <c r="C31" s="16"/>
      <c r="D31" s="138"/>
      <c r="E31" s="139"/>
      <c r="F31" s="139"/>
      <c r="G31" s="16"/>
      <c r="H31" s="1"/>
      <c r="I31" s="290"/>
      <c r="J31" s="294"/>
      <c r="K31" s="295"/>
      <c r="L31" s="200"/>
      <c r="M31" s="1"/>
      <c r="R31" s="3"/>
    </row>
    <row r="32" spans="1:18" ht="15.75">
      <c r="A32" s="113"/>
      <c r="B32" s="135"/>
      <c r="C32" s="16"/>
      <c r="D32" s="138"/>
      <c r="E32" s="139"/>
      <c r="F32" s="139"/>
      <c r="G32" s="16"/>
      <c r="H32" s="1"/>
      <c r="I32" s="290"/>
      <c r="J32" s="294"/>
      <c r="K32" s="295"/>
      <c r="L32" s="200"/>
      <c r="M32" s="1"/>
      <c r="R32" s="3"/>
    </row>
    <row r="33" spans="1:18" ht="15.75">
      <c r="A33" s="113"/>
      <c r="B33" s="135"/>
      <c r="C33" s="16"/>
      <c r="D33" s="138"/>
      <c r="E33" s="139"/>
      <c r="F33" s="139"/>
      <c r="G33" s="16"/>
      <c r="H33" s="1"/>
      <c r="I33" s="290"/>
      <c r="J33" s="294"/>
      <c r="K33" s="295"/>
      <c r="L33" s="200"/>
      <c r="M33" s="1"/>
      <c r="R33" s="3"/>
    </row>
    <row r="34" spans="1:18" ht="15.75">
      <c r="A34" s="113"/>
      <c r="B34" s="135"/>
      <c r="C34" s="16"/>
      <c r="D34" s="138"/>
      <c r="E34" s="139"/>
      <c r="F34" s="139"/>
      <c r="G34" s="16"/>
      <c r="H34" s="1"/>
      <c r="I34" s="298"/>
      <c r="J34" s="299"/>
      <c r="K34" s="300"/>
      <c r="L34" s="202"/>
      <c r="M34" s="1"/>
      <c r="R34" s="3"/>
    </row>
    <row r="35" spans="1:18" ht="15.75">
      <c r="A35" s="113"/>
      <c r="B35" s="135"/>
      <c r="C35" s="16"/>
      <c r="D35" s="138"/>
      <c r="E35" s="139"/>
      <c r="F35" s="139"/>
      <c r="G35" s="16"/>
      <c r="H35" s="1"/>
      <c r="I35" s="289" t="s">
        <v>221</v>
      </c>
      <c r="J35" s="292"/>
      <c r="K35" s="293"/>
      <c r="L35" s="199"/>
      <c r="M35" s="1"/>
      <c r="R35" s="3"/>
    </row>
    <row r="36" spans="1:18" ht="15.75">
      <c r="A36" s="1"/>
      <c r="B36" s="135"/>
      <c r="C36" s="16"/>
      <c r="D36" s="138"/>
      <c r="E36" s="139"/>
      <c r="F36" s="139"/>
      <c r="G36" s="16"/>
      <c r="H36" s="1"/>
      <c r="I36" s="290"/>
      <c r="J36" s="294"/>
      <c r="K36" s="295"/>
      <c r="L36" s="200"/>
      <c r="M36" s="1"/>
      <c r="R36" s="3"/>
    </row>
    <row r="37" spans="1:18" ht="15.75">
      <c r="A37" s="1"/>
      <c r="B37" s="135"/>
      <c r="C37" s="16"/>
      <c r="D37" s="138"/>
      <c r="E37" s="139"/>
      <c r="F37" s="139"/>
      <c r="G37" s="16"/>
      <c r="H37" s="1"/>
      <c r="I37" s="290"/>
      <c r="J37" s="294"/>
      <c r="K37" s="295"/>
      <c r="L37" s="200"/>
      <c r="M37" s="1"/>
      <c r="R37" s="3"/>
    </row>
    <row r="38" spans="1:18" ht="15.75">
      <c r="A38" s="1"/>
      <c r="B38" s="135"/>
      <c r="C38" s="16"/>
      <c r="D38" s="138"/>
      <c r="E38" s="139"/>
      <c r="F38" s="139"/>
      <c r="G38" s="16"/>
      <c r="H38" s="1"/>
      <c r="I38" s="290"/>
      <c r="J38" s="294"/>
      <c r="K38" s="295"/>
      <c r="L38" s="200"/>
      <c r="M38" s="1"/>
      <c r="R38" s="3"/>
    </row>
    <row r="39" spans="1:18" ht="16.5" thickBot="1">
      <c r="A39" s="1"/>
      <c r="B39" s="136"/>
      <c r="C39" s="17"/>
      <c r="D39" s="136"/>
      <c r="E39" s="140"/>
      <c r="F39" s="140"/>
      <c r="G39" s="17"/>
      <c r="H39" s="1"/>
      <c r="I39" s="298"/>
      <c r="J39" s="299"/>
      <c r="K39" s="300"/>
      <c r="L39" s="202"/>
      <c r="M39" s="1"/>
      <c r="R39" s="3"/>
    </row>
    <row r="40" spans="1:18" ht="16.5" thickBot="1">
      <c r="A40" s="113">
        <f>SUM(A26:A35)</f>
        <v>10858.749999999998</v>
      </c>
      <c r="B40" s="136">
        <f>SUM(B26:B39)</f>
        <v>1128</v>
      </c>
      <c r="C40" s="17" t="s">
        <v>53</v>
      </c>
      <c r="D40" s="136">
        <f>SUM(D26:D39)</f>
        <v>0</v>
      </c>
      <c r="E40" s="136">
        <f>SUM(E26:E39)</f>
        <v>0</v>
      </c>
      <c r="F40" s="136">
        <f>SUM(F26:F39)</f>
        <v>0</v>
      </c>
      <c r="G40" s="17" t="s">
        <v>53</v>
      </c>
      <c r="H40" s="1"/>
      <c r="I40" s="289" t="str">
        <f>AÑO!A11</f>
        <v>Finanazas</v>
      </c>
      <c r="J40" s="292"/>
      <c r="K40" s="293"/>
      <c r="L40" s="199"/>
      <c r="M40" s="1"/>
      <c r="R40" s="3"/>
    </row>
    <row r="41" spans="1:18" ht="16.5" thickBot="1">
      <c r="A41" s="1"/>
      <c r="B41" s="113"/>
      <c r="C41" s="1"/>
      <c r="D41" s="113"/>
      <c r="E41" s="113"/>
      <c r="F41" s="113"/>
      <c r="G41" s="1"/>
      <c r="H41" s="1"/>
      <c r="I41" s="290"/>
      <c r="J41" s="294"/>
      <c r="K41" s="295"/>
      <c r="L41" s="200"/>
      <c r="M41" s="1"/>
      <c r="R41" s="3"/>
    </row>
    <row r="42" spans="1:18" ht="15.6" customHeight="1">
      <c r="A42" s="1"/>
      <c r="B42" s="313" t="str">
        <f>AÑO!A22</f>
        <v>Comida+Limpieza</v>
      </c>
      <c r="C42" s="302"/>
      <c r="D42" s="302"/>
      <c r="E42" s="302"/>
      <c r="F42" s="302"/>
      <c r="G42" s="303"/>
      <c r="H42" s="1"/>
      <c r="I42" s="290"/>
      <c r="J42" s="294"/>
      <c r="K42" s="295"/>
      <c r="L42" s="200"/>
      <c r="M42" s="1"/>
      <c r="R42" s="3"/>
    </row>
    <row r="43" spans="1:18" ht="16.149999999999999" customHeight="1" thickBot="1">
      <c r="A43" s="1"/>
      <c r="B43" s="304"/>
      <c r="C43" s="305"/>
      <c r="D43" s="305"/>
      <c r="E43" s="305"/>
      <c r="F43" s="305"/>
      <c r="G43" s="306"/>
      <c r="H43" s="1"/>
      <c r="I43" s="290"/>
      <c r="J43" s="294"/>
      <c r="K43" s="295"/>
      <c r="L43" s="200"/>
      <c r="M43" s="1"/>
      <c r="R43" s="3"/>
    </row>
    <row r="44" spans="1:18" ht="15.75">
      <c r="A44" s="1"/>
      <c r="B44" s="314" t="s">
        <v>8</v>
      </c>
      <c r="C44" s="315"/>
      <c r="D44" s="316" t="s">
        <v>9</v>
      </c>
      <c r="E44" s="316"/>
      <c r="F44" s="316"/>
      <c r="G44" s="315"/>
      <c r="H44" s="1"/>
      <c r="I44" s="298"/>
      <c r="J44" s="299"/>
      <c r="K44" s="300"/>
      <c r="L44" s="202"/>
      <c r="M44" s="1"/>
      <c r="R44" s="3"/>
    </row>
    <row r="45" spans="1:18" ht="15.75">
      <c r="A45" s="1"/>
      <c r="B45" s="133" t="s">
        <v>30</v>
      </c>
      <c r="C45" s="25" t="s">
        <v>31</v>
      </c>
      <c r="D45" s="133" t="s">
        <v>55</v>
      </c>
      <c r="E45" s="137" t="s">
        <v>56</v>
      </c>
      <c r="F45" s="137" t="s">
        <v>30</v>
      </c>
      <c r="G45" s="25" t="s">
        <v>165</v>
      </c>
      <c r="H45" s="1"/>
      <c r="I45" s="289" t="str">
        <f>AÑO!A12</f>
        <v>Regalos</v>
      </c>
      <c r="J45" s="292"/>
      <c r="K45" s="293"/>
      <c r="L45" s="199"/>
      <c r="M45" s="1"/>
      <c r="R45" s="3"/>
    </row>
    <row r="46" spans="1:18" ht="15.75">
      <c r="A46" s="1"/>
      <c r="B46" s="134">
        <v>462</v>
      </c>
      <c r="C46" s="19"/>
      <c r="D46" s="138"/>
      <c r="E46" s="139"/>
      <c r="F46" s="139"/>
      <c r="G46" s="31"/>
      <c r="H46" s="1"/>
      <c r="I46" s="290"/>
      <c r="J46" s="294"/>
      <c r="K46" s="295"/>
      <c r="L46" s="200"/>
      <c r="M46" s="1"/>
      <c r="R46" s="3"/>
    </row>
    <row r="47" spans="1:18" ht="15.75">
      <c r="A47" s="1"/>
      <c r="B47" s="135">
        <v>28</v>
      </c>
      <c r="C47" s="16" t="s">
        <v>78</v>
      </c>
      <c r="D47" s="138"/>
      <c r="E47" s="139"/>
      <c r="F47" s="139"/>
      <c r="G47" s="16"/>
      <c r="H47" s="1"/>
      <c r="I47" s="290"/>
      <c r="J47" s="294"/>
      <c r="K47" s="295"/>
      <c r="L47" s="200"/>
      <c r="M47" s="1"/>
      <c r="R47" s="3"/>
    </row>
    <row r="48" spans="1:18" ht="15.75">
      <c r="A48" s="1"/>
      <c r="B48" s="135"/>
      <c r="C48" s="16"/>
      <c r="D48" s="138"/>
      <c r="E48" s="139"/>
      <c r="F48" s="139"/>
      <c r="G48" s="16"/>
      <c r="H48" s="1"/>
      <c r="I48" s="290"/>
      <c r="J48" s="294"/>
      <c r="K48" s="295"/>
      <c r="L48" s="200"/>
      <c r="M48" s="1"/>
      <c r="R48" s="3"/>
    </row>
    <row r="49" spans="1:18" ht="15.75">
      <c r="A49" s="1"/>
      <c r="B49" s="135"/>
      <c r="C49" s="16"/>
      <c r="D49" s="138"/>
      <c r="E49" s="139"/>
      <c r="F49" s="139"/>
      <c r="G49" s="16"/>
      <c r="H49" s="1"/>
      <c r="I49" s="298"/>
      <c r="J49" s="299"/>
      <c r="K49" s="300"/>
      <c r="L49" s="202"/>
      <c r="M49" s="1"/>
      <c r="R49" s="3"/>
    </row>
    <row r="50" spans="1:18" ht="15.75" customHeight="1">
      <c r="A50" s="1"/>
      <c r="B50" s="135"/>
      <c r="C50" s="16"/>
      <c r="D50" s="138"/>
      <c r="E50" s="139"/>
      <c r="F50" s="139"/>
      <c r="G50" s="16"/>
      <c r="H50" s="1"/>
      <c r="I50" s="289" t="str">
        <f>AÑO!A13</f>
        <v>Gubernamental</v>
      </c>
      <c r="J50" s="292"/>
      <c r="K50" s="293"/>
      <c r="L50" s="199"/>
      <c r="M50" s="1"/>
      <c r="R50" s="3"/>
    </row>
    <row r="51" spans="1:18" ht="15.75">
      <c r="A51" s="1"/>
      <c r="B51" s="135"/>
      <c r="C51" s="16"/>
      <c r="D51" s="138"/>
      <c r="E51" s="139"/>
      <c r="F51" s="139"/>
      <c r="G51" s="16"/>
      <c r="H51" s="1"/>
      <c r="I51" s="290"/>
      <c r="J51" s="294"/>
      <c r="K51" s="295"/>
      <c r="L51" s="200"/>
      <c r="M51" s="1"/>
      <c r="R51" s="3"/>
    </row>
    <row r="52" spans="1:18" ht="15.75">
      <c r="A52" s="1"/>
      <c r="B52" s="135"/>
      <c r="C52" s="16"/>
      <c r="D52" s="138"/>
      <c r="E52" s="139"/>
      <c r="F52" s="139"/>
      <c r="G52" s="16"/>
      <c r="H52" s="1"/>
      <c r="I52" s="290"/>
      <c r="J52" s="294"/>
      <c r="K52" s="295"/>
      <c r="L52" s="200"/>
      <c r="M52" s="1"/>
      <c r="R52" s="3"/>
    </row>
    <row r="53" spans="1:18" ht="15.75">
      <c r="A53" s="1"/>
      <c r="B53" s="135"/>
      <c r="C53" s="16"/>
      <c r="D53" s="138"/>
      <c r="E53" s="139"/>
      <c r="F53" s="139"/>
      <c r="G53" s="16"/>
      <c r="H53" s="1"/>
      <c r="I53" s="290"/>
      <c r="J53" s="294"/>
      <c r="K53" s="295"/>
      <c r="L53" s="200"/>
      <c r="M53" s="1"/>
      <c r="R53" s="3"/>
    </row>
    <row r="54" spans="1:18" ht="15.75">
      <c r="A54" s="1"/>
      <c r="B54" s="135"/>
      <c r="C54" s="16"/>
      <c r="D54" s="138"/>
      <c r="E54" s="139"/>
      <c r="F54" s="139"/>
      <c r="G54" s="16"/>
      <c r="H54" s="1"/>
      <c r="I54" s="298"/>
      <c r="J54" s="299"/>
      <c r="K54" s="300"/>
      <c r="L54" s="202"/>
      <c r="M54" s="1"/>
      <c r="R54" s="3"/>
    </row>
    <row r="55" spans="1:18" ht="15.75" customHeight="1">
      <c r="A55" s="1"/>
      <c r="B55" s="135"/>
      <c r="C55" s="16"/>
      <c r="D55" s="138"/>
      <c r="E55" s="139"/>
      <c r="F55" s="139"/>
      <c r="G55" s="16"/>
      <c r="H55" s="1"/>
      <c r="I55" s="289" t="str">
        <f>AÑO!A14</f>
        <v>Mutualite/DKV</v>
      </c>
      <c r="J55" s="292"/>
      <c r="K55" s="293"/>
      <c r="L55" s="199"/>
      <c r="M55" s="1"/>
      <c r="R55" s="3"/>
    </row>
    <row r="56" spans="1:18" ht="15.75">
      <c r="A56" s="1"/>
      <c r="B56" s="135"/>
      <c r="C56" s="16"/>
      <c r="D56" s="138"/>
      <c r="E56" s="139"/>
      <c r="F56" s="139"/>
      <c r="G56" s="16"/>
      <c r="H56" s="1"/>
      <c r="I56" s="290"/>
      <c r="J56" s="294"/>
      <c r="K56" s="295"/>
      <c r="L56" s="200"/>
      <c r="M56" s="1"/>
      <c r="R56" s="3"/>
    </row>
    <row r="57" spans="1:18" ht="15.75">
      <c r="A57" s="1"/>
      <c r="B57" s="135"/>
      <c r="C57" s="16"/>
      <c r="D57" s="138"/>
      <c r="E57" s="139"/>
      <c r="F57" s="139"/>
      <c r="G57" s="16"/>
      <c r="H57" s="1"/>
      <c r="I57" s="290"/>
      <c r="J57" s="294"/>
      <c r="K57" s="295"/>
      <c r="L57" s="200"/>
      <c r="M57" s="1"/>
      <c r="R57" s="3"/>
    </row>
    <row r="58" spans="1:18" ht="15.75">
      <c r="A58" s="1"/>
      <c r="B58" s="135"/>
      <c r="C58" s="16"/>
      <c r="D58" s="138"/>
      <c r="E58" s="139"/>
      <c r="F58" s="139"/>
      <c r="G58" s="16"/>
      <c r="H58" s="1"/>
      <c r="I58" s="290"/>
      <c r="J58" s="294"/>
      <c r="K58" s="295"/>
      <c r="L58" s="200"/>
      <c r="M58" s="1"/>
      <c r="R58" s="3"/>
    </row>
    <row r="59" spans="1:18" ht="16.5" thickBot="1">
      <c r="A59" s="1"/>
      <c r="B59" s="136"/>
      <c r="C59" s="17"/>
      <c r="D59" s="136"/>
      <c r="E59" s="140"/>
      <c r="F59" s="140"/>
      <c r="G59" s="17"/>
      <c r="H59" s="1"/>
      <c r="I59" s="298"/>
      <c r="J59" s="299"/>
      <c r="K59" s="300"/>
      <c r="L59" s="202"/>
      <c r="M59" s="1"/>
      <c r="R59" s="3"/>
    </row>
    <row r="60" spans="1:18" ht="16.5" customHeight="1" thickBot="1">
      <c r="A60" s="1"/>
      <c r="B60" s="136">
        <f>SUM(B46:B59)</f>
        <v>490</v>
      </c>
      <c r="C60" s="17" t="s">
        <v>53</v>
      </c>
      <c r="D60" s="136">
        <f>SUM(D46:D59)</f>
        <v>0</v>
      </c>
      <c r="E60" s="136">
        <f>SUM(E46:E59)</f>
        <v>0</v>
      </c>
      <c r="F60" s="136">
        <f>SUM(F46:F59)</f>
        <v>0</v>
      </c>
      <c r="G60" s="17" t="s">
        <v>53</v>
      </c>
      <c r="H60" s="1"/>
      <c r="I60" s="289" t="str">
        <f>AÑO!A15</f>
        <v>Alquiler Cartama</v>
      </c>
      <c r="J60" s="292"/>
      <c r="K60" s="293"/>
      <c r="L60" s="199"/>
      <c r="M60" s="1"/>
      <c r="R60" s="3"/>
    </row>
    <row r="61" spans="1:18" ht="16.5" thickBot="1">
      <c r="A61" s="1"/>
      <c r="B61" s="113"/>
      <c r="C61" s="1"/>
      <c r="D61" s="113"/>
      <c r="E61" s="113"/>
      <c r="F61" s="113"/>
      <c r="G61" s="1"/>
      <c r="H61" s="1"/>
      <c r="I61" s="290"/>
      <c r="J61" s="294"/>
      <c r="K61" s="295"/>
      <c r="L61" s="200"/>
      <c r="M61" s="1"/>
      <c r="R61" s="3"/>
    </row>
    <row r="62" spans="1:18" ht="15.6" customHeight="1">
      <c r="A62" s="1"/>
      <c r="B62" s="313" t="str">
        <f>AÑO!A23</f>
        <v>Ocio</v>
      </c>
      <c r="C62" s="302"/>
      <c r="D62" s="302"/>
      <c r="E62" s="302"/>
      <c r="F62" s="302"/>
      <c r="G62" s="303"/>
      <c r="H62" s="1"/>
      <c r="I62" s="290"/>
      <c r="J62" s="294"/>
      <c r="K62" s="295"/>
      <c r="L62" s="200"/>
      <c r="M62" s="1"/>
      <c r="R62" s="3"/>
    </row>
    <row r="63" spans="1:18" ht="16.149999999999999" customHeight="1" thickBot="1">
      <c r="A63" s="1"/>
      <c r="B63" s="304"/>
      <c r="C63" s="305"/>
      <c r="D63" s="305"/>
      <c r="E63" s="305"/>
      <c r="F63" s="305"/>
      <c r="G63" s="306"/>
      <c r="H63" s="1"/>
      <c r="I63" s="290"/>
      <c r="J63" s="294"/>
      <c r="K63" s="295"/>
      <c r="L63" s="200"/>
      <c r="M63" s="1"/>
      <c r="R63" s="3"/>
    </row>
    <row r="64" spans="1:18" ht="15.75">
      <c r="A64" s="1"/>
      <c r="B64" s="314" t="s">
        <v>8</v>
      </c>
      <c r="C64" s="315"/>
      <c r="D64" s="316" t="s">
        <v>9</v>
      </c>
      <c r="E64" s="316"/>
      <c r="F64" s="316"/>
      <c r="G64" s="315"/>
      <c r="H64" s="1"/>
      <c r="I64" s="298"/>
      <c r="J64" s="299"/>
      <c r="K64" s="300"/>
      <c r="L64" s="202"/>
      <c r="M64" s="1"/>
      <c r="R64" s="3"/>
    </row>
    <row r="65" spans="1:18" ht="15.75">
      <c r="A65" s="1"/>
      <c r="B65" s="133" t="s">
        <v>30</v>
      </c>
      <c r="C65" s="25" t="s">
        <v>31</v>
      </c>
      <c r="D65" s="133" t="s">
        <v>55</v>
      </c>
      <c r="E65" s="137" t="s">
        <v>56</v>
      </c>
      <c r="F65" s="137" t="s">
        <v>30</v>
      </c>
      <c r="G65" s="25" t="s">
        <v>165</v>
      </c>
      <c r="H65" s="1"/>
      <c r="I65" s="289" t="str">
        <f>AÑO!A16</f>
        <v>Otros</v>
      </c>
      <c r="J65" s="292"/>
      <c r="K65" s="293"/>
      <c r="L65" s="199"/>
      <c r="M65" s="1"/>
      <c r="R65" s="3"/>
    </row>
    <row r="66" spans="1:18" ht="15.75">
      <c r="A66" s="1"/>
      <c r="B66" s="134">
        <v>150</v>
      </c>
      <c r="C66" s="19" t="s">
        <v>33</v>
      </c>
      <c r="D66" s="138"/>
      <c r="E66" s="139"/>
      <c r="F66" s="139"/>
      <c r="G66" s="19"/>
      <c r="H66" s="1"/>
      <c r="I66" s="290"/>
      <c r="J66" s="294"/>
      <c r="K66" s="295"/>
      <c r="L66" s="200"/>
      <c r="M66" s="1"/>
      <c r="R66" s="3"/>
    </row>
    <row r="67" spans="1:18" ht="15.75">
      <c r="A67" s="1"/>
      <c r="B67" s="135"/>
      <c r="C67" s="16"/>
      <c r="D67" s="138"/>
      <c r="E67" s="139"/>
      <c r="F67" s="139"/>
      <c r="G67" s="32"/>
      <c r="H67" s="1"/>
      <c r="I67" s="290"/>
      <c r="J67" s="294"/>
      <c r="K67" s="295"/>
      <c r="L67" s="200"/>
      <c r="M67" s="1"/>
      <c r="R67" s="3"/>
    </row>
    <row r="68" spans="1:18" ht="15.75">
      <c r="A68" s="1"/>
      <c r="B68" s="135"/>
      <c r="C68" s="16"/>
      <c r="D68" s="138"/>
      <c r="E68" s="139"/>
      <c r="F68" s="139"/>
      <c r="G68" s="16"/>
      <c r="H68" s="1"/>
      <c r="I68" s="290"/>
      <c r="J68" s="294"/>
      <c r="K68" s="295"/>
      <c r="L68" s="200"/>
      <c r="M68" s="1"/>
      <c r="R68" s="3"/>
    </row>
    <row r="69" spans="1:18" ht="16.5" thickBot="1">
      <c r="A69" s="1"/>
      <c r="B69" s="135"/>
      <c r="C69" s="16"/>
      <c r="D69" s="138"/>
      <c r="E69" s="139"/>
      <c r="F69" s="139"/>
      <c r="G69" s="16"/>
      <c r="H69" s="1"/>
      <c r="I69" s="291"/>
      <c r="J69" s="296"/>
      <c r="K69" s="297"/>
      <c r="L69" s="201"/>
      <c r="M69" s="1"/>
      <c r="R69" s="3"/>
    </row>
    <row r="70" spans="1:18" ht="15.75">
      <c r="A70" s="1"/>
      <c r="B70" s="135"/>
      <c r="C70" s="16"/>
      <c r="D70" s="138"/>
      <c r="E70" s="139"/>
      <c r="F70" s="139"/>
      <c r="G70" s="16"/>
      <c r="H70" s="1"/>
      <c r="M70" s="1"/>
      <c r="R70" s="3"/>
    </row>
    <row r="71" spans="1:18" ht="15.75">
      <c r="A71" s="1"/>
      <c r="B71" s="135"/>
      <c r="C71" s="16"/>
      <c r="D71" s="138"/>
      <c r="E71" s="139"/>
      <c r="F71" s="139"/>
      <c r="G71" s="16"/>
      <c r="H71" s="1"/>
      <c r="M71" s="1"/>
      <c r="R71" s="3"/>
    </row>
    <row r="72" spans="1:18" ht="15.75">
      <c r="A72" s="1"/>
      <c r="B72" s="135"/>
      <c r="C72" s="16"/>
      <c r="D72" s="138"/>
      <c r="E72" s="139"/>
      <c r="F72" s="139"/>
      <c r="G72" s="16"/>
      <c r="H72" s="1"/>
      <c r="M72" s="1"/>
      <c r="R72" s="3"/>
    </row>
    <row r="73" spans="1:18" ht="15.75">
      <c r="A73" s="1"/>
      <c r="B73" s="135"/>
      <c r="C73" s="16"/>
      <c r="D73" s="138"/>
      <c r="E73" s="139"/>
      <c r="F73" s="139"/>
      <c r="G73" s="16"/>
      <c r="H73" s="1"/>
      <c r="I73" s="88"/>
      <c r="M73" s="1"/>
      <c r="R73" s="3"/>
    </row>
    <row r="74" spans="1:18" ht="15.75">
      <c r="A74" s="1"/>
      <c r="B74" s="135"/>
      <c r="C74" s="16"/>
      <c r="D74" s="138"/>
      <c r="E74" s="139"/>
      <c r="F74" s="139"/>
      <c r="G74" s="16"/>
      <c r="H74" s="1"/>
      <c r="M74" s="1"/>
      <c r="R74" s="3"/>
    </row>
    <row r="75" spans="1:18" ht="15.75">
      <c r="A75" s="1"/>
      <c r="B75" s="135"/>
      <c r="C75" s="16"/>
      <c r="D75" s="138"/>
      <c r="E75" s="139"/>
      <c r="F75" s="139"/>
      <c r="G75" s="16"/>
      <c r="H75" s="1"/>
      <c r="M75" s="1"/>
      <c r="R75" s="3"/>
    </row>
    <row r="76" spans="1:18" ht="15.75">
      <c r="A76" s="1"/>
      <c r="B76" s="135"/>
      <c r="C76" s="16"/>
      <c r="D76" s="138"/>
      <c r="E76" s="139"/>
      <c r="F76" s="139"/>
      <c r="G76" s="16"/>
      <c r="H76" s="1"/>
      <c r="M76" s="1"/>
      <c r="R76" s="3"/>
    </row>
    <row r="77" spans="1:18" ht="15.75">
      <c r="A77" s="1"/>
      <c r="B77" s="135"/>
      <c r="C77" s="16"/>
      <c r="D77" s="138"/>
      <c r="E77" s="139"/>
      <c r="F77" s="139"/>
      <c r="G77" s="16"/>
      <c r="H77" s="1"/>
      <c r="M77" s="1"/>
      <c r="R77" s="3"/>
    </row>
    <row r="78" spans="1:18" ht="15.75">
      <c r="A78" s="1"/>
      <c r="B78" s="135"/>
      <c r="C78" s="16"/>
      <c r="D78" s="138"/>
      <c r="E78" s="139"/>
      <c r="F78" s="139"/>
      <c r="G78" s="16"/>
      <c r="H78" s="1"/>
      <c r="M78" s="1"/>
      <c r="R78" s="3"/>
    </row>
    <row r="79" spans="1:18" ht="16.5" thickBot="1">
      <c r="A79" s="1"/>
      <c r="B79" s="136"/>
      <c r="C79" s="17"/>
      <c r="D79" s="136"/>
      <c r="E79" s="140"/>
      <c r="F79" s="140"/>
      <c r="G79" s="17"/>
      <c r="H79" s="1"/>
      <c r="M79" s="1"/>
      <c r="R79" s="3"/>
    </row>
    <row r="80" spans="1:18" ht="16.5" thickBot="1">
      <c r="A80" s="1"/>
      <c r="B80" s="136">
        <f>SUM(B66:B79)</f>
        <v>150</v>
      </c>
      <c r="C80" s="17" t="s">
        <v>53</v>
      </c>
      <c r="D80" s="136">
        <f>SUM(D66:D79)</f>
        <v>0</v>
      </c>
      <c r="E80" s="136">
        <f>SUM(E66:E79)</f>
        <v>0</v>
      </c>
      <c r="F80" s="136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3"/>
      <c r="C81" s="1"/>
      <c r="D81" s="113"/>
      <c r="E81" s="113"/>
      <c r="F81" s="113"/>
      <c r="G81" s="1"/>
      <c r="H81" s="1"/>
      <c r="M81" s="1"/>
      <c r="R81" s="3"/>
    </row>
    <row r="82" spans="1:18" ht="15.6" customHeight="1">
      <c r="A82" s="1"/>
      <c r="B82" s="313" t="str">
        <f>AÑO!A24</f>
        <v>Transportes</v>
      </c>
      <c r="C82" s="302"/>
      <c r="D82" s="302"/>
      <c r="E82" s="302"/>
      <c r="F82" s="302"/>
      <c r="G82" s="303"/>
      <c r="H82" s="1"/>
      <c r="M82" s="1"/>
      <c r="R82" s="3"/>
    </row>
    <row r="83" spans="1:18" ht="16.149999999999999" customHeight="1" thickBot="1">
      <c r="A83" s="1"/>
      <c r="B83" s="304"/>
      <c r="C83" s="305"/>
      <c r="D83" s="305"/>
      <c r="E83" s="305"/>
      <c r="F83" s="305"/>
      <c r="G83" s="306"/>
      <c r="H83" s="1"/>
      <c r="M83" s="1"/>
      <c r="R83" s="3"/>
    </row>
    <row r="84" spans="1:18" ht="15.75">
      <c r="A84" s="1"/>
      <c r="B84" s="314" t="s">
        <v>8</v>
      </c>
      <c r="C84" s="315"/>
      <c r="D84" s="316" t="s">
        <v>9</v>
      </c>
      <c r="E84" s="316"/>
      <c r="F84" s="316"/>
      <c r="G84" s="315"/>
      <c r="H84" s="1"/>
      <c r="M84" s="1"/>
      <c r="R84" s="3"/>
    </row>
    <row r="85" spans="1:18" ht="15.75">
      <c r="A85" s="1"/>
      <c r="B85" s="133" t="s">
        <v>30</v>
      </c>
      <c r="C85" s="25" t="s">
        <v>31</v>
      </c>
      <c r="D85" s="133" t="s">
        <v>55</v>
      </c>
      <c r="E85" s="137" t="s">
        <v>56</v>
      </c>
      <c r="F85" s="137" t="s">
        <v>30</v>
      </c>
      <c r="G85" s="25" t="s">
        <v>165</v>
      </c>
      <c r="H85" s="1"/>
      <c r="M85" s="1"/>
      <c r="R85" s="3"/>
    </row>
    <row r="86" spans="1:18" ht="15.75">
      <c r="A86" s="1"/>
      <c r="B86" s="134">
        <v>160</v>
      </c>
      <c r="C86" s="19" t="s">
        <v>205</v>
      </c>
      <c r="D86" s="138"/>
      <c r="E86" s="139"/>
      <c r="F86" s="139"/>
      <c r="G86" s="16"/>
      <c r="H86" s="1"/>
      <c r="M86" s="1"/>
      <c r="R86" s="3"/>
    </row>
    <row r="87" spans="1:18" ht="15.75">
      <c r="A87" s="1"/>
      <c r="B87" s="135"/>
      <c r="C87" s="16"/>
      <c r="D87" s="138"/>
      <c r="E87" s="139"/>
      <c r="F87" s="139"/>
      <c r="G87" s="16"/>
      <c r="H87" s="1"/>
      <c r="M87" s="1"/>
      <c r="R87" s="3"/>
    </row>
    <row r="88" spans="1:18" ht="15.75">
      <c r="A88" s="1"/>
      <c r="B88" s="135"/>
      <c r="C88" s="16"/>
      <c r="D88" s="138"/>
      <c r="E88" s="139"/>
      <c r="F88" s="139"/>
      <c r="G88" s="16"/>
      <c r="H88" s="1"/>
      <c r="M88" s="1"/>
      <c r="R88" s="3"/>
    </row>
    <row r="89" spans="1:18" ht="15.75">
      <c r="A89" s="1"/>
      <c r="B89" s="135"/>
      <c r="C89" s="16"/>
      <c r="D89" s="138"/>
      <c r="E89" s="139"/>
      <c r="F89" s="139"/>
      <c r="G89" s="16"/>
      <c r="H89" s="1"/>
      <c r="M89" s="1"/>
      <c r="R89" s="3"/>
    </row>
    <row r="90" spans="1:18" ht="15.75">
      <c r="A90" s="1"/>
      <c r="B90" s="135"/>
      <c r="C90" s="16"/>
      <c r="D90" s="138"/>
      <c r="E90" s="139"/>
      <c r="F90" s="139"/>
      <c r="G90" s="16"/>
      <c r="H90" s="1"/>
      <c r="M90" s="1"/>
      <c r="R90" s="3"/>
    </row>
    <row r="91" spans="1:18" ht="15.75">
      <c r="A91" s="1"/>
      <c r="B91" s="135"/>
      <c r="C91" s="16"/>
      <c r="D91" s="138"/>
      <c r="E91" s="139"/>
      <c r="F91" s="139"/>
      <c r="G91" s="16"/>
      <c r="H91" s="1"/>
      <c r="M91" s="1"/>
      <c r="R91" s="3"/>
    </row>
    <row r="92" spans="1:18" ht="15.75">
      <c r="A92" s="1"/>
      <c r="B92" s="135"/>
      <c r="C92" s="16"/>
      <c r="D92" s="138"/>
      <c r="E92" s="139"/>
      <c r="F92" s="139"/>
      <c r="G92" s="16"/>
      <c r="H92" s="1"/>
      <c r="M92" s="1"/>
      <c r="R92" s="3"/>
    </row>
    <row r="93" spans="1:18" ht="15.75">
      <c r="A93" s="1"/>
      <c r="B93" s="135"/>
      <c r="C93" s="16"/>
      <c r="D93" s="138"/>
      <c r="E93" s="139"/>
      <c r="F93" s="139"/>
      <c r="G93" s="16"/>
      <c r="H93" s="1"/>
      <c r="M93" s="1"/>
      <c r="R93" s="3"/>
    </row>
    <row r="94" spans="1:18" ht="15.75">
      <c r="A94" s="1"/>
      <c r="B94" s="135"/>
      <c r="C94" s="16"/>
      <c r="D94" s="138"/>
      <c r="E94" s="139"/>
      <c r="F94" s="139"/>
      <c r="G94" s="16"/>
      <c r="H94" s="1"/>
      <c r="M94" s="1"/>
      <c r="R94" s="3"/>
    </row>
    <row r="95" spans="1:18" ht="15.75">
      <c r="A95" s="1"/>
      <c r="B95" s="135"/>
      <c r="C95" s="16"/>
      <c r="D95" s="138"/>
      <c r="E95" s="139"/>
      <c r="F95" s="139"/>
      <c r="G95" s="16"/>
      <c r="H95" s="1"/>
      <c r="M95" s="1"/>
      <c r="R95" s="3"/>
    </row>
    <row r="96" spans="1:18" ht="15.75">
      <c r="A96" s="1"/>
      <c r="B96" s="135"/>
      <c r="C96" s="16"/>
      <c r="D96" s="138"/>
      <c r="E96" s="139"/>
      <c r="F96" s="139"/>
      <c r="G96" s="16"/>
      <c r="H96" s="1"/>
      <c r="M96" s="1"/>
      <c r="R96" s="3"/>
    </row>
    <row r="97" spans="1:18" ht="15.75">
      <c r="A97" s="1"/>
      <c r="B97" s="135"/>
      <c r="C97" s="16"/>
      <c r="D97" s="138"/>
      <c r="E97" s="139"/>
      <c r="F97" s="139"/>
      <c r="G97" s="16"/>
      <c r="H97" s="1"/>
      <c r="M97" s="1"/>
      <c r="R97" s="3"/>
    </row>
    <row r="98" spans="1:18" ht="15.75">
      <c r="A98" s="1"/>
      <c r="B98" s="135"/>
      <c r="C98" s="16"/>
      <c r="D98" s="138"/>
      <c r="E98" s="139"/>
      <c r="F98" s="139"/>
      <c r="G98" s="16"/>
      <c r="H98" s="1"/>
      <c r="M98" s="1"/>
      <c r="R98" s="3"/>
    </row>
    <row r="99" spans="1:18" ht="16.5" thickBot="1">
      <c r="A99" s="1"/>
      <c r="B99" s="136"/>
      <c r="C99" s="17"/>
      <c r="D99" s="136"/>
      <c r="E99" s="140"/>
      <c r="F99" s="140"/>
      <c r="G99" s="17"/>
      <c r="H99" s="1"/>
      <c r="M99" s="1"/>
      <c r="R99" s="3"/>
    </row>
    <row r="100" spans="1:18" ht="16.5" thickBot="1">
      <c r="A100" s="1"/>
      <c r="B100" s="136">
        <f>SUM(B86:B99)</f>
        <v>160</v>
      </c>
      <c r="C100" s="17" t="s">
        <v>53</v>
      </c>
      <c r="D100" s="136">
        <f>SUM(D86:D99)</f>
        <v>0</v>
      </c>
      <c r="E100" s="136">
        <f>SUM(E86:E99)</f>
        <v>0</v>
      </c>
      <c r="F100" s="136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13" t="str">
        <f>AÑO!A25</f>
        <v>Coche</v>
      </c>
      <c r="C102" s="302"/>
      <c r="D102" s="302"/>
      <c r="E102" s="302"/>
      <c r="F102" s="302"/>
      <c r="G102" s="303"/>
      <c r="H102" s="1"/>
      <c r="M102" s="1"/>
      <c r="R102" s="3"/>
    </row>
    <row r="103" spans="1:18" ht="16.149999999999999" customHeight="1" thickBot="1">
      <c r="A103" s="1"/>
      <c r="B103" s="304"/>
      <c r="C103" s="305"/>
      <c r="D103" s="305"/>
      <c r="E103" s="305"/>
      <c r="F103" s="305"/>
      <c r="G103" s="306"/>
      <c r="H103" s="1"/>
      <c r="M103" s="1"/>
      <c r="R103" s="3"/>
    </row>
    <row r="104" spans="1:18" ht="15.75">
      <c r="A104" s="1"/>
      <c r="B104" s="314" t="s">
        <v>8</v>
      </c>
      <c r="C104" s="315"/>
      <c r="D104" s="316" t="s">
        <v>9</v>
      </c>
      <c r="E104" s="316"/>
      <c r="F104" s="316"/>
      <c r="G104" s="315"/>
      <c r="H104" s="1"/>
      <c r="M104" s="1"/>
      <c r="R104" s="3"/>
    </row>
    <row r="105" spans="1:18" ht="15.75">
      <c r="A105" s="90" t="s">
        <v>187</v>
      </c>
      <c r="B105" s="133" t="s">
        <v>30</v>
      </c>
      <c r="C105" s="25" t="s">
        <v>31</v>
      </c>
      <c r="D105" s="133" t="s">
        <v>55</v>
      </c>
      <c r="E105" s="137" t="s">
        <v>56</v>
      </c>
      <c r="F105" s="137" t="s">
        <v>30</v>
      </c>
      <c r="G105" s="25" t="s">
        <v>31</v>
      </c>
      <c r="H105" s="1"/>
      <c r="M105" s="1"/>
      <c r="R105" s="3"/>
    </row>
    <row r="106" spans="1:18" ht="15.75">
      <c r="A106" s="113">
        <f>'07'!A106+(B106-SUM(D106:F106))</f>
        <v>2326.2300000000005</v>
      </c>
      <c r="B106" s="134">
        <v>258.47000000000003</v>
      </c>
      <c r="C106" s="18" t="s">
        <v>44</v>
      </c>
      <c r="D106" s="138"/>
      <c r="E106" s="139"/>
      <c r="F106" s="139"/>
      <c r="G106" s="32" t="s">
        <v>44</v>
      </c>
      <c r="H106" s="1"/>
      <c r="M106" s="1"/>
      <c r="R106" s="3"/>
    </row>
    <row r="107" spans="1:18" ht="15.75">
      <c r="A107" s="113">
        <f>'07'!A107+(B107-SUM(D107:F107))</f>
        <v>640.29999999999995</v>
      </c>
      <c r="B107" s="135">
        <v>71</v>
      </c>
      <c r="C107" s="18" t="s">
        <v>45</v>
      </c>
      <c r="D107" s="138"/>
      <c r="E107" s="139"/>
      <c r="F107" s="139"/>
      <c r="G107" s="32" t="s">
        <v>45</v>
      </c>
      <c r="H107" s="1"/>
      <c r="M107" s="1"/>
      <c r="R107" s="3"/>
    </row>
    <row r="108" spans="1:18" ht="15.75">
      <c r="A108" s="113">
        <f>'07'!A108+(B108-SUM(D108:F108))</f>
        <v>597.09999999999991</v>
      </c>
      <c r="B108" s="135">
        <v>50</v>
      </c>
      <c r="C108" s="18" t="s">
        <v>190</v>
      </c>
      <c r="D108" s="138"/>
      <c r="E108" s="139"/>
      <c r="F108" s="139"/>
      <c r="G108" s="35"/>
      <c r="H108" s="1"/>
      <c r="M108" s="1"/>
      <c r="R108" s="3"/>
    </row>
    <row r="109" spans="1:18" ht="15.75">
      <c r="A109" s="113">
        <f>'07'!A109+(B109-SUM(D109:F109))</f>
        <v>2984.2700000000023</v>
      </c>
      <c r="B109" s="135">
        <v>25.53</v>
      </c>
      <c r="C109" s="18" t="s">
        <v>208</v>
      </c>
      <c r="D109" s="138"/>
      <c r="E109" s="139"/>
      <c r="F109" s="139"/>
      <c r="G109" s="32"/>
      <c r="H109" s="1"/>
      <c r="M109" s="1"/>
      <c r="R109" s="3"/>
    </row>
    <row r="110" spans="1:18" ht="15.75">
      <c r="B110" s="135"/>
      <c r="C110" s="18"/>
      <c r="D110" s="138"/>
      <c r="E110" s="139"/>
      <c r="F110" s="139"/>
      <c r="G110" s="32"/>
      <c r="H110" s="1"/>
      <c r="M110" s="1"/>
      <c r="R110" s="3"/>
    </row>
    <row r="111" spans="1:18" ht="15.75">
      <c r="B111" s="135"/>
      <c r="C111" s="28"/>
      <c r="D111" s="138"/>
      <c r="E111" s="139"/>
      <c r="F111" s="139"/>
      <c r="G111" s="35"/>
      <c r="H111" s="1"/>
      <c r="M111" s="1"/>
      <c r="R111" s="3"/>
    </row>
    <row r="112" spans="1:18" ht="15.75">
      <c r="B112" s="135"/>
      <c r="C112" s="33"/>
      <c r="D112" s="138"/>
      <c r="E112" s="139"/>
      <c r="F112" s="139"/>
      <c r="G112" s="32"/>
      <c r="H112" s="1"/>
      <c r="M112" s="1"/>
      <c r="R112" s="3"/>
    </row>
    <row r="113" spans="1:18" ht="15.75">
      <c r="B113" s="135"/>
      <c r="C113" s="34"/>
      <c r="D113" s="138"/>
      <c r="E113" s="139"/>
      <c r="F113" s="139"/>
      <c r="G113" s="32"/>
      <c r="H113" s="1"/>
      <c r="M113" s="1"/>
      <c r="R113" s="3"/>
    </row>
    <row r="114" spans="1:18" ht="15.75">
      <c r="B114" s="135"/>
      <c r="C114" s="33"/>
      <c r="D114" s="138"/>
      <c r="E114" s="139"/>
      <c r="F114" s="139"/>
      <c r="G114" s="32"/>
      <c r="H114" s="1"/>
      <c r="M114" s="1"/>
      <c r="R114" s="3"/>
    </row>
    <row r="115" spans="1:18" ht="15.75">
      <c r="B115" s="135"/>
      <c r="C115" s="28"/>
      <c r="D115" s="138"/>
      <c r="E115" s="139"/>
      <c r="F115" s="139"/>
      <c r="G115" s="16"/>
      <c r="H115" s="1"/>
      <c r="M115" s="1"/>
      <c r="R115" s="3"/>
    </row>
    <row r="116" spans="1:18" ht="15.75">
      <c r="B116" s="135"/>
      <c r="C116" s="18"/>
      <c r="D116" s="138"/>
      <c r="E116" s="139"/>
      <c r="F116" s="139"/>
      <c r="G116" s="16"/>
      <c r="H116" s="1"/>
      <c r="M116" s="1"/>
      <c r="R116" s="3"/>
    </row>
    <row r="117" spans="1:18" ht="15.75">
      <c r="B117" s="135"/>
      <c r="C117" s="18"/>
      <c r="D117" s="138"/>
      <c r="E117" s="139"/>
      <c r="F117" s="139"/>
      <c r="G117" s="16"/>
      <c r="H117" s="1"/>
      <c r="M117" s="1"/>
      <c r="R117" s="3"/>
    </row>
    <row r="118" spans="1:18" ht="15.75">
      <c r="B118" s="135"/>
      <c r="C118" s="18"/>
      <c r="D118" s="138"/>
      <c r="E118" s="139"/>
      <c r="F118" s="139"/>
      <c r="G118" s="16"/>
      <c r="H118" s="1"/>
      <c r="M118" s="1"/>
      <c r="R118" s="3"/>
    </row>
    <row r="119" spans="1:18" ht="16.5" thickBot="1">
      <c r="B119" s="136"/>
      <c r="C119" s="20"/>
      <c r="D119" s="136"/>
      <c r="E119" s="140"/>
      <c r="F119" s="140"/>
      <c r="G119" s="17"/>
      <c r="H119" s="1"/>
      <c r="M119" s="1"/>
      <c r="R119" s="3"/>
    </row>
    <row r="120" spans="1:18" ht="16.5" thickBot="1">
      <c r="A120" s="114">
        <f>SUM(A106:A108)</f>
        <v>3563.6300000000006</v>
      </c>
      <c r="B120" s="136">
        <f>SUM(B106:B119)</f>
        <v>405</v>
      </c>
      <c r="C120" s="17" t="s">
        <v>53</v>
      </c>
      <c r="D120" s="136">
        <f>SUM(D106:D119)</f>
        <v>0</v>
      </c>
      <c r="E120" s="136">
        <f>SUM(E106:E119)</f>
        <v>0</v>
      </c>
      <c r="F120" s="136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13" t="str">
        <f>AÑO!A26</f>
        <v>Teléfono</v>
      </c>
      <c r="C122" s="302"/>
      <c r="D122" s="302"/>
      <c r="E122" s="302"/>
      <c r="F122" s="302"/>
      <c r="G122" s="303"/>
      <c r="H122" s="1"/>
      <c r="M122" s="1"/>
      <c r="R122" s="3"/>
    </row>
    <row r="123" spans="1:18" ht="16.149999999999999" customHeight="1" thickBot="1">
      <c r="A123" s="1"/>
      <c r="B123" s="304"/>
      <c r="C123" s="305"/>
      <c r="D123" s="305"/>
      <c r="E123" s="305"/>
      <c r="F123" s="305"/>
      <c r="G123" s="306"/>
      <c r="H123" s="1"/>
      <c r="M123" s="1"/>
      <c r="R123" s="3"/>
    </row>
    <row r="124" spans="1:18" ht="15.75">
      <c r="A124" s="1"/>
      <c r="B124" s="314" t="s">
        <v>8</v>
      </c>
      <c r="C124" s="315"/>
      <c r="D124" s="316" t="s">
        <v>9</v>
      </c>
      <c r="E124" s="316"/>
      <c r="F124" s="316"/>
      <c r="G124" s="315"/>
      <c r="H124" s="1"/>
      <c r="M124" s="1"/>
      <c r="R124" s="3"/>
    </row>
    <row r="125" spans="1:18" ht="15.75">
      <c r="A125" s="1"/>
      <c r="B125" s="133" t="s">
        <v>30</v>
      </c>
      <c r="C125" s="25" t="s">
        <v>31</v>
      </c>
      <c r="D125" s="133" t="s">
        <v>55</v>
      </c>
      <c r="E125" s="137" t="s">
        <v>56</v>
      </c>
      <c r="F125" s="137" t="s">
        <v>30</v>
      </c>
      <c r="G125" s="25" t="s">
        <v>31</v>
      </c>
      <c r="H125" s="1"/>
      <c r="M125" s="1"/>
      <c r="R125" s="3"/>
    </row>
    <row r="126" spans="1:18" ht="15.75">
      <c r="A126" s="1"/>
      <c r="B126" s="134">
        <v>27.5</v>
      </c>
      <c r="C126" s="19" t="s">
        <v>46</v>
      </c>
      <c r="D126" s="138"/>
      <c r="E126" s="139"/>
      <c r="F126" s="139"/>
      <c r="G126" s="16" t="s">
        <v>46</v>
      </c>
      <c r="H126" s="1"/>
      <c r="M126" s="1"/>
      <c r="R126" s="3"/>
    </row>
    <row r="127" spans="1:18" ht="15.75">
      <c r="A127" s="1"/>
      <c r="B127" s="135">
        <v>12.5</v>
      </c>
      <c r="C127" s="16" t="s">
        <v>47</v>
      </c>
      <c r="D127" s="138"/>
      <c r="E127" s="139"/>
      <c r="F127" s="139"/>
      <c r="G127" s="16" t="s">
        <v>151</v>
      </c>
      <c r="H127" s="1"/>
      <c r="M127" s="1"/>
      <c r="R127" s="3"/>
    </row>
    <row r="128" spans="1:18" ht="15.75">
      <c r="A128" s="1"/>
      <c r="B128" s="135">
        <v>8</v>
      </c>
      <c r="C128" s="16" t="s">
        <v>162</v>
      </c>
      <c r="D128" s="138"/>
      <c r="E128" s="139"/>
      <c r="F128" s="139"/>
      <c r="G128" s="16" t="s">
        <v>153</v>
      </c>
      <c r="H128" s="1"/>
      <c r="M128" s="1"/>
      <c r="R128" s="3"/>
    </row>
    <row r="129" spans="1:18" ht="15.75">
      <c r="A129" s="1"/>
      <c r="B129" s="135"/>
      <c r="C129" s="16"/>
      <c r="D129" s="138"/>
      <c r="E129" s="139"/>
      <c r="F129" s="139"/>
      <c r="G129" s="16" t="s">
        <v>162</v>
      </c>
      <c r="H129" s="1"/>
      <c r="M129" s="1"/>
      <c r="R129" s="3"/>
    </row>
    <row r="130" spans="1:18" ht="15.75">
      <c r="A130" s="1"/>
      <c r="B130" s="135"/>
      <c r="C130" s="16"/>
      <c r="D130" s="138"/>
      <c r="E130" s="139"/>
      <c r="F130" s="139"/>
      <c r="G130" s="16"/>
      <c r="H130" s="1"/>
      <c r="M130" s="1"/>
      <c r="R130" s="3"/>
    </row>
    <row r="131" spans="1:18" ht="15.75">
      <c r="A131" s="1"/>
      <c r="B131" s="135"/>
      <c r="C131" s="16"/>
      <c r="D131" s="138"/>
      <c r="E131" s="139"/>
      <c r="F131" s="139"/>
      <c r="G131" s="16"/>
      <c r="H131" s="1"/>
      <c r="M131" s="1"/>
      <c r="R131" s="3"/>
    </row>
    <row r="132" spans="1:18" ht="15.75">
      <c r="A132" s="1"/>
      <c r="B132" s="135"/>
      <c r="C132" s="16"/>
      <c r="D132" s="138"/>
      <c r="E132" s="139"/>
      <c r="F132" s="139"/>
      <c r="G132" s="16"/>
      <c r="H132" s="1"/>
      <c r="M132" s="1"/>
      <c r="R132" s="3"/>
    </row>
    <row r="133" spans="1:18" ht="15.75">
      <c r="A133" s="1"/>
      <c r="B133" s="135"/>
      <c r="C133" s="16"/>
      <c r="D133" s="138"/>
      <c r="E133" s="139"/>
      <c r="F133" s="139"/>
      <c r="G133" s="16"/>
      <c r="H133" s="1"/>
      <c r="M133" s="1"/>
      <c r="R133" s="3"/>
    </row>
    <row r="134" spans="1:18" ht="15.75">
      <c r="A134" s="1"/>
      <c r="B134" s="135"/>
      <c r="C134" s="16"/>
      <c r="D134" s="138"/>
      <c r="E134" s="139"/>
      <c r="F134" s="139"/>
      <c r="G134" s="16"/>
      <c r="H134" s="1"/>
      <c r="M134" s="1"/>
      <c r="R134" s="3"/>
    </row>
    <row r="135" spans="1:18" ht="15.75">
      <c r="A135" s="1"/>
      <c r="B135" s="135"/>
      <c r="C135" s="16"/>
      <c r="D135" s="138"/>
      <c r="E135" s="139"/>
      <c r="F135" s="139"/>
      <c r="G135" s="16"/>
      <c r="H135" s="1"/>
      <c r="M135" s="1"/>
      <c r="R135" s="3"/>
    </row>
    <row r="136" spans="1:18" ht="15.75">
      <c r="A136" s="1"/>
      <c r="B136" s="135"/>
      <c r="C136" s="16"/>
      <c r="D136" s="138"/>
      <c r="E136" s="139"/>
      <c r="F136" s="139"/>
      <c r="G136" s="16"/>
      <c r="H136" s="1"/>
      <c r="M136" s="1"/>
      <c r="R136" s="3"/>
    </row>
    <row r="137" spans="1:18" ht="15.75">
      <c r="A137" s="1"/>
      <c r="B137" s="135"/>
      <c r="C137" s="16"/>
      <c r="D137" s="138"/>
      <c r="E137" s="139"/>
      <c r="F137" s="139"/>
      <c r="G137" s="16"/>
      <c r="H137" s="1"/>
      <c r="M137" s="1"/>
      <c r="R137" s="3"/>
    </row>
    <row r="138" spans="1:18" ht="15.75">
      <c r="A138" s="1"/>
      <c r="B138" s="135"/>
      <c r="C138" s="16"/>
      <c r="D138" s="138"/>
      <c r="E138" s="139"/>
      <c r="F138" s="139"/>
      <c r="G138" s="16"/>
      <c r="H138" s="1"/>
      <c r="M138" s="1"/>
      <c r="R138" s="3"/>
    </row>
    <row r="139" spans="1:18" ht="16.5" thickBot="1">
      <c r="A139" s="1"/>
      <c r="B139" s="136"/>
      <c r="C139" s="17"/>
      <c r="D139" s="136"/>
      <c r="E139" s="140"/>
      <c r="F139" s="140"/>
      <c r="G139" s="17"/>
      <c r="H139" s="1"/>
      <c r="M139" s="1"/>
      <c r="R139" s="3"/>
    </row>
    <row r="140" spans="1:18" ht="16.5" thickBot="1">
      <c r="A140" s="1"/>
      <c r="B140" s="136">
        <f>SUM(B126:B139)</f>
        <v>48</v>
      </c>
      <c r="C140" s="17" t="s">
        <v>53</v>
      </c>
      <c r="D140" s="136">
        <f>SUM(D126:D139)</f>
        <v>0</v>
      </c>
      <c r="E140" s="136">
        <f>SUM(E126:E139)</f>
        <v>0</v>
      </c>
      <c r="F140" s="136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13" t="str">
        <f>AÑO!A27</f>
        <v>Gatos</v>
      </c>
      <c r="C142" s="302"/>
      <c r="D142" s="302"/>
      <c r="E142" s="302"/>
      <c r="F142" s="302"/>
      <c r="G142" s="303"/>
      <c r="H142" s="1"/>
      <c r="M142" s="1"/>
      <c r="R142" s="3"/>
    </row>
    <row r="143" spans="1:18" ht="16.149999999999999" customHeight="1" thickBot="1">
      <c r="A143" s="1"/>
      <c r="B143" s="304"/>
      <c r="C143" s="305"/>
      <c r="D143" s="305"/>
      <c r="E143" s="305"/>
      <c r="F143" s="305"/>
      <c r="G143" s="306"/>
      <c r="H143" s="1"/>
      <c r="M143" s="1"/>
      <c r="R143" s="3"/>
    </row>
    <row r="144" spans="1:18" ht="15.75">
      <c r="A144" s="1"/>
      <c r="B144" s="314" t="s">
        <v>8</v>
      </c>
      <c r="C144" s="315"/>
      <c r="D144" s="316" t="s">
        <v>9</v>
      </c>
      <c r="E144" s="316"/>
      <c r="F144" s="316"/>
      <c r="G144" s="315"/>
      <c r="H144" s="1"/>
      <c r="M144" s="1"/>
      <c r="R144" s="3"/>
    </row>
    <row r="145" spans="1:22" ht="15.75">
      <c r="A145" s="1"/>
      <c r="B145" s="133" t="s">
        <v>30</v>
      </c>
      <c r="C145" s="25" t="s">
        <v>31</v>
      </c>
      <c r="D145" s="133" t="s">
        <v>55</v>
      </c>
      <c r="E145" s="137" t="s">
        <v>56</v>
      </c>
      <c r="F145" s="137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4">
        <v>50</v>
      </c>
      <c r="C146" s="19" t="s">
        <v>178</v>
      </c>
      <c r="D146" s="138"/>
      <c r="E146" s="139"/>
      <c r="F146" s="139"/>
      <c r="G146" s="16"/>
      <c r="H146" s="1"/>
      <c r="M146" s="1"/>
      <c r="R146" s="3"/>
    </row>
    <row r="147" spans="1:22" ht="15.75">
      <c r="A147" s="1"/>
      <c r="B147" s="135"/>
      <c r="C147" s="16"/>
      <c r="D147" s="138"/>
      <c r="E147" s="139"/>
      <c r="F147" s="139"/>
      <c r="G147" s="16"/>
      <c r="H147" s="1"/>
      <c r="M147" s="1"/>
      <c r="R147" s="3"/>
    </row>
    <row r="148" spans="1:22" ht="15.75">
      <c r="A148" s="1"/>
      <c r="B148" s="135"/>
      <c r="C148" s="16"/>
      <c r="D148" s="138"/>
      <c r="E148" s="139"/>
      <c r="F148" s="139"/>
      <c r="G148" s="16"/>
      <c r="H148" s="1"/>
      <c r="M148" s="1"/>
      <c r="R148" s="3"/>
    </row>
    <row r="149" spans="1:22" ht="15.75">
      <c r="A149" s="1"/>
      <c r="B149" s="135"/>
      <c r="C149" s="16"/>
      <c r="D149" s="138"/>
      <c r="E149" s="139"/>
      <c r="F149" s="139"/>
      <c r="G149" s="16"/>
      <c r="H149" s="1"/>
      <c r="M149" s="1"/>
      <c r="R149" s="3"/>
    </row>
    <row r="150" spans="1:22" ht="15.75">
      <c r="A150" s="1"/>
      <c r="B150" s="135"/>
      <c r="C150" s="16"/>
      <c r="D150" s="138"/>
      <c r="E150" s="139"/>
      <c r="F150" s="139"/>
      <c r="G150" s="16"/>
      <c r="H150" s="1"/>
      <c r="M150" s="1"/>
      <c r="R150" s="3"/>
    </row>
    <row r="151" spans="1:22" ht="15.75">
      <c r="A151" s="1"/>
      <c r="B151" s="135"/>
      <c r="C151" s="16"/>
      <c r="D151" s="138"/>
      <c r="E151" s="139"/>
      <c r="F151" s="139"/>
      <c r="G151" s="16"/>
      <c r="H151" s="1"/>
      <c r="M151" s="1"/>
      <c r="R151" s="3"/>
    </row>
    <row r="152" spans="1:22" ht="15.75">
      <c r="A152" s="1"/>
      <c r="B152" s="135"/>
      <c r="C152" s="16"/>
      <c r="D152" s="138"/>
      <c r="E152" s="139"/>
      <c r="F152" s="139"/>
      <c r="G152" s="16"/>
      <c r="H152" s="1"/>
      <c r="M152" s="1"/>
      <c r="R152" s="3"/>
    </row>
    <row r="153" spans="1:22" ht="15.75">
      <c r="A153" s="1"/>
      <c r="B153" s="135"/>
      <c r="C153" s="16"/>
      <c r="D153" s="138"/>
      <c r="E153" s="139"/>
      <c r="F153" s="139"/>
      <c r="G153" s="16"/>
      <c r="H153" s="1"/>
      <c r="M153" s="1"/>
      <c r="R153" s="3"/>
    </row>
    <row r="154" spans="1:22" ht="15.75">
      <c r="A154" s="1"/>
      <c r="B154" s="135"/>
      <c r="C154" s="16"/>
      <c r="D154" s="138"/>
      <c r="E154" s="139"/>
      <c r="F154" s="139"/>
      <c r="G154" s="16"/>
      <c r="H154" s="1"/>
      <c r="M154" s="1"/>
      <c r="R154" s="3"/>
    </row>
    <row r="155" spans="1:22" ht="15.75">
      <c r="A155" s="1"/>
      <c r="B155" s="135"/>
      <c r="C155" s="16"/>
      <c r="D155" s="138"/>
      <c r="E155" s="139"/>
      <c r="F155" s="139"/>
      <c r="G155" s="16"/>
      <c r="H155" s="1"/>
      <c r="M155" s="1"/>
      <c r="R155" s="3"/>
    </row>
    <row r="156" spans="1:22" ht="15.75">
      <c r="A156" s="1"/>
      <c r="B156" s="135"/>
      <c r="C156" s="16"/>
      <c r="D156" s="138"/>
      <c r="E156" s="139"/>
      <c r="F156" s="139"/>
      <c r="G156" s="16"/>
      <c r="H156" s="1"/>
      <c r="M156" s="1"/>
      <c r="R156" s="3"/>
    </row>
    <row r="157" spans="1:22" ht="15.75">
      <c r="A157" s="1"/>
      <c r="B157" s="135"/>
      <c r="C157" s="16"/>
      <c r="D157" s="138"/>
      <c r="E157" s="139"/>
      <c r="F157" s="139"/>
      <c r="G157" s="16"/>
      <c r="H157" s="1"/>
      <c r="M157" s="1"/>
      <c r="R157" s="3"/>
    </row>
    <row r="158" spans="1:22" ht="15.75">
      <c r="A158" s="1"/>
      <c r="B158" s="135"/>
      <c r="C158" s="16"/>
      <c r="D158" s="138"/>
      <c r="E158" s="139"/>
      <c r="F158" s="139"/>
      <c r="G158" s="16"/>
      <c r="H158" s="1"/>
      <c r="M158" s="1"/>
      <c r="R158" s="3"/>
    </row>
    <row r="159" spans="1:22" ht="16.5" thickBot="1">
      <c r="A159" s="1"/>
      <c r="B159" s="136"/>
      <c r="C159" s="17"/>
      <c r="D159" s="136"/>
      <c r="E159" s="140"/>
      <c r="F159" s="140"/>
      <c r="G159" s="17"/>
      <c r="H159" s="1"/>
      <c r="M159" s="1"/>
      <c r="R159" s="3"/>
    </row>
    <row r="160" spans="1:22" ht="16.5" thickBot="1">
      <c r="A160" s="1"/>
      <c r="B160" s="136">
        <f>SUM(B146:B159)</f>
        <v>50</v>
      </c>
      <c r="C160" s="17" t="s">
        <v>53</v>
      </c>
      <c r="D160" s="136">
        <f>SUM(D146:D159)</f>
        <v>0</v>
      </c>
      <c r="E160" s="136">
        <f>SUM(E146:E159)</f>
        <v>0</v>
      </c>
      <c r="F160" s="136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3"/>
      <c r="C161" s="1"/>
      <c r="D161" s="113"/>
      <c r="E161" s="113"/>
      <c r="F161" s="113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13" t="str">
        <f>AÑO!A28</f>
        <v>Vacaciones</v>
      </c>
      <c r="C162" s="302"/>
      <c r="D162" s="302"/>
      <c r="E162" s="302"/>
      <c r="F162" s="302"/>
      <c r="G162" s="303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04"/>
      <c r="C163" s="305"/>
      <c r="D163" s="305"/>
      <c r="E163" s="305"/>
      <c r="F163" s="305"/>
      <c r="G163" s="306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14" t="s">
        <v>8</v>
      </c>
      <c r="C164" s="315"/>
      <c r="D164" s="316" t="s">
        <v>9</v>
      </c>
      <c r="E164" s="316"/>
      <c r="F164" s="316"/>
      <c r="G164" s="315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3" t="s">
        <v>30</v>
      </c>
      <c r="C165" s="25" t="s">
        <v>31</v>
      </c>
      <c r="D165" s="133" t="s">
        <v>55</v>
      </c>
      <c r="E165" s="137" t="s">
        <v>56</v>
      </c>
      <c r="F165" s="137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4">
        <v>200</v>
      </c>
      <c r="C166" s="19" t="s">
        <v>33</v>
      </c>
      <c r="D166" s="138"/>
      <c r="E166" s="139"/>
      <c r="F166" s="139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5"/>
      <c r="C167" s="16"/>
      <c r="D167" s="138"/>
      <c r="E167" s="139"/>
      <c r="F167" s="139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5"/>
      <c r="C168" s="16"/>
      <c r="D168" s="138"/>
      <c r="E168" s="139"/>
      <c r="F168" s="139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5"/>
      <c r="C169" s="16"/>
      <c r="D169" s="138"/>
      <c r="E169" s="139"/>
      <c r="F169" s="139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5"/>
      <c r="C170" s="16"/>
      <c r="D170" s="138"/>
      <c r="E170" s="139"/>
      <c r="F170" s="139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5"/>
      <c r="C171" s="16"/>
      <c r="D171" s="138"/>
      <c r="E171" s="139"/>
      <c r="F171" s="139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5"/>
      <c r="C172" s="16"/>
      <c r="D172" s="138"/>
      <c r="E172" s="139"/>
      <c r="F172" s="139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5"/>
      <c r="C173" s="16"/>
      <c r="D173" s="138"/>
      <c r="E173" s="139"/>
      <c r="F173" s="139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5"/>
      <c r="C174" s="16"/>
      <c r="D174" s="138"/>
      <c r="E174" s="139"/>
      <c r="F174" s="139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5"/>
      <c r="C175" s="16"/>
      <c r="D175" s="138"/>
      <c r="E175" s="139"/>
      <c r="F175" s="139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5"/>
      <c r="C176" s="16"/>
      <c r="D176" s="138"/>
      <c r="E176" s="139"/>
      <c r="F176" s="139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5"/>
      <c r="C177" s="16"/>
      <c r="D177" s="138"/>
      <c r="E177" s="139"/>
      <c r="F177" s="139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5"/>
      <c r="C178" s="16"/>
      <c r="D178" s="138"/>
      <c r="E178" s="139"/>
      <c r="F178" s="139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6"/>
      <c r="C179" s="17"/>
      <c r="D179" s="136"/>
      <c r="E179" s="140"/>
      <c r="F179" s="140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6">
        <f>SUM(B166:B179)</f>
        <v>200</v>
      </c>
      <c r="C180" s="17" t="s">
        <v>53</v>
      </c>
      <c r="D180" s="136">
        <f>SUM(D166:D179)</f>
        <v>0</v>
      </c>
      <c r="E180" s="136">
        <f>SUM(E166:E179)</f>
        <v>0</v>
      </c>
      <c r="F180" s="136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13" t="str">
        <f>AÑO!A29</f>
        <v>Ropa</v>
      </c>
      <c r="C182" s="302"/>
      <c r="D182" s="302"/>
      <c r="E182" s="302"/>
      <c r="F182" s="302"/>
      <c r="G182" s="30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04"/>
      <c r="C183" s="305"/>
      <c r="D183" s="305"/>
      <c r="E183" s="305"/>
      <c r="F183" s="305"/>
      <c r="G183" s="30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14" t="s">
        <v>8</v>
      </c>
      <c r="C184" s="315"/>
      <c r="D184" s="316" t="s">
        <v>9</v>
      </c>
      <c r="E184" s="316"/>
      <c r="F184" s="316"/>
      <c r="G184" s="3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3" t="s">
        <v>30</v>
      </c>
      <c r="C185" s="25" t="s">
        <v>31</v>
      </c>
      <c r="D185" s="133" t="s">
        <v>55</v>
      </c>
      <c r="E185" s="137" t="s">
        <v>56</v>
      </c>
      <c r="F185" s="137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4">
        <v>70</v>
      </c>
      <c r="C186" s="19" t="s">
        <v>180</v>
      </c>
      <c r="D186" s="138"/>
      <c r="E186" s="139"/>
      <c r="F186" s="139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5"/>
      <c r="C187" s="16"/>
      <c r="D187" s="138"/>
      <c r="E187" s="139"/>
      <c r="F187" s="139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5"/>
      <c r="C188" s="16"/>
      <c r="D188" s="138"/>
      <c r="E188" s="139"/>
      <c r="F188" s="139"/>
      <c r="G188" s="16"/>
      <c r="I188" s="1"/>
      <c r="J188" s="1"/>
      <c r="K188" s="1"/>
      <c r="L188" s="1"/>
    </row>
    <row r="189" spans="1:22" ht="15.75">
      <c r="B189" s="135"/>
      <c r="C189" s="16"/>
      <c r="D189" s="138"/>
      <c r="E189" s="139"/>
      <c r="F189" s="139"/>
      <c r="G189" s="16"/>
      <c r="I189" s="1"/>
      <c r="J189" s="1"/>
      <c r="K189" s="1"/>
      <c r="L189" s="1"/>
    </row>
    <row r="190" spans="1:22" ht="15.75">
      <c r="B190" s="135"/>
      <c r="C190" s="16"/>
      <c r="D190" s="138"/>
      <c r="E190" s="139"/>
      <c r="F190" s="139"/>
      <c r="G190" s="16"/>
      <c r="I190" s="1"/>
      <c r="J190" s="1"/>
      <c r="K190" s="1"/>
      <c r="L190" s="1"/>
    </row>
    <row r="191" spans="1:22" ht="15.75">
      <c r="B191" s="135"/>
      <c r="C191" s="16"/>
      <c r="D191" s="138"/>
      <c r="E191" s="139"/>
      <c r="F191" s="139"/>
      <c r="G191" s="16"/>
      <c r="I191" s="1"/>
      <c r="J191" s="1"/>
      <c r="K191" s="1"/>
      <c r="L191" s="1"/>
    </row>
    <row r="192" spans="1:22" ht="15.75">
      <c r="B192" s="135"/>
      <c r="C192" s="16"/>
      <c r="D192" s="138"/>
      <c r="E192" s="139"/>
      <c r="F192" s="139"/>
      <c r="G192" s="16"/>
      <c r="I192" s="1"/>
      <c r="J192" s="1"/>
      <c r="K192" s="1"/>
      <c r="L192" s="1"/>
    </row>
    <row r="193" spans="2:12" ht="15.75">
      <c r="B193" s="135"/>
      <c r="C193" s="16"/>
      <c r="D193" s="138"/>
      <c r="E193" s="139"/>
      <c r="F193" s="139"/>
      <c r="G193" s="16"/>
      <c r="I193" s="1"/>
      <c r="J193" s="1"/>
      <c r="K193" s="1"/>
      <c r="L193" s="1"/>
    </row>
    <row r="194" spans="2:12">
      <c r="B194" s="135"/>
      <c r="C194" s="16"/>
      <c r="D194" s="138"/>
      <c r="E194" s="139"/>
      <c r="F194" s="139"/>
      <c r="G194" s="16"/>
    </row>
    <row r="195" spans="2:12">
      <c r="B195" s="135"/>
      <c r="C195" s="16"/>
      <c r="D195" s="138"/>
      <c r="E195" s="139"/>
      <c r="F195" s="139"/>
      <c r="G195" s="16"/>
    </row>
    <row r="196" spans="2:12">
      <c r="B196" s="135"/>
      <c r="C196" s="16"/>
      <c r="D196" s="138"/>
      <c r="E196" s="139"/>
      <c r="F196" s="139"/>
      <c r="G196" s="16"/>
    </row>
    <row r="197" spans="2:12">
      <c r="B197" s="135"/>
      <c r="C197" s="16"/>
      <c r="D197" s="138"/>
      <c r="E197" s="139"/>
      <c r="F197" s="139"/>
      <c r="G197" s="16"/>
    </row>
    <row r="198" spans="2:12">
      <c r="B198" s="135"/>
      <c r="C198" s="16"/>
      <c r="D198" s="138"/>
      <c r="E198" s="139"/>
      <c r="F198" s="139"/>
      <c r="G198" s="16"/>
    </row>
    <row r="199" spans="2:12" ht="15.75" thickBot="1">
      <c r="B199" s="136"/>
      <c r="C199" s="17"/>
      <c r="D199" s="136"/>
      <c r="E199" s="140"/>
      <c r="F199" s="140"/>
      <c r="G199" s="17"/>
    </row>
    <row r="200" spans="2:12" ht="15.75" thickBot="1">
      <c r="B200" s="136">
        <f>SUM(B186:B199)</f>
        <v>70</v>
      </c>
      <c r="C200" s="17" t="s">
        <v>53</v>
      </c>
      <c r="D200" s="136">
        <f>SUM(D186:D199)</f>
        <v>0</v>
      </c>
      <c r="E200" s="136">
        <f>SUM(E186:E199)</f>
        <v>0</v>
      </c>
      <c r="F200" s="136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13" t="str">
        <f>AÑO!A30</f>
        <v>Belleza</v>
      </c>
      <c r="C202" s="302"/>
      <c r="D202" s="302"/>
      <c r="E202" s="302"/>
      <c r="F202" s="302"/>
      <c r="G202" s="303"/>
    </row>
    <row r="203" spans="2:12" ht="15" customHeight="1" thickBot="1">
      <c r="B203" s="304"/>
      <c r="C203" s="305"/>
      <c r="D203" s="305"/>
      <c r="E203" s="305"/>
      <c r="F203" s="305"/>
      <c r="G203" s="306"/>
    </row>
    <row r="204" spans="2:12">
      <c r="B204" s="314" t="s">
        <v>8</v>
      </c>
      <c r="C204" s="315"/>
      <c r="D204" s="316" t="s">
        <v>9</v>
      </c>
      <c r="E204" s="316"/>
      <c r="F204" s="316"/>
      <c r="G204" s="315"/>
    </row>
    <row r="205" spans="2:12">
      <c r="B205" s="133" t="s">
        <v>30</v>
      </c>
      <c r="C205" s="25" t="s">
        <v>31</v>
      </c>
      <c r="D205" s="133" t="s">
        <v>55</v>
      </c>
      <c r="E205" s="137" t="s">
        <v>56</v>
      </c>
      <c r="F205" s="137" t="s">
        <v>30</v>
      </c>
      <c r="G205" s="25" t="s">
        <v>165</v>
      </c>
    </row>
    <row r="206" spans="2:12">
      <c r="B206" s="134">
        <v>35</v>
      </c>
      <c r="C206" s="19"/>
      <c r="D206" s="138"/>
      <c r="E206" s="139"/>
      <c r="F206" s="139"/>
      <c r="G206" s="16"/>
    </row>
    <row r="207" spans="2:12">
      <c r="B207" s="135"/>
      <c r="C207" s="16"/>
      <c r="D207" s="138"/>
      <c r="E207" s="139"/>
      <c r="F207" s="139"/>
      <c r="G207" s="16"/>
    </row>
    <row r="208" spans="2:12">
      <c r="B208" s="135"/>
      <c r="C208" s="16"/>
      <c r="D208" s="138"/>
      <c r="E208" s="139"/>
      <c r="F208" s="139"/>
      <c r="G208" s="16"/>
    </row>
    <row r="209" spans="2:7">
      <c r="B209" s="135"/>
      <c r="C209" s="16"/>
      <c r="D209" s="138"/>
      <c r="E209" s="139"/>
      <c r="F209" s="139"/>
      <c r="G209" s="16"/>
    </row>
    <row r="210" spans="2:7">
      <c r="B210" s="135"/>
      <c r="C210" s="16"/>
      <c r="D210" s="138"/>
      <c r="E210" s="139"/>
      <c r="F210" s="139"/>
      <c r="G210" s="16"/>
    </row>
    <row r="211" spans="2:7">
      <c r="B211" s="135"/>
      <c r="C211" s="16"/>
      <c r="D211" s="138"/>
      <c r="E211" s="139"/>
      <c r="F211" s="139"/>
      <c r="G211" s="16"/>
    </row>
    <row r="212" spans="2:7">
      <c r="B212" s="135"/>
      <c r="C212" s="16"/>
      <c r="D212" s="138"/>
      <c r="E212" s="139"/>
      <c r="F212" s="139"/>
      <c r="G212" s="16"/>
    </row>
    <row r="213" spans="2:7">
      <c r="B213" s="135"/>
      <c r="C213" s="16"/>
      <c r="D213" s="138"/>
      <c r="E213" s="139"/>
      <c r="F213" s="139"/>
      <c r="G213" s="16"/>
    </row>
    <row r="214" spans="2:7">
      <c r="B214" s="135"/>
      <c r="C214" s="16"/>
      <c r="D214" s="138"/>
      <c r="E214" s="139"/>
      <c r="F214" s="139"/>
      <c r="G214" s="16"/>
    </row>
    <row r="215" spans="2:7">
      <c r="B215" s="135"/>
      <c r="C215" s="16"/>
      <c r="D215" s="138"/>
      <c r="E215" s="139"/>
      <c r="F215" s="139"/>
      <c r="G215" s="16"/>
    </row>
    <row r="216" spans="2:7">
      <c r="B216" s="135"/>
      <c r="C216" s="16"/>
      <c r="D216" s="138"/>
      <c r="E216" s="139"/>
      <c r="F216" s="139"/>
      <c r="G216" s="16"/>
    </row>
    <row r="217" spans="2:7">
      <c r="B217" s="135"/>
      <c r="C217" s="16"/>
      <c r="D217" s="138"/>
      <c r="E217" s="139"/>
      <c r="F217" s="139"/>
      <c r="G217" s="16"/>
    </row>
    <row r="218" spans="2:7">
      <c r="B218" s="135"/>
      <c r="C218" s="16"/>
      <c r="D218" s="138"/>
      <c r="E218" s="139"/>
      <c r="F218" s="139"/>
      <c r="G218" s="16"/>
    </row>
    <row r="219" spans="2:7" ht="15.75" thickBot="1">
      <c r="B219" s="136"/>
      <c r="C219" s="17"/>
      <c r="D219" s="136"/>
      <c r="E219" s="140"/>
      <c r="F219" s="140"/>
      <c r="G219" s="17"/>
    </row>
    <row r="220" spans="2:7" ht="15.75" thickBot="1">
      <c r="B220" s="136">
        <f>SUM(B206:B219)</f>
        <v>35</v>
      </c>
      <c r="C220" s="17" t="s">
        <v>53</v>
      </c>
      <c r="D220" s="136">
        <f>SUM(D206:D219)</f>
        <v>0</v>
      </c>
      <c r="E220" s="136">
        <f>SUM(E206:E219)</f>
        <v>0</v>
      </c>
      <c r="F220" s="136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13" t="str">
        <f>AÑO!A31</f>
        <v>Deportes</v>
      </c>
      <c r="C222" s="302"/>
      <c r="D222" s="302"/>
      <c r="E222" s="302"/>
      <c r="F222" s="302"/>
      <c r="G222" s="303"/>
    </row>
    <row r="223" spans="2:7" ht="15" customHeight="1" thickBot="1">
      <c r="B223" s="304"/>
      <c r="C223" s="305"/>
      <c r="D223" s="305"/>
      <c r="E223" s="305"/>
      <c r="F223" s="305"/>
      <c r="G223" s="306"/>
    </row>
    <row r="224" spans="2:7">
      <c r="B224" s="314" t="s">
        <v>8</v>
      </c>
      <c r="C224" s="315"/>
      <c r="D224" s="316" t="s">
        <v>9</v>
      </c>
      <c r="E224" s="316"/>
      <c r="F224" s="316"/>
      <c r="G224" s="315"/>
    </row>
    <row r="225" spans="2:7">
      <c r="B225" s="133" t="s">
        <v>30</v>
      </c>
      <c r="C225" s="25" t="s">
        <v>31</v>
      </c>
      <c r="D225" s="133" t="s">
        <v>55</v>
      </c>
      <c r="E225" s="137" t="s">
        <v>56</v>
      </c>
      <c r="F225" s="137" t="s">
        <v>30</v>
      </c>
      <c r="G225" s="25" t="s">
        <v>31</v>
      </c>
    </row>
    <row r="226" spans="2:7">
      <c r="B226" s="134">
        <v>20</v>
      </c>
      <c r="C226" s="19" t="s">
        <v>43</v>
      </c>
      <c r="D226" s="138"/>
      <c r="E226" s="139"/>
      <c r="F226" s="139"/>
      <c r="G226" s="16" t="s">
        <v>43</v>
      </c>
    </row>
    <row r="227" spans="2:7">
      <c r="B227" s="135"/>
      <c r="C227" s="16" t="s">
        <v>42</v>
      </c>
      <c r="D227" s="138"/>
      <c r="E227" s="139"/>
      <c r="F227" s="139"/>
      <c r="G227" s="16"/>
    </row>
    <row r="228" spans="2:7">
      <c r="B228" s="135"/>
      <c r="C228" s="16"/>
      <c r="D228" s="138"/>
      <c r="E228" s="139"/>
      <c r="F228" s="139"/>
      <c r="G228" s="16"/>
    </row>
    <row r="229" spans="2:7">
      <c r="B229" s="135"/>
      <c r="C229" s="16"/>
      <c r="D229" s="138"/>
      <c r="E229" s="139"/>
      <c r="F229" s="139"/>
      <c r="G229" s="16"/>
    </row>
    <row r="230" spans="2:7">
      <c r="B230" s="135"/>
      <c r="C230" s="16"/>
      <c r="D230" s="138"/>
      <c r="E230" s="139"/>
      <c r="F230" s="139"/>
      <c r="G230" s="16"/>
    </row>
    <row r="231" spans="2:7">
      <c r="B231" s="135"/>
      <c r="C231" s="16"/>
      <c r="D231" s="138"/>
      <c r="E231" s="139"/>
      <c r="F231" s="139"/>
      <c r="G231" s="16"/>
    </row>
    <row r="232" spans="2:7">
      <c r="B232" s="135"/>
      <c r="C232" s="16"/>
      <c r="D232" s="138"/>
      <c r="E232" s="139"/>
      <c r="F232" s="139"/>
      <c r="G232" s="16"/>
    </row>
    <row r="233" spans="2:7">
      <c r="B233" s="135"/>
      <c r="C233" s="16"/>
      <c r="D233" s="138"/>
      <c r="E233" s="139"/>
      <c r="F233" s="139"/>
      <c r="G233" s="16"/>
    </row>
    <row r="234" spans="2:7">
      <c r="B234" s="135"/>
      <c r="C234" s="16"/>
      <c r="D234" s="138"/>
      <c r="E234" s="139"/>
      <c r="F234" s="139"/>
      <c r="G234" s="16"/>
    </row>
    <row r="235" spans="2:7">
      <c r="B235" s="135"/>
      <c r="C235" s="16"/>
      <c r="D235" s="138"/>
      <c r="E235" s="139"/>
      <c r="F235" s="139"/>
      <c r="G235" s="16"/>
    </row>
    <row r="236" spans="2:7">
      <c r="B236" s="135"/>
      <c r="C236" s="16"/>
      <c r="D236" s="138"/>
      <c r="E236" s="139"/>
      <c r="F236" s="139"/>
      <c r="G236" s="16"/>
    </row>
    <row r="237" spans="2:7">
      <c r="B237" s="135"/>
      <c r="C237" s="16"/>
      <c r="D237" s="138"/>
      <c r="E237" s="139"/>
      <c r="F237" s="139"/>
      <c r="G237" s="16"/>
    </row>
    <row r="238" spans="2:7">
      <c r="B238" s="135"/>
      <c r="C238" s="16"/>
      <c r="D238" s="138"/>
      <c r="E238" s="139"/>
      <c r="F238" s="139"/>
      <c r="G238" s="16"/>
    </row>
    <row r="239" spans="2:7" ht="15.75" thickBot="1">
      <c r="B239" s="136"/>
      <c r="C239" s="17"/>
      <c r="D239" s="136"/>
      <c r="E239" s="140"/>
      <c r="F239" s="140"/>
      <c r="G239" s="17"/>
    </row>
    <row r="240" spans="2:7" ht="15.75" thickBot="1">
      <c r="B240" s="136">
        <f>SUM(B226:B239)</f>
        <v>20</v>
      </c>
      <c r="C240" s="17" t="s">
        <v>53</v>
      </c>
      <c r="D240" s="136">
        <f>SUM(D226:D239)</f>
        <v>0</v>
      </c>
      <c r="E240" s="136">
        <f>SUM(E226:E239)</f>
        <v>0</v>
      </c>
      <c r="F240" s="136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13" t="str">
        <f>AÑO!A32</f>
        <v>Hogar</v>
      </c>
      <c r="C242" s="302"/>
      <c r="D242" s="302"/>
      <c r="E242" s="302"/>
      <c r="F242" s="302"/>
      <c r="G242" s="303"/>
    </row>
    <row r="243" spans="2:7" ht="15" customHeight="1" thickBot="1">
      <c r="B243" s="304"/>
      <c r="C243" s="305"/>
      <c r="D243" s="305"/>
      <c r="E243" s="305"/>
      <c r="F243" s="305"/>
      <c r="G243" s="306"/>
    </row>
    <row r="244" spans="2:7" ht="15" customHeight="1">
      <c r="B244" s="314" t="s">
        <v>8</v>
      </c>
      <c r="C244" s="315"/>
      <c r="D244" s="316" t="s">
        <v>9</v>
      </c>
      <c r="E244" s="316"/>
      <c r="F244" s="316"/>
      <c r="G244" s="315"/>
    </row>
    <row r="245" spans="2:7" ht="15" customHeight="1">
      <c r="B245" s="133" t="s">
        <v>30</v>
      </c>
      <c r="C245" s="25" t="s">
        <v>31</v>
      </c>
      <c r="D245" s="133" t="s">
        <v>55</v>
      </c>
      <c r="E245" s="137" t="s">
        <v>56</v>
      </c>
      <c r="F245" s="137" t="s">
        <v>30</v>
      </c>
      <c r="G245" s="25" t="s">
        <v>165</v>
      </c>
    </row>
    <row r="246" spans="2:7" ht="15" customHeight="1">
      <c r="B246" s="135">
        <v>50</v>
      </c>
      <c r="C246" s="28"/>
      <c r="D246" s="138"/>
      <c r="E246" s="139"/>
      <c r="F246" s="139"/>
      <c r="G246" s="16"/>
    </row>
    <row r="247" spans="2:7" ht="15" customHeight="1">
      <c r="B247" s="135"/>
      <c r="C247" s="16"/>
      <c r="D247" s="138"/>
      <c r="E247" s="139"/>
      <c r="F247" s="139"/>
      <c r="G247" s="16"/>
    </row>
    <row r="248" spans="2:7">
      <c r="B248" s="135"/>
      <c r="C248" s="16"/>
      <c r="D248" s="138"/>
      <c r="E248" s="139"/>
      <c r="F248" s="139"/>
      <c r="G248" s="16"/>
    </row>
    <row r="249" spans="2:7">
      <c r="B249" s="135"/>
      <c r="C249" s="16"/>
      <c r="D249" s="138"/>
      <c r="E249" s="139"/>
      <c r="F249" s="139"/>
      <c r="G249" s="16"/>
    </row>
    <row r="250" spans="2:7">
      <c r="B250" s="135"/>
      <c r="C250" s="16"/>
      <c r="D250" s="138"/>
      <c r="E250" s="139"/>
      <c r="F250" s="139"/>
      <c r="G250" s="16"/>
    </row>
    <row r="251" spans="2:7">
      <c r="B251" s="135"/>
      <c r="C251" s="16"/>
      <c r="D251" s="138"/>
      <c r="E251" s="139"/>
      <c r="F251" s="139"/>
      <c r="G251" s="16"/>
    </row>
    <row r="252" spans="2:7">
      <c r="B252" s="135"/>
      <c r="C252" s="16"/>
      <c r="D252" s="138"/>
      <c r="E252" s="139"/>
      <c r="F252" s="139"/>
      <c r="G252" s="16"/>
    </row>
    <row r="253" spans="2:7">
      <c r="B253" s="135"/>
      <c r="C253" s="16"/>
      <c r="D253" s="138"/>
      <c r="E253" s="139"/>
      <c r="F253" s="139"/>
      <c r="G253" s="16"/>
    </row>
    <row r="254" spans="2:7">
      <c r="B254" s="135"/>
      <c r="C254" s="16"/>
      <c r="D254" s="138"/>
      <c r="E254" s="139"/>
      <c r="F254" s="139"/>
      <c r="G254" s="16"/>
    </row>
    <row r="255" spans="2:7">
      <c r="B255" s="135"/>
      <c r="C255" s="16"/>
      <c r="D255" s="138"/>
      <c r="E255" s="139"/>
      <c r="F255" s="139"/>
      <c r="G255" s="16"/>
    </row>
    <row r="256" spans="2:7">
      <c r="B256" s="135"/>
      <c r="C256" s="16"/>
      <c r="D256" s="138"/>
      <c r="E256" s="139"/>
      <c r="F256" s="139"/>
      <c r="G256" s="16"/>
    </row>
    <row r="257" spans="2:7">
      <c r="B257" s="135"/>
      <c r="C257" s="16"/>
      <c r="D257" s="138"/>
      <c r="E257" s="139"/>
      <c r="F257" s="139"/>
      <c r="G257" s="16"/>
    </row>
    <row r="258" spans="2:7">
      <c r="B258" s="135"/>
      <c r="C258" s="16"/>
      <c r="D258" s="138"/>
      <c r="E258" s="139"/>
      <c r="F258" s="139"/>
      <c r="G258" s="16"/>
    </row>
    <row r="259" spans="2:7" ht="15.75" thickBot="1">
      <c r="B259" s="136"/>
      <c r="C259" s="17"/>
      <c r="D259" s="136"/>
      <c r="E259" s="140"/>
      <c r="F259" s="140"/>
      <c r="G259" s="17"/>
    </row>
    <row r="260" spans="2:7" ht="15.75" thickBot="1">
      <c r="B260" s="136">
        <f>SUM(B246:B259)</f>
        <v>50</v>
      </c>
      <c r="C260" s="17" t="s">
        <v>53</v>
      </c>
      <c r="D260" s="136">
        <f>SUM(D246:D259)</f>
        <v>0</v>
      </c>
      <c r="E260" s="136">
        <f>SUM(E246:E259)</f>
        <v>0</v>
      </c>
      <c r="F260" s="136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13" t="str">
        <f>AÑO!A33</f>
        <v>Formación</v>
      </c>
      <c r="C262" s="302"/>
      <c r="D262" s="302"/>
      <c r="E262" s="302"/>
      <c r="F262" s="302"/>
      <c r="G262" s="303"/>
    </row>
    <row r="263" spans="2:7" ht="15" customHeight="1" thickBot="1">
      <c r="B263" s="304"/>
      <c r="C263" s="305"/>
      <c r="D263" s="305"/>
      <c r="E263" s="305"/>
      <c r="F263" s="305"/>
      <c r="G263" s="306"/>
    </row>
    <row r="264" spans="2:7">
      <c r="B264" s="314" t="s">
        <v>8</v>
      </c>
      <c r="C264" s="315"/>
      <c r="D264" s="316" t="s">
        <v>9</v>
      </c>
      <c r="E264" s="316"/>
      <c r="F264" s="316"/>
      <c r="G264" s="315"/>
    </row>
    <row r="265" spans="2:7">
      <c r="B265" s="133" t="s">
        <v>30</v>
      </c>
      <c r="C265" s="25" t="s">
        <v>31</v>
      </c>
      <c r="D265" s="133" t="s">
        <v>55</v>
      </c>
      <c r="E265" s="137" t="s">
        <v>56</v>
      </c>
      <c r="F265" s="137" t="s">
        <v>30</v>
      </c>
      <c r="G265" s="25" t="s">
        <v>31</v>
      </c>
    </row>
    <row r="266" spans="2:7">
      <c r="B266" s="134">
        <v>50</v>
      </c>
      <c r="C266" s="19"/>
      <c r="D266" s="138"/>
      <c r="E266" s="139"/>
      <c r="F266" s="139"/>
      <c r="G266" s="16"/>
    </row>
    <row r="267" spans="2:7">
      <c r="B267" s="135"/>
      <c r="C267" s="16"/>
      <c r="D267" s="138"/>
      <c r="E267" s="139"/>
      <c r="F267" s="139"/>
      <c r="G267" s="16"/>
    </row>
    <row r="268" spans="2:7">
      <c r="B268" s="135"/>
      <c r="C268" s="16"/>
      <c r="D268" s="138"/>
      <c r="E268" s="139"/>
      <c r="F268" s="139"/>
      <c r="G268" s="16"/>
    </row>
    <row r="269" spans="2:7">
      <c r="B269" s="135"/>
      <c r="C269" s="16"/>
      <c r="D269" s="138"/>
      <c r="E269" s="139"/>
      <c r="F269" s="139"/>
      <c r="G269" s="16"/>
    </row>
    <row r="270" spans="2:7">
      <c r="B270" s="135"/>
      <c r="C270" s="16"/>
      <c r="D270" s="138"/>
      <c r="E270" s="139"/>
      <c r="F270" s="139"/>
      <c r="G270" s="16"/>
    </row>
    <row r="271" spans="2:7">
      <c r="B271" s="135"/>
      <c r="C271" s="16"/>
      <c r="D271" s="138"/>
      <c r="E271" s="139"/>
      <c r="F271" s="139"/>
      <c r="G271" s="16"/>
    </row>
    <row r="272" spans="2:7">
      <c r="B272" s="135"/>
      <c r="C272" s="16"/>
      <c r="D272" s="138"/>
      <c r="E272" s="139"/>
      <c r="F272" s="139"/>
      <c r="G272" s="16"/>
    </row>
    <row r="273" spans="2:8">
      <c r="B273" s="135"/>
      <c r="C273" s="16"/>
      <c r="D273" s="138"/>
      <c r="E273" s="139"/>
      <c r="F273" s="139"/>
      <c r="G273" s="16"/>
    </row>
    <row r="274" spans="2:8">
      <c r="B274" s="135"/>
      <c r="C274" s="16"/>
      <c r="D274" s="138"/>
      <c r="E274" s="139"/>
      <c r="F274" s="139"/>
      <c r="G274" s="16"/>
    </row>
    <row r="275" spans="2:8">
      <c r="B275" s="135"/>
      <c r="C275" s="16"/>
      <c r="D275" s="138"/>
      <c r="E275" s="139"/>
      <c r="F275" s="139"/>
      <c r="G275" s="16"/>
    </row>
    <row r="276" spans="2:8">
      <c r="B276" s="135"/>
      <c r="C276" s="16"/>
      <c r="D276" s="138"/>
      <c r="E276" s="139"/>
      <c r="F276" s="139"/>
      <c r="G276" s="16"/>
    </row>
    <row r="277" spans="2:8">
      <c r="B277" s="135"/>
      <c r="C277" s="16"/>
      <c r="D277" s="138"/>
      <c r="E277" s="139"/>
      <c r="F277" s="139"/>
      <c r="G277" s="16"/>
    </row>
    <row r="278" spans="2:8">
      <c r="B278" s="135"/>
      <c r="C278" s="16"/>
      <c r="D278" s="138"/>
      <c r="E278" s="139"/>
      <c r="F278" s="139"/>
      <c r="G278" s="16"/>
    </row>
    <row r="279" spans="2:8" ht="15.75" thickBot="1">
      <c r="B279" s="136"/>
      <c r="C279" s="17"/>
      <c r="D279" s="136"/>
      <c r="E279" s="140"/>
      <c r="F279" s="140"/>
      <c r="G279" s="17"/>
    </row>
    <row r="280" spans="2:8" ht="15.75" thickBot="1">
      <c r="B280" s="136">
        <f>SUM(B266:B279)</f>
        <v>50</v>
      </c>
      <c r="C280" s="17" t="s">
        <v>53</v>
      </c>
      <c r="D280" s="136">
        <f>SUM(D266:D279)</f>
        <v>0</v>
      </c>
      <c r="E280" s="136">
        <f>SUM(E266:E279)</f>
        <v>0</v>
      </c>
      <c r="F280" s="136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13" t="str">
        <f>AÑO!A34</f>
        <v>Regalos</v>
      </c>
      <c r="C282" s="302"/>
      <c r="D282" s="302"/>
      <c r="E282" s="302"/>
      <c r="F282" s="302"/>
      <c r="G282" s="303"/>
    </row>
    <row r="283" spans="2:8" ht="15" customHeight="1" thickBot="1">
      <c r="B283" s="304"/>
      <c r="C283" s="305"/>
      <c r="D283" s="305"/>
      <c r="E283" s="305"/>
      <c r="F283" s="305"/>
      <c r="G283" s="306"/>
    </row>
    <row r="284" spans="2:8">
      <c r="B284" s="314" t="s">
        <v>8</v>
      </c>
      <c r="C284" s="315"/>
      <c r="D284" s="316" t="s">
        <v>9</v>
      </c>
      <c r="E284" s="316"/>
      <c r="F284" s="316"/>
      <c r="G284" s="315"/>
    </row>
    <row r="285" spans="2:8">
      <c r="B285" s="133" t="s">
        <v>30</v>
      </c>
      <c r="C285" s="25" t="s">
        <v>31</v>
      </c>
      <c r="D285" s="133" t="s">
        <v>55</v>
      </c>
      <c r="E285" s="137" t="s">
        <v>56</v>
      </c>
      <c r="F285" s="137" t="s">
        <v>30</v>
      </c>
      <c r="G285" s="25" t="s">
        <v>165</v>
      </c>
    </row>
    <row r="286" spans="2:8">
      <c r="B286" s="134">
        <v>90</v>
      </c>
      <c r="C286" s="19" t="s">
        <v>33</v>
      </c>
      <c r="D286" s="138"/>
      <c r="E286" s="139"/>
      <c r="F286" s="139"/>
      <c r="G286" s="16"/>
    </row>
    <row r="287" spans="2:8">
      <c r="B287" s="135"/>
      <c r="C287" s="16"/>
      <c r="D287" s="138"/>
      <c r="E287" s="139"/>
      <c r="F287" s="139"/>
      <c r="G287" s="16"/>
      <c r="H287" s="93"/>
    </row>
    <row r="288" spans="2:8">
      <c r="B288" s="135"/>
      <c r="C288" s="16"/>
      <c r="D288" s="138"/>
      <c r="E288" s="139"/>
      <c r="F288" s="139"/>
      <c r="G288" s="16"/>
    </row>
    <row r="289" spans="2:8">
      <c r="B289" s="135"/>
      <c r="C289" s="16"/>
      <c r="D289" s="138"/>
      <c r="E289" s="139"/>
      <c r="F289" s="139"/>
      <c r="G289" s="16"/>
    </row>
    <row r="290" spans="2:8">
      <c r="B290" s="135"/>
      <c r="C290" s="16"/>
      <c r="D290" s="138"/>
      <c r="E290" s="139"/>
      <c r="F290" s="139"/>
      <c r="G290" s="16"/>
    </row>
    <row r="291" spans="2:8">
      <c r="B291" s="135"/>
      <c r="C291" s="16"/>
      <c r="D291" s="138"/>
      <c r="E291" s="139"/>
      <c r="F291" s="139"/>
      <c r="G291" s="16"/>
    </row>
    <row r="292" spans="2:8">
      <c r="B292" s="135"/>
      <c r="C292" s="16"/>
      <c r="D292" s="138"/>
      <c r="E292" s="139"/>
      <c r="F292" s="139"/>
      <c r="G292" s="16"/>
      <c r="H292" s="93"/>
    </row>
    <row r="293" spans="2:8">
      <c r="B293" s="135"/>
      <c r="C293" s="16"/>
      <c r="D293" s="138"/>
      <c r="E293" s="139"/>
      <c r="F293" s="139"/>
      <c r="G293" s="16"/>
    </row>
    <row r="294" spans="2:8">
      <c r="B294" s="135"/>
      <c r="C294" s="16"/>
      <c r="D294" s="138"/>
      <c r="E294" s="139"/>
      <c r="F294" s="139"/>
      <c r="G294" s="16"/>
    </row>
    <row r="295" spans="2:8">
      <c r="B295" s="135"/>
      <c r="C295" s="16"/>
      <c r="D295" s="138"/>
      <c r="E295" s="139"/>
      <c r="F295" s="139"/>
      <c r="G295" s="16"/>
    </row>
    <row r="296" spans="2:8">
      <c r="B296" s="135"/>
      <c r="C296" s="16"/>
      <c r="D296" s="138"/>
      <c r="E296" s="139"/>
      <c r="F296" s="139"/>
      <c r="G296" s="16"/>
      <c r="H296" s="93"/>
    </row>
    <row r="297" spans="2:8">
      <c r="B297" s="135"/>
      <c r="C297" s="16"/>
      <c r="D297" s="138"/>
      <c r="E297" s="139"/>
      <c r="F297" s="139"/>
      <c r="G297" s="16"/>
    </row>
    <row r="298" spans="2:8">
      <c r="B298" s="135"/>
      <c r="C298" s="16"/>
      <c r="D298" s="138"/>
      <c r="E298" s="139"/>
      <c r="F298" s="139"/>
      <c r="G298" s="16"/>
    </row>
    <row r="299" spans="2:8" ht="15.75" thickBot="1">
      <c r="B299" s="136"/>
      <c r="C299" s="17"/>
      <c r="D299" s="136"/>
      <c r="E299" s="140"/>
      <c r="F299" s="140"/>
      <c r="G299" s="17"/>
    </row>
    <row r="300" spans="2:8" ht="15.75" thickBot="1">
      <c r="B300" s="136">
        <f>SUM(B286:B299)</f>
        <v>90</v>
      </c>
      <c r="C300" s="17" t="s">
        <v>53</v>
      </c>
      <c r="D300" s="136">
        <f>SUM(D286:D299)</f>
        <v>0</v>
      </c>
      <c r="E300" s="136">
        <f>SUM(E286:E299)</f>
        <v>0</v>
      </c>
      <c r="F300" s="136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13" t="str">
        <f>AÑO!A35</f>
        <v>Salud</v>
      </c>
      <c r="C302" s="302"/>
      <c r="D302" s="302"/>
      <c r="E302" s="302"/>
      <c r="F302" s="302"/>
      <c r="G302" s="303"/>
    </row>
    <row r="303" spans="2:8" ht="15" customHeight="1" thickBot="1">
      <c r="B303" s="304"/>
      <c r="C303" s="305"/>
      <c r="D303" s="305"/>
      <c r="E303" s="305"/>
      <c r="F303" s="305"/>
      <c r="G303" s="306"/>
    </row>
    <row r="304" spans="2:8">
      <c r="B304" s="314" t="s">
        <v>8</v>
      </c>
      <c r="C304" s="315"/>
      <c r="D304" s="316" t="s">
        <v>9</v>
      </c>
      <c r="E304" s="316"/>
      <c r="F304" s="316"/>
      <c r="G304" s="315"/>
    </row>
    <row r="305" spans="2:7">
      <c r="B305" s="133" t="s">
        <v>30</v>
      </c>
      <c r="C305" s="25" t="s">
        <v>31</v>
      </c>
      <c r="D305" s="133" t="s">
        <v>55</v>
      </c>
      <c r="E305" s="137" t="s">
        <v>56</v>
      </c>
      <c r="F305" s="137" t="s">
        <v>30</v>
      </c>
      <c r="G305" s="25" t="s">
        <v>165</v>
      </c>
    </row>
    <row r="306" spans="2:7">
      <c r="B306" s="134">
        <v>100</v>
      </c>
      <c r="C306" s="19" t="s">
        <v>175</v>
      </c>
      <c r="D306" s="138"/>
      <c r="E306" s="139"/>
      <c r="F306" s="139"/>
      <c r="G306" s="16"/>
    </row>
    <row r="307" spans="2:7">
      <c r="B307" s="135">
        <v>15</v>
      </c>
      <c r="C307" s="28"/>
      <c r="D307" s="138"/>
      <c r="E307" s="139"/>
      <c r="F307" s="139"/>
      <c r="G307" s="16"/>
    </row>
    <row r="308" spans="2:7">
      <c r="B308" s="135"/>
      <c r="C308" s="28"/>
      <c r="D308" s="138"/>
      <c r="E308" s="139"/>
      <c r="F308" s="139"/>
      <c r="G308" s="16"/>
    </row>
    <row r="309" spans="2:7">
      <c r="B309" s="135"/>
      <c r="C309" s="16"/>
      <c r="D309" s="138"/>
      <c r="E309" s="139"/>
      <c r="F309" s="139"/>
      <c r="G309" s="16"/>
    </row>
    <row r="310" spans="2:7">
      <c r="B310" s="135"/>
      <c r="C310" s="16"/>
      <c r="D310" s="138"/>
      <c r="E310" s="139"/>
      <c r="F310" s="139"/>
      <c r="G310" s="16"/>
    </row>
    <row r="311" spans="2:7">
      <c r="B311" s="135"/>
      <c r="C311" s="16"/>
      <c r="D311" s="138"/>
      <c r="E311" s="139"/>
      <c r="F311" s="139"/>
      <c r="G311" s="16"/>
    </row>
    <row r="312" spans="2:7">
      <c r="B312" s="135"/>
      <c r="C312" s="16"/>
      <c r="D312" s="138"/>
      <c r="E312" s="139"/>
      <c r="F312" s="139"/>
      <c r="G312" s="16"/>
    </row>
    <row r="313" spans="2:7">
      <c r="B313" s="135"/>
      <c r="C313" s="16"/>
      <c r="D313" s="138"/>
      <c r="E313" s="139"/>
      <c r="F313" s="139"/>
      <c r="G313" s="16"/>
    </row>
    <row r="314" spans="2:7">
      <c r="B314" s="135"/>
      <c r="C314" s="16"/>
      <c r="D314" s="138"/>
      <c r="E314" s="139"/>
      <c r="F314" s="139"/>
      <c r="G314" s="16"/>
    </row>
    <row r="315" spans="2:7">
      <c r="B315" s="135"/>
      <c r="C315" s="16"/>
      <c r="D315" s="138"/>
      <c r="E315" s="139"/>
      <c r="F315" s="139"/>
      <c r="G315" s="16"/>
    </row>
    <row r="316" spans="2:7">
      <c r="B316" s="135"/>
      <c r="C316" s="16"/>
      <c r="D316" s="138"/>
      <c r="E316" s="139"/>
      <c r="F316" s="139"/>
      <c r="G316" s="16"/>
    </row>
    <row r="317" spans="2:7">
      <c r="B317" s="135"/>
      <c r="C317" s="16"/>
      <c r="D317" s="138"/>
      <c r="E317" s="139"/>
      <c r="F317" s="139"/>
      <c r="G317" s="16"/>
    </row>
    <row r="318" spans="2:7">
      <c r="B318" s="135"/>
      <c r="C318" s="16"/>
      <c r="D318" s="138"/>
      <c r="E318" s="139"/>
      <c r="F318" s="139"/>
      <c r="G318" s="16"/>
    </row>
    <row r="319" spans="2:7" ht="15.75" thickBot="1">
      <c r="B319" s="136"/>
      <c r="C319" s="17"/>
      <c r="D319" s="136"/>
      <c r="E319" s="140"/>
      <c r="F319" s="140"/>
      <c r="G319" s="17"/>
    </row>
    <row r="320" spans="2:7" ht="15.75" thickBot="1">
      <c r="B320" s="136">
        <f>SUM(B306:B319)</f>
        <v>115</v>
      </c>
      <c r="C320" s="17" t="s">
        <v>53</v>
      </c>
      <c r="D320" s="136">
        <f>SUM(D306:D319)</f>
        <v>0</v>
      </c>
      <c r="E320" s="136">
        <f>SUM(E306:E319)</f>
        <v>0</v>
      </c>
      <c r="F320" s="136">
        <f>SUM(F306:F319)</f>
        <v>0</v>
      </c>
      <c r="G320" s="17" t="s">
        <v>53</v>
      </c>
    </row>
    <row r="321" spans="2:7" ht="15.75" thickBot="1"/>
    <row r="322" spans="2:7" ht="14.45" customHeight="1">
      <c r="B322" s="313" t="str">
        <f>AÑO!A36</f>
        <v>Martina</v>
      </c>
      <c r="C322" s="302"/>
      <c r="D322" s="302"/>
      <c r="E322" s="302"/>
      <c r="F322" s="302"/>
      <c r="G322" s="303"/>
    </row>
    <row r="323" spans="2:7" ht="15" customHeight="1" thickBot="1">
      <c r="B323" s="304"/>
      <c r="C323" s="305"/>
      <c r="D323" s="305"/>
      <c r="E323" s="305"/>
      <c r="F323" s="305"/>
      <c r="G323" s="306"/>
    </row>
    <row r="324" spans="2:7">
      <c r="B324" s="314" t="s">
        <v>8</v>
      </c>
      <c r="C324" s="315"/>
      <c r="D324" s="316" t="s">
        <v>9</v>
      </c>
      <c r="E324" s="316"/>
      <c r="F324" s="316"/>
      <c r="G324" s="315"/>
    </row>
    <row r="325" spans="2:7">
      <c r="B325" s="133" t="s">
        <v>30</v>
      </c>
      <c r="C325" s="25" t="s">
        <v>31</v>
      </c>
      <c r="D325" s="133" t="s">
        <v>55</v>
      </c>
      <c r="E325" s="137" t="s">
        <v>56</v>
      </c>
      <c r="F325" s="137" t="s">
        <v>30</v>
      </c>
      <c r="G325" s="25" t="s">
        <v>165</v>
      </c>
    </row>
    <row r="326" spans="2:7">
      <c r="B326" s="134">
        <v>90</v>
      </c>
      <c r="C326" s="19"/>
      <c r="D326" s="138"/>
      <c r="E326" s="139"/>
      <c r="F326" s="139"/>
      <c r="G326" s="16"/>
    </row>
    <row r="327" spans="2:7">
      <c r="B327" s="135"/>
      <c r="C327" s="16"/>
      <c r="D327" s="138"/>
      <c r="E327" s="139"/>
      <c r="F327" s="139"/>
      <c r="G327" s="16"/>
    </row>
    <row r="328" spans="2:7">
      <c r="B328" s="135"/>
      <c r="C328" s="16"/>
      <c r="D328" s="138"/>
      <c r="E328" s="139"/>
      <c r="F328" s="139"/>
      <c r="G328" s="16"/>
    </row>
    <row r="329" spans="2:7">
      <c r="B329" s="135"/>
      <c r="C329" s="16"/>
      <c r="D329" s="138"/>
      <c r="E329" s="139"/>
      <c r="F329" s="139"/>
      <c r="G329" s="16"/>
    </row>
    <row r="330" spans="2:7">
      <c r="B330" s="135"/>
      <c r="C330" s="16"/>
      <c r="D330" s="138"/>
      <c r="E330" s="139"/>
      <c r="F330" s="139"/>
      <c r="G330" s="16"/>
    </row>
    <row r="331" spans="2:7">
      <c r="B331" s="135"/>
      <c r="C331" s="16"/>
      <c r="D331" s="138"/>
      <c r="E331" s="139"/>
      <c r="F331" s="139"/>
      <c r="G331" s="16"/>
    </row>
    <row r="332" spans="2:7">
      <c r="B332" s="135"/>
      <c r="C332" s="16"/>
      <c r="D332" s="138"/>
      <c r="E332" s="139"/>
      <c r="F332" s="139"/>
      <c r="G332" s="16"/>
    </row>
    <row r="333" spans="2:7">
      <c r="B333" s="135"/>
      <c r="C333" s="16"/>
      <c r="D333" s="138"/>
      <c r="E333" s="139"/>
      <c r="F333" s="139"/>
      <c r="G333" s="16"/>
    </row>
    <row r="334" spans="2:7">
      <c r="B334" s="135"/>
      <c r="C334" s="16"/>
      <c r="D334" s="138"/>
      <c r="E334" s="139"/>
      <c r="F334" s="139"/>
      <c r="G334" s="16"/>
    </row>
    <row r="335" spans="2:7">
      <c r="B335" s="135"/>
      <c r="C335" s="16"/>
      <c r="D335" s="138"/>
      <c r="E335" s="139"/>
      <c r="F335" s="139"/>
      <c r="G335" s="16"/>
    </row>
    <row r="336" spans="2:7">
      <c r="B336" s="135"/>
      <c r="C336" s="16"/>
      <c r="D336" s="138"/>
      <c r="E336" s="139"/>
      <c r="F336" s="139"/>
      <c r="G336" s="16"/>
    </row>
    <row r="337" spans="2:7">
      <c r="B337" s="135"/>
      <c r="C337" s="16"/>
      <c r="D337" s="138"/>
      <c r="E337" s="139"/>
      <c r="F337" s="139"/>
      <c r="G337" s="16"/>
    </row>
    <row r="338" spans="2:7">
      <c r="B338" s="135"/>
      <c r="C338" s="16"/>
      <c r="D338" s="138"/>
      <c r="E338" s="139"/>
      <c r="F338" s="139"/>
      <c r="G338" s="16"/>
    </row>
    <row r="339" spans="2:7" ht="15.75" thickBot="1">
      <c r="B339" s="136"/>
      <c r="C339" s="17"/>
      <c r="D339" s="136"/>
      <c r="E339" s="140"/>
      <c r="F339" s="140"/>
      <c r="G339" s="17"/>
    </row>
    <row r="340" spans="2:7" ht="15.75" thickBot="1">
      <c r="B340" s="136">
        <f>SUM(B326:B339)</f>
        <v>90</v>
      </c>
      <c r="C340" s="17" t="s">
        <v>53</v>
      </c>
      <c r="D340" s="136">
        <f>SUM(D326:D339)</f>
        <v>0</v>
      </c>
      <c r="E340" s="136">
        <f>SUM(E326:E339)</f>
        <v>0</v>
      </c>
      <c r="F340" s="136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13" t="str">
        <f>AÑO!A37</f>
        <v>Impuestos</v>
      </c>
      <c r="C342" s="302"/>
      <c r="D342" s="302"/>
      <c r="E342" s="302"/>
      <c r="F342" s="302"/>
      <c r="G342" s="303"/>
    </row>
    <row r="343" spans="2:7" ht="15" customHeight="1" thickBot="1">
      <c r="B343" s="304"/>
      <c r="C343" s="305"/>
      <c r="D343" s="305"/>
      <c r="E343" s="305"/>
      <c r="F343" s="305"/>
      <c r="G343" s="306"/>
    </row>
    <row r="344" spans="2:7">
      <c r="B344" s="314" t="s">
        <v>8</v>
      </c>
      <c r="C344" s="315"/>
      <c r="D344" s="316" t="s">
        <v>9</v>
      </c>
      <c r="E344" s="316"/>
      <c r="F344" s="316"/>
      <c r="G344" s="315"/>
    </row>
    <row r="345" spans="2:7">
      <c r="B345" s="133" t="s">
        <v>30</v>
      </c>
      <c r="C345" s="25" t="s">
        <v>31</v>
      </c>
      <c r="D345" s="133" t="s">
        <v>55</v>
      </c>
      <c r="E345" s="137" t="s">
        <v>56</v>
      </c>
      <c r="F345" s="137" t="s">
        <v>30</v>
      </c>
      <c r="G345" s="25" t="s">
        <v>165</v>
      </c>
    </row>
    <row r="346" spans="2:7">
      <c r="B346" s="134">
        <v>45</v>
      </c>
      <c r="C346" s="19" t="s">
        <v>202</v>
      </c>
      <c r="D346" s="138"/>
      <c r="E346" s="139"/>
      <c r="F346" s="139"/>
      <c r="G346" s="16"/>
    </row>
    <row r="347" spans="2:7">
      <c r="B347" s="135"/>
      <c r="C347" s="16"/>
      <c r="D347" s="138"/>
      <c r="E347" s="139"/>
      <c r="F347" s="139"/>
      <c r="G347" s="16"/>
    </row>
    <row r="348" spans="2:7">
      <c r="B348" s="135"/>
      <c r="C348" s="16"/>
      <c r="D348" s="138"/>
      <c r="E348" s="139"/>
      <c r="F348" s="139"/>
      <c r="G348" s="16"/>
    </row>
    <row r="349" spans="2:7">
      <c r="B349" s="135"/>
      <c r="C349" s="16"/>
      <c r="D349" s="138"/>
      <c r="E349" s="139"/>
      <c r="F349" s="139"/>
      <c r="G349" s="16"/>
    </row>
    <row r="350" spans="2:7">
      <c r="B350" s="135"/>
      <c r="C350" s="16"/>
      <c r="D350" s="138"/>
      <c r="E350" s="139"/>
      <c r="F350" s="139"/>
      <c r="G350" s="16"/>
    </row>
    <row r="351" spans="2:7">
      <c r="B351" s="135"/>
      <c r="C351" s="16"/>
      <c r="D351" s="138"/>
      <c r="E351" s="139"/>
      <c r="F351" s="139"/>
      <c r="G351" s="16"/>
    </row>
    <row r="352" spans="2:7">
      <c r="B352" s="135"/>
      <c r="C352" s="16"/>
      <c r="D352" s="138"/>
      <c r="E352" s="139"/>
      <c r="F352" s="139"/>
      <c r="G352" s="16"/>
    </row>
    <row r="353" spans="2:7">
      <c r="B353" s="135"/>
      <c r="C353" s="16"/>
      <c r="D353" s="138"/>
      <c r="E353" s="139"/>
      <c r="F353" s="139"/>
      <c r="G353" s="16"/>
    </row>
    <row r="354" spans="2:7">
      <c r="B354" s="135"/>
      <c r="C354" s="16"/>
      <c r="D354" s="138"/>
      <c r="E354" s="139"/>
      <c r="F354" s="139"/>
      <c r="G354" s="16"/>
    </row>
    <row r="355" spans="2:7">
      <c r="B355" s="135"/>
      <c r="C355" s="16"/>
      <c r="D355" s="138"/>
      <c r="E355" s="139"/>
      <c r="F355" s="139"/>
      <c r="G355" s="16"/>
    </row>
    <row r="356" spans="2:7">
      <c r="B356" s="135"/>
      <c r="C356" s="16"/>
      <c r="D356" s="138"/>
      <c r="E356" s="139"/>
      <c r="F356" s="139"/>
      <c r="G356" s="16"/>
    </row>
    <row r="357" spans="2:7">
      <c r="B357" s="135"/>
      <c r="C357" s="16"/>
      <c r="D357" s="138"/>
      <c r="E357" s="139"/>
      <c r="F357" s="139"/>
      <c r="G357" s="16"/>
    </row>
    <row r="358" spans="2:7">
      <c r="B358" s="135"/>
      <c r="C358" s="16"/>
      <c r="D358" s="138"/>
      <c r="E358" s="139"/>
      <c r="F358" s="139"/>
      <c r="G358" s="16"/>
    </row>
    <row r="359" spans="2:7" ht="15.75" thickBot="1">
      <c r="B359" s="136"/>
      <c r="C359" s="17"/>
      <c r="D359" s="136"/>
      <c r="E359" s="140"/>
      <c r="F359" s="140"/>
      <c r="G359" s="17"/>
    </row>
    <row r="360" spans="2:7" ht="15.75" thickBot="1">
      <c r="B360" s="136">
        <f>SUM(B346:B359)</f>
        <v>45</v>
      </c>
      <c r="C360" s="17" t="s">
        <v>53</v>
      </c>
      <c r="D360" s="136">
        <f>SUM(D346:D359)</f>
        <v>0</v>
      </c>
      <c r="E360" s="136">
        <f>SUM(E346:E359)</f>
        <v>0</v>
      </c>
      <c r="F360" s="136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13" t="str">
        <f>AÑO!A38</f>
        <v>Gastos Curros</v>
      </c>
      <c r="C362" s="302"/>
      <c r="D362" s="302"/>
      <c r="E362" s="302"/>
      <c r="F362" s="302"/>
      <c r="G362" s="303"/>
    </row>
    <row r="363" spans="2:7" ht="15" customHeight="1" thickBot="1">
      <c r="B363" s="304"/>
      <c r="C363" s="305"/>
      <c r="D363" s="305"/>
      <c r="E363" s="305"/>
      <c r="F363" s="305"/>
      <c r="G363" s="306"/>
    </row>
    <row r="364" spans="2:7">
      <c r="B364" s="314" t="s">
        <v>8</v>
      </c>
      <c r="C364" s="315"/>
      <c r="D364" s="316" t="s">
        <v>9</v>
      </c>
      <c r="E364" s="316"/>
      <c r="F364" s="316"/>
      <c r="G364" s="315"/>
    </row>
    <row r="365" spans="2:7">
      <c r="B365" s="133" t="s">
        <v>30</v>
      </c>
      <c r="C365" s="25" t="s">
        <v>31</v>
      </c>
      <c r="D365" s="133" t="s">
        <v>55</v>
      </c>
      <c r="E365" s="137" t="s">
        <v>56</v>
      </c>
      <c r="F365" s="137" t="s">
        <v>30</v>
      </c>
      <c r="G365" s="25" t="s">
        <v>165</v>
      </c>
    </row>
    <row r="366" spans="2:7">
      <c r="B366" s="134">
        <v>70</v>
      </c>
      <c r="C366" s="19" t="s">
        <v>33</v>
      </c>
      <c r="D366" s="138"/>
      <c r="E366" s="139"/>
      <c r="F366" s="139"/>
      <c r="G366" s="32" t="s">
        <v>67</v>
      </c>
    </row>
    <row r="367" spans="2:7">
      <c r="B367" s="135"/>
      <c r="C367" s="16"/>
      <c r="D367" s="138"/>
      <c r="E367" s="139"/>
      <c r="F367" s="139"/>
      <c r="G367" s="32"/>
    </row>
    <row r="368" spans="2:7">
      <c r="B368" s="135"/>
      <c r="C368" s="16"/>
      <c r="D368" s="138"/>
      <c r="E368" s="139"/>
      <c r="F368" s="139"/>
      <c r="G368" s="16"/>
    </row>
    <row r="369" spans="2:7">
      <c r="B369" s="135"/>
      <c r="C369" s="16"/>
      <c r="D369" s="138"/>
      <c r="E369" s="139"/>
      <c r="F369" s="139"/>
      <c r="G369" s="16"/>
    </row>
    <row r="370" spans="2:7">
      <c r="B370" s="135"/>
      <c r="C370" s="16"/>
      <c r="D370" s="138"/>
      <c r="E370" s="139"/>
      <c r="F370" s="139"/>
      <c r="G370" s="16"/>
    </row>
    <row r="371" spans="2:7">
      <c r="B371" s="135"/>
      <c r="C371" s="16"/>
      <c r="D371" s="138"/>
      <c r="E371" s="139"/>
      <c r="F371" s="139"/>
      <c r="G371" s="16"/>
    </row>
    <row r="372" spans="2:7">
      <c r="B372" s="135"/>
      <c r="C372" s="16"/>
      <c r="D372" s="138"/>
      <c r="E372" s="139"/>
      <c r="F372" s="139"/>
      <c r="G372" s="16"/>
    </row>
    <row r="373" spans="2:7">
      <c r="B373" s="135"/>
      <c r="C373" s="16"/>
      <c r="D373" s="138"/>
      <c r="E373" s="139"/>
      <c r="F373" s="139"/>
      <c r="G373" s="16"/>
    </row>
    <row r="374" spans="2:7">
      <c r="B374" s="135"/>
      <c r="C374" s="16"/>
      <c r="D374" s="138"/>
      <c r="E374" s="139"/>
      <c r="F374" s="139"/>
      <c r="G374" s="16"/>
    </row>
    <row r="375" spans="2:7">
      <c r="B375" s="135"/>
      <c r="C375" s="16"/>
      <c r="D375" s="138"/>
      <c r="E375" s="139"/>
      <c r="F375" s="139"/>
      <c r="G375" s="16"/>
    </row>
    <row r="376" spans="2:7">
      <c r="B376" s="135"/>
      <c r="C376" s="16"/>
      <c r="D376" s="138"/>
      <c r="E376" s="139"/>
      <c r="F376" s="139"/>
      <c r="G376" s="16"/>
    </row>
    <row r="377" spans="2:7">
      <c r="B377" s="135"/>
      <c r="C377" s="16"/>
      <c r="D377" s="138"/>
      <c r="E377" s="139"/>
      <c r="F377" s="139"/>
      <c r="G377" s="16"/>
    </row>
    <row r="378" spans="2:7">
      <c r="B378" s="135"/>
      <c r="C378" s="16"/>
      <c r="D378" s="138"/>
      <c r="E378" s="139"/>
      <c r="F378" s="139"/>
      <c r="G378" s="16"/>
    </row>
    <row r="379" spans="2:7" ht="15.75" thickBot="1">
      <c r="B379" s="136"/>
      <c r="C379" s="17"/>
      <c r="D379" s="136"/>
      <c r="E379" s="140"/>
      <c r="F379" s="140"/>
      <c r="G379" s="17"/>
    </row>
    <row r="380" spans="2:7" ht="15.75" thickBot="1">
      <c r="B380" s="136">
        <f>SUM(B366:B379)</f>
        <v>70</v>
      </c>
      <c r="C380" s="17" t="s">
        <v>53</v>
      </c>
      <c r="D380" s="136">
        <f>SUM(D366:D379)</f>
        <v>0</v>
      </c>
      <c r="E380" s="136">
        <f>SUM(E366:E379)</f>
        <v>0</v>
      </c>
      <c r="F380" s="136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13" t="str">
        <f>AÑO!A39</f>
        <v>Dreamed Holidays</v>
      </c>
      <c r="C382" s="302"/>
      <c r="D382" s="302"/>
      <c r="E382" s="302"/>
      <c r="F382" s="302"/>
      <c r="G382" s="303"/>
    </row>
    <row r="383" spans="2:7" ht="15" customHeight="1" thickBot="1">
      <c r="B383" s="304"/>
      <c r="C383" s="305"/>
      <c r="D383" s="305"/>
      <c r="E383" s="305"/>
      <c r="F383" s="305"/>
      <c r="G383" s="306"/>
    </row>
    <row r="384" spans="2:7">
      <c r="B384" s="314" t="s">
        <v>8</v>
      </c>
      <c r="C384" s="315"/>
      <c r="D384" s="316" t="s">
        <v>9</v>
      </c>
      <c r="E384" s="316"/>
      <c r="F384" s="316"/>
      <c r="G384" s="315"/>
    </row>
    <row r="385" spans="2:7">
      <c r="B385" s="133" t="s">
        <v>30</v>
      </c>
      <c r="C385" s="25" t="s">
        <v>31</v>
      </c>
      <c r="D385" s="133" t="s">
        <v>55</v>
      </c>
      <c r="E385" s="137" t="s">
        <v>56</v>
      </c>
      <c r="F385" s="137" t="s">
        <v>30</v>
      </c>
      <c r="G385" s="25" t="s">
        <v>31</v>
      </c>
    </row>
    <row r="386" spans="2:7">
      <c r="B386" s="134">
        <v>20</v>
      </c>
      <c r="C386" s="19"/>
      <c r="D386" s="138"/>
      <c r="E386" s="139"/>
      <c r="F386" s="139"/>
      <c r="G386" s="16"/>
    </row>
    <row r="387" spans="2:7">
      <c r="B387" s="135"/>
      <c r="C387" s="16"/>
      <c r="D387" s="138"/>
      <c r="E387" s="139"/>
      <c r="F387" s="139"/>
      <c r="G387" s="16"/>
    </row>
    <row r="388" spans="2:7">
      <c r="B388" s="135"/>
      <c r="C388" s="16"/>
      <c r="D388" s="138"/>
      <c r="E388" s="139"/>
      <c r="F388" s="139"/>
      <c r="G388" s="16"/>
    </row>
    <row r="389" spans="2:7">
      <c r="B389" s="135"/>
      <c r="C389" s="16"/>
      <c r="D389" s="138"/>
      <c r="E389" s="139"/>
      <c r="F389" s="139"/>
      <c r="G389" s="16"/>
    </row>
    <row r="390" spans="2:7">
      <c r="B390" s="135"/>
      <c r="C390" s="16"/>
      <c r="D390" s="138"/>
      <c r="E390" s="139"/>
      <c r="F390" s="139"/>
      <c r="G390" s="16"/>
    </row>
    <row r="391" spans="2:7">
      <c r="B391" s="135"/>
      <c r="C391" s="16"/>
      <c r="D391" s="138"/>
      <c r="E391" s="139"/>
      <c r="F391" s="139"/>
      <c r="G391" s="16"/>
    </row>
    <row r="392" spans="2:7">
      <c r="B392" s="135"/>
      <c r="C392" s="16"/>
      <c r="D392" s="138"/>
      <c r="E392" s="139"/>
      <c r="F392" s="139"/>
      <c r="G392" s="16"/>
    </row>
    <row r="393" spans="2:7">
      <c r="B393" s="135"/>
      <c r="C393" s="16"/>
      <c r="D393" s="138"/>
      <c r="E393" s="139"/>
      <c r="F393" s="139"/>
      <c r="G393" s="16"/>
    </row>
    <row r="394" spans="2:7">
      <c r="B394" s="135"/>
      <c r="C394" s="16"/>
      <c r="D394" s="138"/>
      <c r="E394" s="139"/>
      <c r="F394" s="139"/>
      <c r="G394" s="16"/>
    </row>
    <row r="395" spans="2:7">
      <c r="B395" s="135"/>
      <c r="C395" s="16"/>
      <c r="D395" s="138"/>
      <c r="E395" s="139"/>
      <c r="F395" s="139"/>
      <c r="G395" s="16"/>
    </row>
    <row r="396" spans="2:7">
      <c r="B396" s="135"/>
      <c r="C396" s="16"/>
      <c r="D396" s="138"/>
      <c r="E396" s="139"/>
      <c r="F396" s="139"/>
      <c r="G396" s="16"/>
    </row>
    <row r="397" spans="2:7">
      <c r="B397" s="135"/>
      <c r="C397" s="16"/>
      <c r="D397" s="138"/>
      <c r="E397" s="139"/>
      <c r="F397" s="139"/>
      <c r="G397" s="16"/>
    </row>
    <row r="398" spans="2:7">
      <c r="B398" s="135"/>
      <c r="C398" s="16"/>
      <c r="D398" s="138"/>
      <c r="E398" s="139"/>
      <c r="F398" s="139"/>
      <c r="G398" s="16"/>
    </row>
    <row r="399" spans="2:7" ht="15.75" thickBot="1">
      <c r="B399" s="136"/>
      <c r="C399" s="17"/>
      <c r="D399" s="136"/>
      <c r="E399" s="140"/>
      <c r="F399" s="140"/>
      <c r="G399" s="17"/>
    </row>
    <row r="400" spans="2:7" ht="15.75" thickBot="1">
      <c r="B400" s="136">
        <f>SUM(B386:B399)</f>
        <v>20</v>
      </c>
      <c r="C400" s="17" t="s">
        <v>53</v>
      </c>
      <c r="D400" s="136">
        <f>SUM(D386:D399)</f>
        <v>0</v>
      </c>
      <c r="E400" s="136">
        <f>SUM(E386:E399)</f>
        <v>0</v>
      </c>
      <c r="F400" s="136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13" t="str">
        <f>AÑO!A40</f>
        <v>Financieros</v>
      </c>
      <c r="C402" s="302"/>
      <c r="D402" s="302"/>
      <c r="E402" s="302"/>
      <c r="F402" s="302"/>
      <c r="G402" s="303"/>
    </row>
    <row r="403" spans="2:7" ht="15" customHeight="1" thickBot="1">
      <c r="B403" s="304"/>
      <c r="C403" s="305"/>
      <c r="D403" s="305"/>
      <c r="E403" s="305"/>
      <c r="F403" s="305"/>
      <c r="G403" s="306"/>
    </row>
    <row r="404" spans="2:7">
      <c r="B404" s="314" t="s">
        <v>8</v>
      </c>
      <c r="C404" s="315"/>
      <c r="D404" s="316" t="s">
        <v>9</v>
      </c>
      <c r="E404" s="316"/>
      <c r="F404" s="316"/>
      <c r="G404" s="315"/>
    </row>
    <row r="405" spans="2:7">
      <c r="B405" s="133" t="s">
        <v>30</v>
      </c>
      <c r="C405" s="25" t="s">
        <v>31</v>
      </c>
      <c r="D405" s="133" t="s">
        <v>55</v>
      </c>
      <c r="E405" s="137" t="s">
        <v>56</v>
      </c>
      <c r="F405" s="137" t="s">
        <v>30</v>
      </c>
      <c r="G405" s="25" t="s">
        <v>31</v>
      </c>
    </row>
    <row r="406" spans="2:7">
      <c r="B406" s="134">
        <v>20</v>
      </c>
      <c r="C406" s="19"/>
      <c r="D406" s="138"/>
      <c r="E406" s="139"/>
      <c r="F406" s="139"/>
      <c r="G406" s="16"/>
    </row>
    <row r="407" spans="2:7">
      <c r="B407" s="135"/>
      <c r="C407" s="16"/>
      <c r="D407" s="138"/>
      <c r="E407" s="139"/>
      <c r="F407" s="139"/>
      <c r="G407" s="16"/>
    </row>
    <row r="408" spans="2:7">
      <c r="B408" s="135"/>
      <c r="C408" s="16"/>
      <c r="D408" s="138"/>
      <c r="E408" s="139"/>
      <c r="F408" s="139"/>
      <c r="G408" s="16"/>
    </row>
    <row r="409" spans="2:7">
      <c r="B409" s="135"/>
      <c r="C409" s="16"/>
      <c r="D409" s="138"/>
      <c r="E409" s="139"/>
      <c r="F409" s="139"/>
      <c r="G409" s="16"/>
    </row>
    <row r="410" spans="2:7">
      <c r="B410" s="135"/>
      <c r="C410" s="16"/>
      <c r="D410" s="138"/>
      <c r="E410" s="139"/>
      <c r="F410" s="139"/>
      <c r="G410" s="16"/>
    </row>
    <row r="411" spans="2:7">
      <c r="B411" s="135"/>
      <c r="C411" s="16"/>
      <c r="D411" s="138"/>
      <c r="E411" s="139"/>
      <c r="F411" s="139"/>
      <c r="G411" s="16"/>
    </row>
    <row r="412" spans="2:7">
      <c r="B412" s="135"/>
      <c r="C412" s="16"/>
      <c r="D412" s="138"/>
      <c r="E412" s="139"/>
      <c r="F412" s="139"/>
      <c r="G412" s="16"/>
    </row>
    <row r="413" spans="2:7">
      <c r="B413" s="135"/>
      <c r="C413" s="16"/>
      <c r="D413" s="138"/>
      <c r="E413" s="139"/>
      <c r="F413" s="139"/>
      <c r="G413" s="16"/>
    </row>
    <row r="414" spans="2:7">
      <c r="B414" s="135"/>
      <c r="C414" s="16"/>
      <c r="D414" s="138"/>
      <c r="E414" s="139"/>
      <c r="F414" s="139"/>
      <c r="G414" s="16"/>
    </row>
    <row r="415" spans="2:7">
      <c r="B415" s="135"/>
      <c r="C415" s="16"/>
      <c r="D415" s="138"/>
      <c r="E415" s="139"/>
      <c r="F415" s="139"/>
      <c r="G415" s="16"/>
    </row>
    <row r="416" spans="2:7">
      <c r="B416" s="135"/>
      <c r="C416" s="16"/>
      <c r="D416" s="138"/>
      <c r="E416" s="139"/>
      <c r="F416" s="139"/>
      <c r="G416" s="16"/>
    </row>
    <row r="417" spans="1:7">
      <c r="B417" s="135"/>
      <c r="C417" s="16"/>
      <c r="D417" s="138"/>
      <c r="E417" s="139"/>
      <c r="F417" s="139"/>
      <c r="G417" s="16"/>
    </row>
    <row r="418" spans="1:7">
      <c r="B418" s="135"/>
      <c r="C418" s="16"/>
      <c r="D418" s="138"/>
      <c r="E418" s="139"/>
      <c r="F418" s="139"/>
      <c r="G418" s="16"/>
    </row>
    <row r="419" spans="1:7" ht="15.75" thickBot="1">
      <c r="B419" s="136"/>
      <c r="C419" s="17"/>
      <c r="D419" s="136"/>
      <c r="E419" s="140"/>
      <c r="F419" s="140"/>
      <c r="G419" s="17"/>
    </row>
    <row r="420" spans="1:7" ht="15.75" thickBot="1">
      <c r="B420" s="136">
        <f>SUM(B406:B419)</f>
        <v>20</v>
      </c>
      <c r="C420" s="17" t="s">
        <v>53</v>
      </c>
      <c r="D420" s="136">
        <f>SUM(D406:D419)</f>
        <v>0</v>
      </c>
      <c r="E420" s="136">
        <f>SUM(E406:E419)</f>
        <v>0</v>
      </c>
      <c r="F420" s="136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13" t="str">
        <f>AÑO!A41</f>
        <v>Ahorros Colchón</v>
      </c>
      <c r="C422" s="319"/>
      <c r="D422" s="319"/>
      <c r="E422" s="319"/>
      <c r="F422" s="319"/>
      <c r="G422" s="320"/>
    </row>
    <row r="423" spans="1:7" ht="15" customHeight="1" thickBot="1">
      <c r="B423" s="321"/>
      <c r="C423" s="322"/>
      <c r="D423" s="322"/>
      <c r="E423" s="322"/>
      <c r="F423" s="322"/>
      <c r="G423" s="323"/>
    </row>
    <row r="424" spans="1:7">
      <c r="B424" s="314" t="s">
        <v>8</v>
      </c>
      <c r="C424" s="315"/>
      <c r="D424" s="316" t="s">
        <v>9</v>
      </c>
      <c r="E424" s="316"/>
      <c r="F424" s="316"/>
      <c r="G424" s="315"/>
    </row>
    <row r="425" spans="1:7">
      <c r="A425" s="114">
        <f>AÑO!AE17</f>
        <v>0</v>
      </c>
      <c r="B425" s="133" t="s">
        <v>30</v>
      </c>
      <c r="C425" s="25" t="s">
        <v>31</v>
      </c>
      <c r="D425" s="133" t="s">
        <v>55</v>
      </c>
      <c r="E425" s="137" t="s">
        <v>56</v>
      </c>
      <c r="F425" s="137" t="s">
        <v>30</v>
      </c>
      <c r="G425" s="25" t="s">
        <v>31</v>
      </c>
    </row>
    <row r="426" spans="1:7" ht="15.75">
      <c r="A426" s="113">
        <v>3900</v>
      </c>
      <c r="B426" s="135">
        <f>A425 -A426</f>
        <v>-3900</v>
      </c>
      <c r="C426" s="19" t="s">
        <v>201</v>
      </c>
      <c r="D426" s="138"/>
      <c r="E426" s="139"/>
      <c r="F426" s="139"/>
      <c r="G426" s="16"/>
    </row>
    <row r="427" spans="1:7">
      <c r="A427" s="114"/>
      <c r="B427" s="135"/>
      <c r="C427" s="16"/>
      <c r="D427" s="138"/>
      <c r="E427" s="139"/>
      <c r="F427" s="139"/>
      <c r="G427" s="16"/>
    </row>
    <row r="428" spans="1:7">
      <c r="A428" s="114"/>
      <c r="B428" s="135"/>
      <c r="C428" s="16"/>
      <c r="D428" s="138"/>
      <c r="E428" s="139"/>
      <c r="F428" s="139"/>
      <c r="G428" s="16"/>
    </row>
    <row r="429" spans="1:7">
      <c r="A429" s="114"/>
      <c r="B429" s="135"/>
      <c r="C429" s="16"/>
      <c r="D429" s="138"/>
      <c r="E429" s="139"/>
      <c r="F429" s="139"/>
      <c r="G429" s="16"/>
    </row>
    <row r="430" spans="1:7">
      <c r="A430" s="114"/>
      <c r="B430" s="135"/>
      <c r="C430" s="16"/>
      <c r="D430" s="138"/>
      <c r="E430" s="139"/>
      <c r="F430" s="139"/>
      <c r="G430" s="16"/>
    </row>
    <row r="431" spans="1:7">
      <c r="B431" s="135"/>
      <c r="C431" s="16"/>
      <c r="D431" s="138"/>
      <c r="E431" s="139"/>
      <c r="F431" s="139"/>
      <c r="G431" s="16"/>
    </row>
    <row r="432" spans="1:7">
      <c r="B432" s="135"/>
      <c r="C432" s="16"/>
      <c r="D432" s="138"/>
      <c r="E432" s="139"/>
      <c r="F432" s="139"/>
      <c r="G432" s="16"/>
    </row>
    <row r="433" spans="2:7">
      <c r="B433" s="135"/>
      <c r="C433" s="16"/>
      <c r="D433" s="138"/>
      <c r="E433" s="139"/>
      <c r="F433" s="139"/>
      <c r="G433" s="16"/>
    </row>
    <row r="434" spans="2:7">
      <c r="B434" s="135"/>
      <c r="C434" s="16"/>
      <c r="D434" s="138"/>
      <c r="E434" s="139"/>
      <c r="F434" s="139"/>
      <c r="G434" s="16"/>
    </row>
    <row r="435" spans="2:7">
      <c r="B435" s="135"/>
      <c r="C435" s="16"/>
      <c r="D435" s="138"/>
      <c r="E435" s="139"/>
      <c r="F435" s="139"/>
      <c r="G435" s="16"/>
    </row>
    <row r="436" spans="2:7">
      <c r="B436" s="135"/>
      <c r="C436" s="16"/>
      <c r="D436" s="138"/>
      <c r="E436" s="139"/>
      <c r="F436" s="139"/>
      <c r="G436" s="16"/>
    </row>
    <row r="437" spans="2:7">
      <c r="B437" s="135"/>
      <c r="C437" s="16"/>
      <c r="D437" s="138"/>
      <c r="E437" s="139"/>
      <c r="F437" s="139"/>
      <c r="G437" s="16"/>
    </row>
    <row r="438" spans="2:7">
      <c r="B438" s="135"/>
      <c r="C438" s="16"/>
      <c r="D438" s="138"/>
      <c r="E438" s="139"/>
      <c r="F438" s="139"/>
      <c r="G438" s="16"/>
    </row>
    <row r="439" spans="2:7" ht="15.75" thickBot="1">
      <c r="B439" s="136"/>
      <c r="C439" s="17"/>
      <c r="D439" s="136"/>
      <c r="E439" s="140"/>
      <c r="F439" s="140"/>
      <c r="G439" s="17"/>
    </row>
    <row r="440" spans="2:7" ht="15.75" thickBot="1">
      <c r="B440" s="136">
        <f>SUM(B426:B439)</f>
        <v>-3900</v>
      </c>
      <c r="C440" s="17" t="s">
        <v>53</v>
      </c>
      <c r="D440" s="136">
        <f>SUM(D426:D439)</f>
        <v>0</v>
      </c>
      <c r="E440" s="136">
        <f>SUM(E426:E439)</f>
        <v>0</v>
      </c>
      <c r="F440" s="136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13" t="str">
        <f>AÑO!A42</f>
        <v>Dinero Bloqueado</v>
      </c>
      <c r="C442" s="319"/>
      <c r="D442" s="319"/>
      <c r="E442" s="319"/>
      <c r="F442" s="319"/>
      <c r="G442" s="320"/>
    </row>
    <row r="443" spans="2:7" ht="15" customHeight="1" thickBot="1">
      <c r="B443" s="321"/>
      <c r="C443" s="322"/>
      <c r="D443" s="322"/>
      <c r="E443" s="322"/>
      <c r="F443" s="322"/>
      <c r="G443" s="323"/>
    </row>
    <row r="444" spans="2:7">
      <c r="B444" s="314" t="s">
        <v>8</v>
      </c>
      <c r="C444" s="315"/>
      <c r="D444" s="316" t="s">
        <v>9</v>
      </c>
      <c r="E444" s="316"/>
      <c r="F444" s="316"/>
      <c r="G444" s="315"/>
    </row>
    <row r="445" spans="2:7">
      <c r="B445" s="133" t="s">
        <v>30</v>
      </c>
      <c r="C445" s="25" t="s">
        <v>31</v>
      </c>
      <c r="D445" s="133" t="s">
        <v>55</v>
      </c>
      <c r="E445" s="137" t="s">
        <v>56</v>
      </c>
      <c r="F445" s="137" t="s">
        <v>30</v>
      </c>
      <c r="G445" s="25" t="s">
        <v>31</v>
      </c>
    </row>
    <row r="446" spans="2:7">
      <c r="B446" s="134"/>
      <c r="C446" s="19"/>
      <c r="D446" s="138"/>
      <c r="E446" s="139"/>
      <c r="F446" s="139"/>
      <c r="G446" s="16"/>
    </row>
    <row r="447" spans="2:7">
      <c r="B447" s="135"/>
      <c r="C447" s="16"/>
      <c r="D447" s="138"/>
      <c r="E447" s="139"/>
      <c r="F447" s="139"/>
      <c r="G447" s="16"/>
    </row>
    <row r="448" spans="2:7">
      <c r="B448" s="135"/>
      <c r="C448" s="16"/>
      <c r="D448" s="138"/>
      <c r="E448" s="139"/>
      <c r="F448" s="139"/>
      <c r="G448" s="16"/>
    </row>
    <row r="449" spans="2:7">
      <c r="B449" s="135"/>
      <c r="C449" s="16"/>
      <c r="D449" s="138"/>
      <c r="E449" s="139"/>
      <c r="F449" s="139"/>
      <c r="G449" s="16"/>
    </row>
    <row r="450" spans="2:7">
      <c r="B450" s="135"/>
      <c r="C450" s="16"/>
      <c r="D450" s="138"/>
      <c r="E450" s="139"/>
      <c r="F450" s="139"/>
      <c r="G450" s="16"/>
    </row>
    <row r="451" spans="2:7">
      <c r="B451" s="135"/>
      <c r="C451" s="16"/>
      <c r="D451" s="138"/>
      <c r="E451" s="139"/>
      <c r="F451" s="139"/>
      <c r="G451" s="16"/>
    </row>
    <row r="452" spans="2:7">
      <c r="B452" s="135"/>
      <c r="C452" s="16"/>
      <c r="D452" s="138"/>
      <c r="E452" s="139"/>
      <c r="F452" s="139"/>
      <c r="G452" s="16"/>
    </row>
    <row r="453" spans="2:7">
      <c r="B453" s="135"/>
      <c r="C453" s="16"/>
      <c r="D453" s="138"/>
      <c r="E453" s="139"/>
      <c r="F453" s="139"/>
      <c r="G453" s="16"/>
    </row>
    <row r="454" spans="2:7">
      <c r="B454" s="135"/>
      <c r="C454" s="16"/>
      <c r="D454" s="138"/>
      <c r="E454" s="139"/>
      <c r="F454" s="139"/>
      <c r="G454" s="16"/>
    </row>
    <row r="455" spans="2:7">
      <c r="B455" s="135"/>
      <c r="C455" s="16"/>
      <c r="D455" s="138"/>
      <c r="E455" s="139"/>
      <c r="F455" s="139"/>
      <c r="G455" s="16"/>
    </row>
    <row r="456" spans="2:7">
      <c r="B456" s="135"/>
      <c r="C456" s="16"/>
      <c r="D456" s="138"/>
      <c r="E456" s="139"/>
      <c r="F456" s="139"/>
      <c r="G456" s="16"/>
    </row>
    <row r="457" spans="2:7">
      <c r="B457" s="135"/>
      <c r="C457" s="16"/>
      <c r="D457" s="138"/>
      <c r="E457" s="139"/>
      <c r="F457" s="139"/>
      <c r="G457" s="16"/>
    </row>
    <row r="458" spans="2:7">
      <c r="B458" s="135"/>
      <c r="C458" s="16"/>
      <c r="D458" s="138"/>
      <c r="E458" s="139"/>
      <c r="F458" s="139"/>
      <c r="G458" s="16"/>
    </row>
    <row r="459" spans="2:7" ht="15.75" thickBot="1">
      <c r="B459" s="136"/>
      <c r="C459" s="17"/>
      <c r="D459" s="136"/>
      <c r="E459" s="140"/>
      <c r="F459" s="140"/>
      <c r="G459" s="17"/>
    </row>
    <row r="460" spans="2:7" ht="15.75" thickBot="1">
      <c r="B460" s="136">
        <f>SUM(B446:B459)</f>
        <v>0</v>
      </c>
      <c r="C460" s="17" t="s">
        <v>53</v>
      </c>
      <c r="D460" s="136">
        <f>SUM(D446:D459)</f>
        <v>0</v>
      </c>
      <c r="E460" s="136">
        <f>SUM(E446:E459)</f>
        <v>0</v>
      </c>
      <c r="F460" s="136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13" t="str">
        <f>AÑO!A43</f>
        <v>Cartama Finanazas</v>
      </c>
      <c r="C462" s="319"/>
      <c r="D462" s="319"/>
      <c r="E462" s="319"/>
      <c r="F462" s="319"/>
      <c r="G462" s="320"/>
    </row>
    <row r="463" spans="2:7" ht="15" customHeight="1" thickBot="1">
      <c r="B463" s="321"/>
      <c r="C463" s="322"/>
      <c r="D463" s="322"/>
      <c r="E463" s="322"/>
      <c r="F463" s="322"/>
      <c r="G463" s="323"/>
    </row>
    <row r="464" spans="2:7">
      <c r="B464" s="314" t="s">
        <v>8</v>
      </c>
      <c r="C464" s="315"/>
      <c r="D464" s="316" t="s">
        <v>9</v>
      </c>
      <c r="E464" s="316"/>
      <c r="F464" s="316"/>
      <c r="G464" s="315"/>
    </row>
    <row r="465" spans="1:7">
      <c r="A465" s="90" t="s">
        <v>187</v>
      </c>
      <c r="B465" s="133" t="s">
        <v>30</v>
      </c>
      <c r="C465" s="25" t="s">
        <v>31</v>
      </c>
      <c r="D465" s="133" t="s">
        <v>55</v>
      </c>
      <c r="E465" s="137" t="s">
        <v>56</v>
      </c>
      <c r="F465" s="137" t="s">
        <v>30</v>
      </c>
      <c r="G465" s="25" t="s">
        <v>31</v>
      </c>
    </row>
    <row r="466" spans="1:7" ht="15.75">
      <c r="A466" s="113">
        <f>'07'!A466+(B466-SUM(D466:F466))</f>
        <v>546</v>
      </c>
      <c r="B466" s="135">
        <v>25</v>
      </c>
      <c r="C466" s="16" t="s">
        <v>177</v>
      </c>
      <c r="D466" s="138"/>
      <c r="E466" s="139"/>
      <c r="F466" s="139"/>
      <c r="G466" s="16"/>
    </row>
    <row r="467" spans="1:7" ht="15.75">
      <c r="A467" s="113">
        <f>'07'!A467+(B467-SUM(D467:F467))</f>
        <v>215</v>
      </c>
      <c r="B467" s="135">
        <v>20</v>
      </c>
      <c r="C467" s="16" t="s">
        <v>188</v>
      </c>
      <c r="D467" s="138"/>
      <c r="E467" s="139"/>
      <c r="F467" s="139"/>
      <c r="G467" s="16"/>
    </row>
    <row r="468" spans="1:7" ht="15.75">
      <c r="A468" s="113">
        <f>'07'!A468+(B468-SUM(D468:F468))</f>
        <v>55</v>
      </c>
      <c r="B468" s="135">
        <v>5</v>
      </c>
      <c r="C468" s="16" t="s">
        <v>189</v>
      </c>
      <c r="D468" s="138"/>
      <c r="E468" s="139"/>
      <c r="F468" s="139"/>
      <c r="G468" s="16"/>
    </row>
    <row r="469" spans="1:7">
      <c r="B469" s="135"/>
      <c r="C469" s="16"/>
      <c r="D469" s="138"/>
      <c r="E469" s="139"/>
      <c r="F469" s="139"/>
      <c r="G469" s="16"/>
    </row>
    <row r="470" spans="1:7">
      <c r="B470" s="135"/>
      <c r="C470" s="16"/>
      <c r="D470" s="138"/>
      <c r="E470" s="139"/>
      <c r="F470" s="139"/>
      <c r="G470" s="16"/>
    </row>
    <row r="471" spans="1:7">
      <c r="B471" s="135"/>
      <c r="C471" s="16"/>
      <c r="D471" s="138"/>
      <c r="E471" s="139"/>
      <c r="F471" s="139"/>
      <c r="G471" s="16"/>
    </row>
    <row r="472" spans="1:7">
      <c r="B472" s="135"/>
      <c r="C472" s="16"/>
      <c r="D472" s="138"/>
      <c r="E472" s="139"/>
      <c r="F472" s="139"/>
      <c r="G472" s="16"/>
    </row>
    <row r="473" spans="1:7">
      <c r="B473" s="135"/>
      <c r="C473" s="16"/>
      <c r="D473" s="138"/>
      <c r="E473" s="139"/>
      <c r="F473" s="139"/>
      <c r="G473" s="16"/>
    </row>
    <row r="474" spans="1:7">
      <c r="B474" s="135"/>
      <c r="C474" s="16"/>
      <c r="D474" s="138"/>
      <c r="E474" s="139"/>
      <c r="F474" s="139"/>
      <c r="G474" s="16"/>
    </row>
    <row r="475" spans="1:7">
      <c r="B475" s="135"/>
      <c r="C475" s="16"/>
      <c r="D475" s="138"/>
      <c r="E475" s="139"/>
      <c r="F475" s="139"/>
      <c r="G475" s="16"/>
    </row>
    <row r="476" spans="1:7">
      <c r="B476" s="135"/>
      <c r="C476" s="16"/>
      <c r="D476" s="138"/>
      <c r="E476" s="139"/>
      <c r="F476" s="139"/>
      <c r="G476" s="16"/>
    </row>
    <row r="477" spans="1:7">
      <c r="B477" s="135"/>
      <c r="C477" s="16"/>
      <c r="D477" s="138"/>
      <c r="E477" s="139"/>
      <c r="F477" s="139"/>
      <c r="G477" s="16"/>
    </row>
    <row r="478" spans="1:7">
      <c r="B478" s="135"/>
      <c r="C478" s="16"/>
      <c r="D478" s="138"/>
      <c r="E478" s="139"/>
      <c r="F478" s="139"/>
      <c r="G478" s="16"/>
    </row>
    <row r="479" spans="1:7" ht="15.75" thickBot="1">
      <c r="B479" s="136"/>
      <c r="C479" s="17"/>
      <c r="D479" s="136"/>
      <c r="E479" s="140"/>
      <c r="F479" s="140"/>
      <c r="G479" s="17"/>
    </row>
    <row r="480" spans="1:7" ht="15.75" thickBot="1">
      <c r="A480" s="114">
        <f>SUM(A466:A468)</f>
        <v>816</v>
      </c>
      <c r="B480" s="136">
        <f>SUM(B466:B479)</f>
        <v>50</v>
      </c>
      <c r="C480" s="17" t="s">
        <v>53</v>
      </c>
      <c r="D480" s="136">
        <f>SUM(D466:D479)</f>
        <v>0</v>
      </c>
      <c r="E480" s="136">
        <f>SUM(E466:E479)</f>
        <v>0</v>
      </c>
      <c r="F480" s="136">
        <f>SUM(F466:F479)</f>
        <v>0</v>
      </c>
      <c r="G480" s="17" t="s">
        <v>53</v>
      </c>
    </row>
    <row r="481" spans="2:7" ht="15.75" thickBot="1"/>
    <row r="482" spans="2:7" ht="14.45" customHeight="1">
      <c r="B482" s="313" t="str">
        <f>AÑO!A44</f>
        <v>NULO</v>
      </c>
      <c r="C482" s="319"/>
      <c r="D482" s="319"/>
      <c r="E482" s="319"/>
      <c r="F482" s="319"/>
      <c r="G482" s="320"/>
    </row>
    <row r="483" spans="2:7" ht="15" customHeight="1" thickBot="1">
      <c r="B483" s="321"/>
      <c r="C483" s="322"/>
      <c r="D483" s="322"/>
      <c r="E483" s="322"/>
      <c r="F483" s="322"/>
      <c r="G483" s="323"/>
    </row>
    <row r="484" spans="2:7">
      <c r="B484" s="314" t="s">
        <v>8</v>
      </c>
      <c r="C484" s="315"/>
      <c r="D484" s="316" t="s">
        <v>9</v>
      </c>
      <c r="E484" s="316"/>
      <c r="F484" s="316"/>
      <c r="G484" s="315"/>
    </row>
    <row r="485" spans="2:7">
      <c r="B485" s="133" t="s">
        <v>30</v>
      </c>
      <c r="C485" s="25" t="s">
        <v>31</v>
      </c>
      <c r="D485" s="133" t="s">
        <v>55</v>
      </c>
      <c r="E485" s="137" t="s">
        <v>56</v>
      </c>
      <c r="F485" s="137" t="s">
        <v>30</v>
      </c>
      <c r="G485" s="25" t="s">
        <v>31</v>
      </c>
    </row>
    <row r="486" spans="2:7">
      <c r="B486" s="134"/>
      <c r="C486" s="19"/>
      <c r="D486" s="138"/>
      <c r="E486" s="139"/>
      <c r="F486" s="139"/>
      <c r="G486" s="16"/>
    </row>
    <row r="487" spans="2:7">
      <c r="B487" s="135"/>
      <c r="C487" s="16"/>
      <c r="D487" s="138"/>
      <c r="E487" s="139"/>
      <c r="F487" s="139"/>
      <c r="G487" s="16"/>
    </row>
    <row r="488" spans="2:7">
      <c r="B488" s="135"/>
      <c r="C488" s="16"/>
      <c r="D488" s="138"/>
      <c r="E488" s="139"/>
      <c r="F488" s="139"/>
      <c r="G488" s="16"/>
    </row>
    <row r="489" spans="2:7">
      <c r="B489" s="135"/>
      <c r="C489" s="16"/>
      <c r="D489" s="138"/>
      <c r="E489" s="139"/>
      <c r="F489" s="139"/>
      <c r="G489" s="16"/>
    </row>
    <row r="490" spans="2:7">
      <c r="B490" s="135"/>
      <c r="C490" s="16"/>
      <c r="D490" s="138"/>
      <c r="E490" s="139"/>
      <c r="F490" s="139"/>
      <c r="G490" s="16"/>
    </row>
    <row r="491" spans="2:7">
      <c r="B491" s="135"/>
      <c r="C491" s="16"/>
      <c r="D491" s="138"/>
      <c r="E491" s="139"/>
      <c r="F491" s="139"/>
      <c r="G491" s="16"/>
    </row>
    <row r="492" spans="2:7">
      <c r="B492" s="135"/>
      <c r="C492" s="16"/>
      <c r="D492" s="138"/>
      <c r="E492" s="139"/>
      <c r="F492" s="139"/>
      <c r="G492" s="16"/>
    </row>
    <row r="493" spans="2:7">
      <c r="B493" s="135"/>
      <c r="C493" s="16"/>
      <c r="D493" s="138"/>
      <c r="E493" s="139"/>
      <c r="F493" s="139"/>
      <c r="G493" s="16"/>
    </row>
    <row r="494" spans="2:7">
      <c r="B494" s="135"/>
      <c r="C494" s="16"/>
      <c r="D494" s="138"/>
      <c r="E494" s="139"/>
      <c r="F494" s="139"/>
      <c r="G494" s="16"/>
    </row>
    <row r="495" spans="2:7">
      <c r="B495" s="135"/>
      <c r="C495" s="16"/>
      <c r="D495" s="138"/>
      <c r="E495" s="139"/>
      <c r="F495" s="139"/>
      <c r="G495" s="16"/>
    </row>
    <row r="496" spans="2:7">
      <c r="B496" s="135"/>
      <c r="C496" s="16"/>
      <c r="D496" s="138"/>
      <c r="E496" s="139"/>
      <c r="F496" s="139"/>
      <c r="G496" s="16"/>
    </row>
    <row r="497" spans="2:7">
      <c r="B497" s="135"/>
      <c r="C497" s="16"/>
      <c r="D497" s="138"/>
      <c r="E497" s="139"/>
      <c r="F497" s="139"/>
      <c r="G497" s="16"/>
    </row>
    <row r="498" spans="2:7">
      <c r="B498" s="135"/>
      <c r="C498" s="16"/>
      <c r="D498" s="138"/>
      <c r="E498" s="139"/>
      <c r="F498" s="139"/>
      <c r="G498" s="16"/>
    </row>
    <row r="499" spans="2:7" ht="15.75" thickBot="1">
      <c r="B499" s="136"/>
      <c r="C499" s="17"/>
      <c r="D499" s="136"/>
      <c r="E499" s="140"/>
      <c r="F499" s="140"/>
      <c r="G499" s="17"/>
    </row>
    <row r="500" spans="2:7" ht="15.75" thickBot="1">
      <c r="B500" s="136">
        <f>SUM(B486:B499)</f>
        <v>0</v>
      </c>
      <c r="C500" s="17" t="s">
        <v>53</v>
      </c>
      <c r="D500" s="136">
        <f>SUM(D486:D499)</f>
        <v>0</v>
      </c>
      <c r="E500" s="136">
        <f>SUM(E486:E499)</f>
        <v>0</v>
      </c>
      <c r="F500" s="136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13" t="str">
        <f>AÑO!A45</f>
        <v>OTROS</v>
      </c>
      <c r="C502" s="319"/>
      <c r="D502" s="319"/>
      <c r="E502" s="319"/>
      <c r="F502" s="319"/>
      <c r="G502" s="320"/>
    </row>
    <row r="503" spans="2:7" ht="15" customHeight="1" thickBot="1">
      <c r="B503" s="321"/>
      <c r="C503" s="322"/>
      <c r="D503" s="322"/>
      <c r="E503" s="322"/>
      <c r="F503" s="322"/>
      <c r="G503" s="323"/>
    </row>
    <row r="504" spans="2:7">
      <c r="B504" s="314" t="s">
        <v>8</v>
      </c>
      <c r="C504" s="315"/>
      <c r="D504" s="316" t="s">
        <v>9</v>
      </c>
      <c r="E504" s="316"/>
      <c r="F504" s="316"/>
      <c r="G504" s="315"/>
    </row>
    <row r="505" spans="2:7">
      <c r="B505" s="133" t="s">
        <v>30</v>
      </c>
      <c r="C505" s="25" t="s">
        <v>31</v>
      </c>
      <c r="D505" s="133" t="s">
        <v>55</v>
      </c>
      <c r="E505" s="137" t="s">
        <v>56</v>
      </c>
      <c r="F505" s="137" t="s">
        <v>30</v>
      </c>
      <c r="G505" s="25" t="s">
        <v>31</v>
      </c>
    </row>
    <row r="506" spans="2:7">
      <c r="B506" s="134"/>
      <c r="C506" s="19"/>
      <c r="D506" s="138"/>
      <c r="E506" s="139"/>
      <c r="F506" s="139"/>
      <c r="G506" s="16"/>
    </row>
    <row r="507" spans="2:7">
      <c r="B507" s="135"/>
      <c r="C507" s="16"/>
      <c r="D507" s="138"/>
      <c r="E507" s="139"/>
      <c r="F507" s="139"/>
      <c r="G507" s="16"/>
    </row>
    <row r="508" spans="2:7">
      <c r="B508" s="135"/>
      <c r="C508" s="16"/>
      <c r="D508" s="138"/>
      <c r="E508" s="139"/>
      <c r="F508" s="139"/>
      <c r="G508" s="16"/>
    </row>
    <row r="509" spans="2:7">
      <c r="B509" s="135"/>
      <c r="C509" s="16"/>
      <c r="D509" s="138"/>
      <c r="E509" s="139"/>
      <c r="F509" s="139"/>
      <c r="G509" s="16"/>
    </row>
    <row r="510" spans="2:7">
      <c r="B510" s="135"/>
      <c r="C510" s="16"/>
      <c r="D510" s="138"/>
      <c r="E510" s="139"/>
      <c r="F510" s="139"/>
      <c r="G510" s="16"/>
    </row>
    <row r="511" spans="2:7">
      <c r="B511" s="135"/>
      <c r="C511" s="16"/>
      <c r="D511" s="138"/>
      <c r="E511" s="139"/>
      <c r="F511" s="139"/>
      <c r="G511" s="16"/>
    </row>
    <row r="512" spans="2:7">
      <c r="B512" s="135"/>
      <c r="C512" s="16"/>
      <c r="D512" s="138"/>
      <c r="E512" s="139"/>
      <c r="F512" s="139"/>
      <c r="G512" s="16"/>
    </row>
    <row r="513" spans="2:7">
      <c r="B513" s="135"/>
      <c r="C513" s="16"/>
      <c r="D513" s="138"/>
      <c r="E513" s="139"/>
      <c r="F513" s="139"/>
      <c r="G513" s="16"/>
    </row>
    <row r="514" spans="2:7">
      <c r="B514" s="135"/>
      <c r="C514" s="16"/>
      <c r="D514" s="138"/>
      <c r="E514" s="139"/>
      <c r="F514" s="139"/>
      <c r="G514" s="16"/>
    </row>
    <row r="515" spans="2:7">
      <c r="B515" s="135"/>
      <c r="C515" s="16"/>
      <c r="D515" s="138"/>
      <c r="E515" s="139"/>
      <c r="F515" s="139"/>
      <c r="G515" s="16"/>
    </row>
    <row r="516" spans="2:7">
      <c r="B516" s="135"/>
      <c r="C516" s="16"/>
      <c r="D516" s="138"/>
      <c r="E516" s="139"/>
      <c r="F516" s="139"/>
      <c r="G516" s="16"/>
    </row>
    <row r="517" spans="2:7">
      <c r="B517" s="135"/>
      <c r="C517" s="16"/>
      <c r="D517" s="138"/>
      <c r="E517" s="139"/>
      <c r="F517" s="139"/>
      <c r="G517" s="16"/>
    </row>
    <row r="518" spans="2:7">
      <c r="B518" s="135"/>
      <c r="C518" s="16"/>
      <c r="D518" s="138"/>
      <c r="E518" s="139"/>
      <c r="F518" s="139"/>
      <c r="G518" s="16"/>
    </row>
    <row r="519" spans="2:7" ht="15.75" thickBot="1">
      <c r="B519" s="136"/>
      <c r="C519" s="17"/>
      <c r="D519" s="136"/>
      <c r="E519" s="140"/>
      <c r="F519" s="140"/>
      <c r="G519" s="17"/>
    </row>
    <row r="520" spans="2:7" ht="15.75" thickBot="1">
      <c r="B520" s="136">
        <f>SUM(B506:B519)</f>
        <v>0</v>
      </c>
      <c r="C520" s="17" t="s">
        <v>53</v>
      </c>
      <c r="D520" s="136">
        <f>SUM(D506:D519)</f>
        <v>0</v>
      </c>
      <c r="E520" s="136">
        <f>SUM(E506:E519)</f>
        <v>0</v>
      </c>
      <c r="F520" s="136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2018-12-04T16:32:36Z</dcterms:modified>
</cp:coreProperties>
</file>