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A4284DA9-5AF4-4F8C-A759-9B0D5154FC0F}" xr6:coauthVersionLast="36" xr6:coauthVersionMax="36" xr10:uidLastSave="{00000000-0000-0000-0000-000000000000}"/>
  <bookViews>
    <workbookView xWindow="0" yWindow="0" windowWidth="27336" windowHeight="5796" activeTab="7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5" i="8" l="1"/>
  <c r="D47" i="8" l="1"/>
  <c r="B258" i="8"/>
  <c r="B49" i="8"/>
  <c r="A26" i="9" l="1"/>
  <c r="A79" i="9"/>
  <c r="A66" i="9"/>
  <c r="F366" i="8"/>
  <c r="D206" i="8"/>
  <c r="P32" i="18"/>
  <c r="A80" i="9" l="1"/>
  <c r="A66" i="7" l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K5" i="9"/>
  <c r="B2" i="9"/>
  <c r="BC17" i="1"/>
  <c r="B247" i="7"/>
  <c r="W10" i="1"/>
  <c r="K5" i="8"/>
  <c r="F366" i="7" l="1"/>
  <c r="A129" i="8"/>
  <c r="A127" i="8"/>
  <c r="A126" i="8"/>
  <c r="A79" i="8"/>
  <c r="A66" i="8"/>
  <c r="Z79" i="1"/>
  <c r="Z80" i="1"/>
  <c r="Z81" i="1"/>
  <c r="Z78" i="1"/>
  <c r="E268" i="7"/>
  <c r="D248" i="7"/>
  <c r="D368" i="7"/>
  <c r="A258" i="8"/>
  <c r="A256" i="8"/>
  <c r="A140" i="8" l="1"/>
  <c r="A80" i="8"/>
  <c r="F267" i="7" l="1"/>
  <c r="D51" i="7" l="1"/>
  <c r="D367" i="7"/>
  <c r="D366" i="7"/>
  <c r="D89" i="7"/>
  <c r="H289" i="7" l="1"/>
  <c r="E287" i="7"/>
  <c r="A258" i="7" l="1"/>
  <c r="A260" i="6"/>
  <c r="A256" i="7"/>
  <c r="A257" i="7"/>
  <c r="A257" i="8" s="1"/>
  <c r="A257" i="6" l="1"/>
  <c r="E257" i="6"/>
  <c r="D87" i="7"/>
  <c r="A468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8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K5" i="7"/>
  <c r="D226" i="6"/>
  <c r="M5" i="7"/>
  <c r="D308" i="6" l="1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S19" i="18" s="1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I4" i="18" l="1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A109" i="6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A256" i="6"/>
  <c r="A258" i="6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46" i="6" l="1"/>
  <c r="A246" i="7" s="1"/>
  <c r="A260" i="7" l="1"/>
  <c r="A246" i="8"/>
  <c r="A260" i="8" s="1"/>
  <c r="A468" i="5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l="1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80" i="7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60" i="5" l="1"/>
  <c r="A40" i="9"/>
  <c r="A40" i="11"/>
  <c r="A40" i="10"/>
  <c r="A26" i="10"/>
  <c r="A26" i="11"/>
  <c r="A26" i="12" s="1"/>
  <c r="A40" i="12" l="1"/>
  <c r="A26" i="13"/>
  <c r="A40" i="13" s="1"/>
</calcChain>
</file>

<file path=xl/sharedStrings.xml><?xml version="1.0" encoding="utf-8"?>
<sst xmlns="http://schemas.openxmlformats.org/spreadsheetml/2006/main" count="5472" uniqueCount="696">
  <si>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</si>
  <si>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</si>
  <si>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</si>
  <si>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</si>
  <si>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</si>
  <si>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</si>
  <si>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</si>
  <si>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</si>
  <si>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</si>
  <si>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</si>
  <si>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</si>
  <si>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</si>
  <si>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</si>
  <si>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</si>
  <si>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</si>
  <si>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</si>
  <si>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</si>
  <si>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</si>
  <si>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</si>
  <si>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</si>
  <si>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</si>
  <si>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</si>
  <si>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</si>
  <si>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</si>
  <si>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</si>
  <si>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</si>
  <si>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</si>
  <si>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</si>
  <si>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</si>
  <si>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</si>
  <si>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</si>
  <si>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</si>
  <si>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</si>
  <si>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</si>
  <si>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</si>
  <si>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</si>
  <si>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</si>
  <si>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</si>
  <si>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</si>
  <si>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</si>
  <si>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</si>
  <si>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</si>
  <si>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</si>
  <si>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</si>
  <si>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</si>
  <si>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</si>
  <si>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</si>
  <si>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</si>
  <si>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</si>
  <si>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</si>
  <si>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</si>
  <si>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</si>
  <si>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</si>
  <si>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</si>
  <si>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</si>
  <si>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</si>
  <si>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</si>
  <si>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</si>
  <si>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</si>
  <si>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</si>
  <si>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</si>
  <si>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</si>
  <si>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</si>
  <si>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</si>
  <si>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</si>
  <si>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</si>
  <si>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</si>
  <si>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</si>
  <si>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</si>
  <si>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</si>
  <si>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</si>
  <si>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</si>
  <si>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</si>
  <si>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</si>
  <si>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</si>
  <si>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</si>
  <si>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</si>
  <si>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</si>
  <si>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</si>
  <si>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</si>
  <si>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</si>
  <si>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</si>
  <si>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</si>
  <si>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</si>
  <si>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</si>
  <si>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</si>
  <si>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</si>
  <si>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</si>
  <si>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</si>
  <si>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</si>
  <si>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</si>
  <si>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</si>
  <si>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</si>
  <si>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</si>
  <si>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</si>
  <si>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</si>
  <si>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</si>
  <si>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</si>
  <si>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</si>
  <si>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</si>
  <si>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</si>
  <si>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</si>
  <si>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</si>
  <si>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</si>
  <si>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</si>
  <si>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</si>
  <si>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</si>
  <si>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</si>
  <si>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</si>
  <si>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</si>
  <si>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</si>
  <si>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</si>
  <si>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</si>
  <si>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</si>
  <si>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</si>
  <si>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</si>
  <si>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</si>
  <si>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</si>
  <si>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</si>
  <si>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</si>
  <si>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</si>
  <si>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</si>
  <si>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</si>
  <si>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</si>
  <si>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</si>
  <si>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</si>
  <si>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</si>
  <si>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</si>
  <si>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</si>
  <si>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</si>
  <si>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</si>
  <si>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</si>
  <si>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</si>
  <si>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</si>
  <si>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</si>
  <si>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</si>
  <si>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</si>
  <si>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</si>
  <si>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</si>
  <si>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</si>
  <si>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</si>
  <si>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</si>
  <si>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</si>
  <si>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</si>
  <si>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</si>
  <si>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</si>
  <si>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</si>
  <si>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</si>
  <si>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</si>
  <si>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</si>
  <si>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</si>
  <si>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</si>
  <si>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</si>
  <si>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</si>
  <si>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</si>
  <si>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</si>
  <si>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</si>
  <si>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</si>
  <si>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</si>
  <si>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</si>
  <si>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</si>
  <si>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</si>
  <si>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</si>
  <si>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</si>
  <si>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</si>
  <si>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</si>
  <si>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</si>
  <si>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</si>
  <si>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</si>
  <si>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</si>
  <si>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</si>
  <si>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</si>
  <si>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</si>
  <si>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</si>
  <si>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</si>
  <si>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</si>
  <si>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</si>
  <si>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</si>
  <si>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</si>
  <si>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</si>
  <si>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</si>
  <si>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</si>
  <si>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</si>
  <si>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</si>
  <si>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</si>
  <si>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</si>
  <si>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</si>
  <si>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</si>
  <si>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</si>
  <si>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</si>
  <si>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</si>
  <si>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</si>
  <si>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</si>
  <si>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</si>
  <si>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</si>
  <si>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</si>
  <si>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</si>
  <si>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</si>
  <si>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</si>
  <si>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</si>
  <si>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</si>
  <si>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</si>
  <si>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</si>
  <si>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</si>
  <si>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</si>
  <si>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</si>
  <si>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</si>
  <si>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</si>
  <si>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</si>
  <si>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</si>
  <si>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</si>
  <si>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</si>
  <si>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</si>
  <si>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</si>
  <si>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</si>
  <si>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</si>
  <si>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</si>
  <si>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</si>
  <si>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</si>
  <si>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</si>
  <si>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</si>
  <si>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</si>
  <si>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</si>
  <si>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</si>
  <si>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</si>
  <si>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</si>
  <si>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</si>
  <si>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</si>
  <si>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</si>
  <si>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</si>
  <si>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</si>
  <si>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</si>
  <si>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</si>
  <si>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</si>
  <si>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</si>
  <si>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</si>
  <si>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</si>
  <si>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</si>
  <si>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</si>
  <si>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</si>
  <si>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</si>
  <si>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</si>
  <si>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</si>
  <si>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</si>
  <si>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</si>
  <si>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</si>
  <si>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</si>
  <si>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</si>
  <si>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</si>
  <si>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</si>
  <si>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</si>
  <si>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</si>
  <si>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</si>
  <si>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</si>
  <si>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</si>
  <si>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</si>
  <si>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</si>
  <si>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</si>
  <si>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</si>
  <si>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</si>
  <si>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</si>
  <si>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</si>
  <si>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</si>
  <si>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</si>
  <si>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</si>
  <si>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</si>
  <si>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</si>
  <si>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</si>
  <si>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</si>
  <si>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</si>
  <si>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</si>
  <si>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</si>
  <si>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</si>
  <si>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</si>
  <si>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</si>
  <si>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</si>
  <si>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</si>
  <si>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</si>
  <si>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</si>
  <si>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</si>
  <si>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</si>
  <si>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</si>
  <si>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</si>
  <si>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</si>
  <si>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</si>
  <si>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</si>
  <si>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</si>
  <si>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</si>
  <si>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</si>
  <si>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</si>
  <si>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</si>
  <si>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</si>
  <si>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</si>
  <si>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</si>
  <si>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</si>
  <si>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</si>
  <si>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</si>
  <si>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</si>
  <si>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</si>
  <si>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</si>
  <si>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</si>
  <si>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</si>
  <si>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</si>
  <si>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</si>
  <si>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</si>
  <si>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</si>
  <si>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</si>
  <si>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</si>
  <si>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</si>
  <si>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</si>
  <si>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</si>
  <si>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</si>
  <si>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</si>
  <si>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</si>
  <si>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</si>
  <si>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</si>
  <si>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</si>
  <si>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</si>
  <si>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</si>
  <si>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</si>
  <si>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</si>
  <si>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</si>
  <si>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</si>
  <si>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</si>
  <si>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</si>
  <si>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</si>
  <si>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</si>
  <si>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</si>
  <si>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</si>
  <si>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</si>
  <si>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</si>
  <si>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</si>
  <si>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</si>
  <si>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</si>
  <si>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</si>
  <si>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</si>
  <si>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</si>
  <si>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</si>
  <si>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</si>
  <si>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</si>
  <si>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</si>
  <si>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</si>
  <si>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</si>
  <si>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</si>
  <si>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</si>
  <si>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</si>
  <si>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</si>
  <si>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</si>
  <si>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</si>
  <si>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</si>
  <si>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</si>
  <si>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</si>
  <si>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</si>
  <si>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</si>
  <si>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</si>
  <si>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</si>
  <si>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</si>
  <si>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</si>
  <si>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</si>
  <si>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</si>
  <si>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</si>
  <si>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</si>
  <si>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</si>
  <si>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</si>
  <si>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</si>
  <si>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</si>
  <si>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</si>
  <si>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</si>
  <si>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</si>
  <si>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</si>
  <si>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</si>
  <si>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</si>
  <si>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</si>
  <si>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</si>
  <si>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</si>
  <si>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</si>
  <si>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</si>
  <si>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</si>
  <si>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</si>
  <si>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</si>
  <si>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</si>
  <si>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</si>
  <si>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</si>
  <si>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</si>
  <si>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</si>
  <si>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</si>
  <si>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</si>
  <si>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</si>
  <si>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</si>
  <si>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</si>
  <si>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</si>
  <si>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</si>
  <si>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</si>
  <si>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</si>
  <si>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</si>
  <si>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</si>
  <si>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</si>
  <si>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</si>
  <si>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</si>
  <si>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</si>
  <si>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</si>
  <si>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</si>
  <si>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</si>
  <si>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</si>
  <si>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</si>
  <si>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</si>
  <si>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</si>
  <si>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</si>
  <si>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</si>
  <si>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</si>
  <si>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</si>
  <si>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</si>
  <si>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</si>
  <si>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</si>
  <si>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</si>
  <si>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</si>
  <si>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</si>
  <si>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</si>
  <si>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</si>
  <si>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</si>
  <si>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</si>
  <si>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</si>
  <si>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</si>
  <si>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</si>
  <si>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</si>
  <si>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</si>
  <si>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</si>
  <si>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</si>
  <si>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</si>
  <si>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</si>
  <si>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</si>
  <si>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</si>
  <si>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</si>
  <si>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</si>
  <si>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</si>
  <si>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</si>
  <si>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</si>
  <si>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</si>
  <si>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</si>
  <si>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</si>
  <si>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</si>
  <si>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</si>
  <si>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</si>
  <si>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</si>
  <si>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</si>
  <si>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</si>
  <si>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</si>
  <si>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</si>
  <si>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</si>
  <si>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</si>
  <si>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</si>
  <si>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</si>
  <si>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</si>
  <si>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</si>
  <si>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</si>
  <si>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</si>
  <si>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</si>
  <si>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</si>
  <si>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</si>
  <si>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</si>
  <si>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</si>
  <si>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</si>
  <si>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</si>
  <si>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</si>
  <si>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</si>
  <si>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</si>
  <si>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</si>
  <si>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</si>
  <si>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</si>
  <si>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</si>
  <si>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</si>
  <si>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</si>
  <si>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</si>
  <si>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</si>
  <si>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</si>
  <si>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</si>
  <si>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</si>
  <si>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</si>
  <si>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</si>
  <si>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</si>
  <si>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</si>
  <si>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</si>
  <si>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</si>
  <si>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</si>
  <si>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</si>
  <si>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</si>
  <si>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</si>
  <si>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</si>
  <si>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</si>
  <si>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</si>
  <si>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</si>
  <si>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</si>
  <si>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</si>
  <si>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</si>
  <si>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</si>
  <si>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</si>
  <si>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</si>
  <si>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</si>
  <si>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</si>
  <si>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</si>
  <si>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</si>
  <si>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</si>
  <si>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</si>
  <si>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</si>
  <si>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</si>
  <si>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</si>
  <si>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</si>
  <si>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</si>
  <si>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</si>
  <si>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</si>
  <si>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</si>
  <si>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</si>
  <si>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</si>
  <si>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</si>
  <si>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</si>
  <si>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</si>
  <si>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</si>
  <si>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</si>
  <si>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</si>
  <si>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</si>
  <si>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</si>
  <si>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</si>
  <si>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</si>
  <si>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</si>
  <si>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</si>
  <si>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</si>
  <si>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</si>
  <si>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</si>
  <si>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</si>
  <si>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</si>
  <si>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</si>
  <si>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</si>
  <si>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</si>
  <si>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</si>
  <si>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</si>
  <si>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</si>
  <si>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</si>
  <si>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</si>
  <si>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</si>
  <si>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</si>
  <si>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</si>
  <si>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</si>
  <si>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</si>
  <si>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</si>
  <si>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</si>
  <si>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</si>
  <si>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</si>
  <si>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</si>
  <si>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</si>
  <si>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</si>
  <si>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</si>
  <si>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</si>
  <si>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</si>
  <si>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</si>
  <si>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</si>
  <si>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</si>
  <si>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</si>
  <si>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</si>
  <si>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</si>
  <si>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</si>
  <si>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</si>
  <si>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</si>
  <si>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</si>
  <si>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</si>
  <si>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</si>
  <si>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</si>
  <si>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</si>
  <si>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</si>
  <si>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</si>
  <si>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</si>
  <si>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</si>
  <si>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</si>
  <si>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</si>
  <si>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</si>
  <si>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</si>
  <si>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</si>
  <si>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</si>
  <si>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</si>
  <si>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</si>
  <si>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</si>
  <si>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</si>
  <si>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</si>
  <si>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</si>
  <si>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</si>
  <si>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</si>
  <si>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</si>
  <si>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</si>
  <si>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</si>
  <si>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</si>
  <si>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</si>
  <si>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</si>
  <si>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</si>
  <si>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</si>
  <si>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</si>
  <si>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</si>
  <si>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</si>
  <si>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</si>
  <si>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</si>
  <si>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</si>
  <si>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</si>
  <si>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</si>
  <si>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</si>
  <si>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</si>
  <si>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</si>
  <si>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</si>
  <si>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</si>
  <si>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</si>
  <si>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</si>
  <si>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</si>
  <si>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</si>
  <si>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</si>
  <si>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</si>
  <si>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</si>
  <si>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</si>
  <si>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</si>
  <si>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</si>
  <si>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</si>
  <si>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</si>
  <si>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</si>
  <si>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</si>
  <si>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</si>
  <si>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</si>
  <si>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</si>
  <si>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</si>
  <si>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</si>
  <si>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</si>
  <si>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</si>
  <si>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</si>
  <si>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</si>
  <si>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</si>
  <si>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</si>
  <si>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</si>
  <si>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</si>
  <si>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</si>
  <si>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</si>
  <si>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</si>
  <si>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</si>
  <si>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</si>
  <si>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</si>
  <si>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</si>
  <si>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</si>
  <si>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</si>
  <si>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</si>
  <si>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</si>
  <si>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</si>
  <si>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</si>
  <si>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</si>
  <si>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</si>
  <si>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</si>
  <si>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</si>
  <si>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</si>
  <si>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</si>
  <si>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</si>
  <si>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</si>
  <si>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</si>
  <si>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</si>
  <si>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</si>
  <si>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</si>
  <si>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</si>
  <si>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</si>
  <si>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</si>
  <si>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</si>
  <si>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</si>
  <si>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</si>
  <si>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</si>
  <si>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</si>
  <si>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</si>
  <si>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</si>
  <si>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</si>
  <si>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</si>
  <si>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</si>
  <si>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</si>
  <si>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</si>
  <si>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</si>
  <si>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</si>
  <si>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</si>
  <si>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</si>
  <si>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</si>
  <si>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</si>
  <si>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</si>
  <si>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</si>
  <si>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</si>
  <si>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</si>
  <si>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</si>
  <si>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</si>
  <si>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</si>
  <si>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</si>
  <si>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</si>
  <si>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</si>
  <si>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</si>
  <si>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</si>
  <si>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</si>
  <si>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</si>
  <si>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&lt;290</t>
  </si>
  <si>
    <t>Capac</t>
  </si>
  <si>
    <t>Mutualite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</si>
</sst>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1" zoomScaleNormal="100" workbookViewId="0">
      <pane xSplit="1" topLeftCell="V1" activePane="topRight" state="frozen"/>
      <selection pane="topRight" activeCell="AA35" sqref="AA35"/>
    </sheetView>
  </sheetViews>
  <sheetFormatPr baseColWidth="10" defaultColWidth="9.109375" defaultRowHeight="14.4"/>
  <cols>
    <col min="1" max="1" width="20.109375" style="208" customWidth="1"/>
    <col min="2" max="2" width="13.6640625" customWidth="1"/>
    <col min="3" max="3" width="11.109375" customWidth="1"/>
    <col min="4" max="4" width="11.5546875" customWidth="1"/>
    <col min="5" max="5" width="10.109375" customWidth="1"/>
    <col min="6" max="6" width="10.88671875" customWidth="1"/>
    <col min="7" max="7" width="11.3320312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2.109375" customWidth="1"/>
    <col min="13" max="13" width="10" customWidth="1"/>
    <col min="14" max="14" width="11.33203125" customWidth="1"/>
    <col min="15" max="15" width="11.109375" customWidth="1"/>
    <col min="16" max="16" width="11.33203125" customWidth="1"/>
    <col min="17" max="17" width="10.33203125" customWidth="1"/>
    <col min="18" max="18" width="11.109375" customWidth="1"/>
    <col min="19" max="19" width="11.33203125" customWidth="1"/>
    <col min="20" max="20" width="10.44140625" customWidth="1"/>
    <col min="21" max="21" width="10.5546875" customWidth="1"/>
    <col min="22" max="23" width="11" customWidth="1"/>
    <col min="24" max="24" width="10.5546875" customWidth="1"/>
    <col min="25" max="25" width="10.109375" customWidth="1"/>
    <col min="26" max="26" width="11.44140625" customWidth="1"/>
    <col min="27" max="28" width="11" customWidth="1"/>
    <col min="29" max="29" width="9.44140625" customWidth="1"/>
    <col min="30" max="30" width="11.109375" customWidth="1"/>
    <col min="31" max="31" width="11" customWidth="1"/>
    <col min="32" max="32" width="11.33203125" customWidth="1"/>
    <col min="33" max="33" width="10.6640625" customWidth="1"/>
    <col min="34" max="34" width="11.109375" customWidth="1"/>
    <col min="35" max="35" width="11.33203125" customWidth="1"/>
    <col min="36" max="36" width="10.44140625" customWidth="1"/>
    <col min="37" max="37" width="10.109375" customWidth="1"/>
    <col min="38" max="38" width="11.109375" customWidth="1"/>
    <col min="39" max="39" width="11.44140625" customWidth="1"/>
    <col min="40" max="40" width="10.109375" customWidth="1"/>
    <col min="41" max="41" width="9.88671875" customWidth="1"/>
    <col min="42" max="44" width="11.109375" customWidth="1"/>
    <col min="45" max="45" width="10.33203125" customWidth="1"/>
    <col min="46" max="46" width="11.109375" customWidth="1"/>
    <col min="47" max="47" width="11.44140625" customWidth="1"/>
    <col min="48" max="48" width="10.6640625" customWidth="1"/>
    <col min="49" max="49" width="10.44140625" customWidth="1"/>
    <col min="50" max="50" width="12.109375" customWidth="1"/>
    <col min="52" max="52" width="21.6640625" customWidth="1"/>
    <col min="53" max="53" width="26.88671875" customWidth="1"/>
    <col min="54" max="54" width="19.33203125" customWidth="1"/>
    <col min="55" max="55" width="24" customWidth="1"/>
    <col min="56" max="56" width="11.109375" customWidth="1"/>
    <col min="57" max="57" width="23.44140625" customWidth="1"/>
    <col min="58" max="58" width="17.33203125" customWidth="1"/>
    <col min="60" max="60" width="16" customWidth="1"/>
    <col min="62" max="62" width="23.4414062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2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8" thickTop="1" thickBot="1">
      <c r="A4" s="203" t="s">
        <v>4</v>
      </c>
      <c r="B4" s="214">
        <v>2018</v>
      </c>
      <c r="C4" s="384" t="s">
        <v>0</v>
      </c>
      <c r="D4" s="385"/>
      <c r="E4" s="385"/>
      <c r="F4" s="386"/>
      <c r="G4" s="384" t="s">
        <v>1</v>
      </c>
      <c r="H4" s="385"/>
      <c r="I4" s="385"/>
      <c r="J4" s="386"/>
      <c r="K4" s="384" t="s">
        <v>2</v>
      </c>
      <c r="L4" s="385"/>
      <c r="M4" s="385"/>
      <c r="N4" s="386"/>
      <c r="O4" s="384" t="s">
        <v>3</v>
      </c>
      <c r="P4" s="385"/>
      <c r="Q4" s="385"/>
      <c r="R4" s="386"/>
      <c r="S4" s="384" t="s">
        <v>71</v>
      </c>
      <c r="T4" s="385"/>
      <c r="U4" s="385"/>
      <c r="V4" s="386"/>
      <c r="W4" s="384" t="s">
        <v>70</v>
      </c>
      <c r="X4" s="385"/>
      <c r="Y4" s="385"/>
      <c r="Z4" s="386"/>
      <c r="AA4" s="384" t="s">
        <v>72</v>
      </c>
      <c r="AB4" s="385"/>
      <c r="AC4" s="385"/>
      <c r="AD4" s="386"/>
      <c r="AE4" s="384" t="s">
        <v>73</v>
      </c>
      <c r="AF4" s="385"/>
      <c r="AG4" s="385"/>
      <c r="AH4" s="386"/>
      <c r="AI4" s="384" t="s">
        <v>75</v>
      </c>
      <c r="AJ4" s="385"/>
      <c r="AK4" s="385"/>
      <c r="AL4" s="386"/>
      <c r="AM4" s="384" t="s">
        <v>77</v>
      </c>
      <c r="AN4" s="385"/>
      <c r="AO4" s="385"/>
      <c r="AP4" s="386"/>
      <c r="AQ4" s="384" t="s">
        <v>79</v>
      </c>
      <c r="AR4" s="385"/>
      <c r="AS4" s="385"/>
      <c r="AT4" s="386"/>
      <c r="AU4" s="384" t="s">
        <v>84</v>
      </c>
      <c r="AV4" s="385"/>
      <c r="AW4" s="385"/>
      <c r="AX4" s="386"/>
      <c r="AZ4" s="1"/>
      <c r="BA4" s="1"/>
      <c r="BB4" s="1"/>
      <c r="BC4" s="1"/>
    </row>
    <row r="5" spans="1:55" ht="16.2" thickBot="1">
      <c r="A5" s="204" t="s">
        <v>5</v>
      </c>
      <c r="B5" s="228">
        <v>22909.4</v>
      </c>
      <c r="C5" s="393">
        <f>'01'!K19</f>
        <v>26383.54</v>
      </c>
      <c r="D5" s="391"/>
      <c r="E5" s="391"/>
      <c r="F5" s="392"/>
      <c r="G5" s="393">
        <f>'02'!K19</f>
        <v>25229.379999999997</v>
      </c>
      <c r="H5" s="391"/>
      <c r="I5" s="391"/>
      <c r="J5" s="392"/>
      <c r="K5" s="390">
        <f>'03'!K19</f>
        <v>25574.760000000002</v>
      </c>
      <c r="L5" s="391"/>
      <c r="M5" s="391"/>
      <c r="N5" s="392"/>
      <c r="O5" s="390">
        <f>'04'!K19</f>
        <v>26443.759999999998</v>
      </c>
      <c r="P5" s="391"/>
      <c r="Q5" s="391"/>
      <c r="R5" s="392"/>
      <c r="S5" s="390">
        <f>'05'!K19</f>
        <v>27163.090000000004</v>
      </c>
      <c r="T5" s="391"/>
      <c r="U5" s="391"/>
      <c r="V5" s="392"/>
      <c r="W5" s="390">
        <f>'06'!K19</f>
        <v>29014.079999999998</v>
      </c>
      <c r="X5" s="391"/>
      <c r="Y5" s="391"/>
      <c r="Z5" s="392"/>
      <c r="AA5" s="390">
        <f>'07'!K19</f>
        <v>29282.959999999999</v>
      </c>
      <c r="AB5" s="391"/>
      <c r="AC5" s="391"/>
      <c r="AD5" s="392"/>
      <c r="AE5" s="390">
        <f>'08'!K19</f>
        <v>29282.959999999999</v>
      </c>
      <c r="AF5" s="391"/>
      <c r="AG5" s="391"/>
      <c r="AH5" s="392"/>
      <c r="AI5" s="390">
        <f>'09'!K19</f>
        <v>15101.890000000001</v>
      </c>
      <c r="AJ5" s="391"/>
      <c r="AK5" s="391"/>
      <c r="AL5" s="392"/>
      <c r="AM5" s="390">
        <f>'10'!K19</f>
        <v>15101.890000000001</v>
      </c>
      <c r="AN5" s="391"/>
      <c r="AO5" s="391"/>
      <c r="AP5" s="392"/>
      <c r="AQ5" s="390">
        <f>'11'!K19</f>
        <v>15101.890000000001</v>
      </c>
      <c r="AR5" s="391"/>
      <c r="AS5" s="391"/>
      <c r="AT5" s="392"/>
      <c r="AU5" s="390">
        <f>'12'!K19</f>
        <v>15101.890000000001</v>
      </c>
      <c r="AV5" s="391"/>
      <c r="AW5" s="391"/>
      <c r="AX5" s="392"/>
      <c r="AZ5" s="6"/>
      <c r="BA5" s="7"/>
      <c r="BB5" s="1"/>
      <c r="BC5" s="1"/>
    </row>
    <row r="6" spans="1:55" ht="16.8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6.8" thickTop="1" thickBot="1">
      <c r="A7" s="23" t="s">
        <v>6</v>
      </c>
      <c r="B7" s="23" t="s">
        <v>53</v>
      </c>
      <c r="C7" s="387" t="s">
        <v>230</v>
      </c>
      <c r="D7" s="388"/>
      <c r="E7" s="388"/>
      <c r="F7" s="389"/>
      <c r="G7" s="387" t="s">
        <v>230</v>
      </c>
      <c r="H7" s="388"/>
      <c r="I7" s="388"/>
      <c r="J7" s="389"/>
      <c r="K7" s="387" t="s">
        <v>230</v>
      </c>
      <c r="L7" s="388"/>
      <c r="M7" s="388"/>
      <c r="N7" s="389"/>
      <c r="O7" s="387" t="s">
        <v>230</v>
      </c>
      <c r="P7" s="388"/>
      <c r="Q7" s="388"/>
      <c r="R7" s="389"/>
      <c r="S7" s="387" t="s">
        <v>230</v>
      </c>
      <c r="T7" s="388"/>
      <c r="U7" s="388"/>
      <c r="V7" s="389"/>
      <c r="W7" s="387" t="s">
        <v>230</v>
      </c>
      <c r="X7" s="388"/>
      <c r="Y7" s="388"/>
      <c r="Z7" s="389"/>
      <c r="AA7" s="387" t="s">
        <v>230</v>
      </c>
      <c r="AB7" s="388"/>
      <c r="AC7" s="388"/>
      <c r="AD7" s="389"/>
      <c r="AE7" s="387" t="s">
        <v>230</v>
      </c>
      <c r="AF7" s="388"/>
      <c r="AG7" s="388"/>
      <c r="AH7" s="389"/>
      <c r="AI7" s="387" t="s">
        <v>230</v>
      </c>
      <c r="AJ7" s="388"/>
      <c r="AK7" s="388"/>
      <c r="AL7" s="389"/>
      <c r="AM7" s="387" t="s">
        <v>230</v>
      </c>
      <c r="AN7" s="388"/>
      <c r="AO7" s="388"/>
      <c r="AP7" s="389"/>
      <c r="AQ7" s="387" t="s">
        <v>230</v>
      </c>
      <c r="AR7" s="388"/>
      <c r="AS7" s="388"/>
      <c r="AT7" s="389"/>
      <c r="AU7" s="387" t="s">
        <v>230</v>
      </c>
      <c r="AV7" s="388"/>
      <c r="AW7" s="388"/>
      <c r="AX7" s="389"/>
      <c r="AZ7" s="9" t="s">
        <v>232</v>
      </c>
      <c r="BA7" s="13" t="s">
        <v>188</v>
      </c>
      <c r="BB7" s="1"/>
      <c r="BC7" s="1"/>
    </row>
    <row r="8" spans="1:55" ht="15.6">
      <c r="A8" s="206" t="s">
        <v>212</v>
      </c>
      <c r="B8" s="192">
        <v>33389.54</v>
      </c>
      <c r="C8" s="394">
        <f>SUM('01'!L25:'01'!L29)</f>
        <v>2593.46</v>
      </c>
      <c r="D8" s="395"/>
      <c r="E8" s="395"/>
      <c r="F8" s="396"/>
      <c r="G8" s="394">
        <f>SUM('02'!L25:'02'!L29)</f>
        <v>2592.42</v>
      </c>
      <c r="H8" s="395"/>
      <c r="I8" s="395"/>
      <c r="J8" s="396"/>
      <c r="K8" s="394">
        <f>SUM('03'!L25:'03'!L29)</f>
        <v>2526.87</v>
      </c>
      <c r="L8" s="395"/>
      <c r="M8" s="395"/>
      <c r="N8" s="396"/>
      <c r="O8" s="394">
        <f>SUM('04'!L25:'04'!L29)</f>
        <v>2570.56</v>
      </c>
      <c r="P8" s="395"/>
      <c r="Q8" s="395"/>
      <c r="R8" s="396"/>
      <c r="S8" s="394">
        <f>SUM('05'!L25:'05'!L29)</f>
        <v>4448.8500000000004</v>
      </c>
      <c r="T8" s="395"/>
      <c r="U8" s="395"/>
      <c r="V8" s="396"/>
      <c r="W8" s="394">
        <f>SUM('06'!L25:'06'!L29)</f>
        <v>2574.61</v>
      </c>
      <c r="X8" s="395"/>
      <c r="Y8" s="395"/>
      <c r="Z8" s="396"/>
      <c r="AA8" s="394">
        <f>SUM('07'!L25:'07'!L29)</f>
        <v>0</v>
      </c>
      <c r="AB8" s="395"/>
      <c r="AC8" s="395"/>
      <c r="AD8" s="396"/>
      <c r="AE8" s="394">
        <f>SUM('08'!L25:'08'!L29)</f>
        <v>0</v>
      </c>
      <c r="AF8" s="395"/>
      <c r="AG8" s="395"/>
      <c r="AH8" s="396"/>
      <c r="AI8" s="394">
        <f>SUM('09'!L25:'09'!L29)</f>
        <v>0</v>
      </c>
      <c r="AJ8" s="395"/>
      <c r="AK8" s="395"/>
      <c r="AL8" s="396"/>
      <c r="AM8" s="394">
        <f>SUM('10'!L25:'10'!L29)</f>
        <v>0</v>
      </c>
      <c r="AN8" s="395"/>
      <c r="AO8" s="395"/>
      <c r="AP8" s="396"/>
      <c r="AQ8" s="394">
        <f>SUM('11'!L25:'11'!L29)</f>
        <v>0</v>
      </c>
      <c r="AR8" s="395"/>
      <c r="AS8" s="395"/>
      <c r="AT8" s="396"/>
      <c r="AU8" s="394">
        <f>SUM('12'!L25:'12'!L29)</f>
        <v>0</v>
      </c>
      <c r="AV8" s="395"/>
      <c r="AW8" s="395"/>
      <c r="AX8" s="396"/>
      <c r="AZ8" s="209">
        <f>SUM(C8:AU8)</f>
        <v>17306.77</v>
      </c>
      <c r="BA8" s="112">
        <f t="shared" ref="BA8:BA16" ca="1" si="0">AZ8/BC$17</f>
        <v>2472.3957142857143</v>
      </c>
      <c r="BB8" s="1"/>
      <c r="BC8" s="1"/>
    </row>
    <row r="9" spans="1:55" ht="15.6">
      <c r="A9" s="189" t="s">
        <v>213</v>
      </c>
      <c r="B9" s="193">
        <v>5835.74</v>
      </c>
      <c r="C9" s="381">
        <f>SUM('01'!L30:'01'!L34)</f>
        <v>655.59</v>
      </c>
      <c r="D9" s="382"/>
      <c r="E9" s="382"/>
      <c r="F9" s="383"/>
      <c r="G9" s="381">
        <f>SUM('02'!L30:'02'!L34)</f>
        <v>760.26</v>
      </c>
      <c r="H9" s="382"/>
      <c r="I9" s="382"/>
      <c r="J9" s="383"/>
      <c r="K9" s="381">
        <f>SUM('03'!L30:'03'!L34)</f>
        <v>516.44000000000005</v>
      </c>
      <c r="L9" s="382"/>
      <c r="M9" s="382"/>
      <c r="N9" s="383"/>
      <c r="O9" s="381">
        <f>SUM('04'!L30:'04'!L34)</f>
        <v>507.54</v>
      </c>
      <c r="P9" s="382"/>
      <c r="Q9" s="382"/>
      <c r="R9" s="383"/>
      <c r="S9" s="381">
        <f>SUM('05'!L30:'05'!L34)</f>
        <v>578.16999999999996</v>
      </c>
      <c r="T9" s="382"/>
      <c r="U9" s="382"/>
      <c r="V9" s="383"/>
      <c r="W9" s="381">
        <f>SUM('06'!L30:'06'!L34)</f>
        <v>613.67000000000007</v>
      </c>
      <c r="X9" s="382"/>
      <c r="Y9" s="382"/>
      <c r="Z9" s="383"/>
      <c r="AA9" s="381">
        <f>SUM('07'!L30:'07'!L34)</f>
        <v>1147.52</v>
      </c>
      <c r="AB9" s="382"/>
      <c r="AC9" s="382"/>
      <c r="AD9" s="383"/>
      <c r="AE9" s="381">
        <f>SUM('08'!L30:'08'!L34)</f>
        <v>0</v>
      </c>
      <c r="AF9" s="382"/>
      <c r="AG9" s="382"/>
      <c r="AH9" s="383"/>
      <c r="AI9" s="381">
        <f>SUM('09'!L30:'09'!L34)</f>
        <v>0</v>
      </c>
      <c r="AJ9" s="382"/>
      <c r="AK9" s="382"/>
      <c r="AL9" s="383"/>
      <c r="AM9" s="381">
        <f>SUM('10'!L30:'10'!L34)</f>
        <v>0</v>
      </c>
      <c r="AN9" s="382"/>
      <c r="AO9" s="382"/>
      <c r="AP9" s="383"/>
      <c r="AQ9" s="381">
        <f>SUM('11'!L30:'11'!L34)</f>
        <v>0</v>
      </c>
      <c r="AR9" s="382"/>
      <c r="AS9" s="382"/>
      <c r="AT9" s="383"/>
      <c r="AU9" s="381">
        <f>SUM('12'!L30:'12'!L34)</f>
        <v>0</v>
      </c>
      <c r="AV9" s="382"/>
      <c r="AW9" s="382"/>
      <c r="AX9" s="383"/>
      <c r="AZ9" s="210">
        <f t="shared" ref="AZ9:AZ16" si="1">SUM(C9:AW9)</f>
        <v>4779.1900000000005</v>
      </c>
      <c r="BA9" s="112">
        <f t="shared" ca="1" si="0"/>
        <v>682.74142857142863</v>
      </c>
      <c r="BB9" s="1"/>
      <c r="BC9" s="1"/>
    </row>
    <row r="10" spans="1:55" ht="15.6">
      <c r="A10" s="190" t="s">
        <v>218</v>
      </c>
      <c r="B10" s="194">
        <v>2731.18</v>
      </c>
      <c r="C10" s="381">
        <f>SUM('01'!L35:'01'!L39)</f>
        <v>120.85</v>
      </c>
      <c r="D10" s="382"/>
      <c r="E10" s="382"/>
      <c r="F10" s="383"/>
      <c r="G10" s="381">
        <f>SUM('02'!L35:'02'!L39)</f>
        <v>107.38</v>
      </c>
      <c r="H10" s="382"/>
      <c r="I10" s="382"/>
      <c r="J10" s="383"/>
      <c r="K10" s="381">
        <f>SUM('03'!L35:'03'!L39)</f>
        <v>91.73</v>
      </c>
      <c r="L10" s="382"/>
      <c r="M10" s="382"/>
      <c r="N10" s="383"/>
      <c r="O10" s="381">
        <f>SUM('04'!L35:'04'!L39)</f>
        <v>204.23</v>
      </c>
      <c r="P10" s="382"/>
      <c r="Q10" s="382"/>
      <c r="R10" s="383"/>
      <c r="S10" s="381">
        <f>SUM('05'!L35:'05'!L39)</f>
        <v>119.85</v>
      </c>
      <c r="T10" s="382"/>
      <c r="U10" s="382"/>
      <c r="V10" s="383"/>
      <c r="W10" s="397">
        <f>SUM('06'!L35:'06'!L39)</f>
        <v>55.09</v>
      </c>
      <c r="X10" s="398"/>
      <c r="Y10" s="398"/>
      <c r="Z10" s="399"/>
      <c r="AA10" s="397">
        <f>SUM('07'!L35:'07'!L39)</f>
        <v>0</v>
      </c>
      <c r="AB10" s="398"/>
      <c r="AC10" s="398"/>
      <c r="AD10" s="399"/>
      <c r="AE10" s="397">
        <f>SUM('08'!L35:'08'!L39)</f>
        <v>0</v>
      </c>
      <c r="AF10" s="398"/>
      <c r="AG10" s="398"/>
      <c r="AH10" s="399"/>
      <c r="AI10" s="397">
        <f>SUM('09'!L35:'09'!L39)</f>
        <v>0</v>
      </c>
      <c r="AJ10" s="398"/>
      <c r="AK10" s="398"/>
      <c r="AL10" s="399"/>
      <c r="AM10" s="397">
        <f>SUM('10'!L35:'10'!L39)</f>
        <v>0</v>
      </c>
      <c r="AN10" s="398"/>
      <c r="AO10" s="398"/>
      <c r="AP10" s="399"/>
      <c r="AQ10" s="397">
        <f>SUM('11'!L35:'11'!L39)</f>
        <v>0</v>
      </c>
      <c r="AR10" s="398"/>
      <c r="AS10" s="398"/>
      <c r="AT10" s="399"/>
      <c r="AU10" s="397">
        <f>SUM('12'!L35:'12'!L39)</f>
        <v>0</v>
      </c>
      <c r="AV10" s="398"/>
      <c r="AW10" s="398"/>
      <c r="AX10" s="399"/>
      <c r="AZ10" s="211">
        <f t="shared" si="1"/>
        <v>699.13</v>
      </c>
      <c r="BA10" s="112">
        <f t="shared" ca="1" si="0"/>
        <v>99.875714285714281</v>
      </c>
      <c r="BB10" s="1"/>
      <c r="BC10" s="1"/>
    </row>
    <row r="11" spans="1:55" ht="15.6">
      <c r="A11" s="189" t="s">
        <v>214</v>
      </c>
      <c r="B11" s="193">
        <v>2906.88</v>
      </c>
      <c r="C11" s="381">
        <f>SUM('01'!L40:'01'!L44)</f>
        <v>3.87</v>
      </c>
      <c r="D11" s="382"/>
      <c r="E11" s="382"/>
      <c r="F11" s="383"/>
      <c r="G11" s="381">
        <f>SUM('02'!L40:'02'!L44)</f>
        <v>0</v>
      </c>
      <c r="H11" s="382"/>
      <c r="I11" s="382"/>
      <c r="J11" s="383"/>
      <c r="K11" s="381">
        <f>SUM('03'!L40:'03'!L44)</f>
        <v>0</v>
      </c>
      <c r="L11" s="382"/>
      <c r="M11" s="382"/>
      <c r="N11" s="383"/>
      <c r="O11" s="381">
        <f>SUM('04'!L40:'04'!L44)</f>
        <v>356.59</v>
      </c>
      <c r="P11" s="382"/>
      <c r="Q11" s="382"/>
      <c r="R11" s="383"/>
      <c r="S11" s="381">
        <f>SUM('05'!L40:'05'!L44)</f>
        <v>45.86</v>
      </c>
      <c r="T11" s="382"/>
      <c r="U11" s="382"/>
      <c r="V11" s="383"/>
      <c r="W11" s="381">
        <f>SUM('06'!L40:'06'!L44)</f>
        <v>0</v>
      </c>
      <c r="X11" s="382"/>
      <c r="Y11" s="382"/>
      <c r="Z11" s="383"/>
      <c r="AA11" s="381">
        <f>SUM('07'!L40:'07'!L44)</f>
        <v>1</v>
      </c>
      <c r="AB11" s="382"/>
      <c r="AC11" s="382"/>
      <c r="AD11" s="383"/>
      <c r="AE11" s="381">
        <f>SUM('08'!L40:'08'!L44)</f>
        <v>0</v>
      </c>
      <c r="AF11" s="382"/>
      <c r="AG11" s="382"/>
      <c r="AH11" s="383"/>
      <c r="AI11" s="381">
        <f>SUM('09'!L40:'09'!L44)</f>
        <v>0</v>
      </c>
      <c r="AJ11" s="382"/>
      <c r="AK11" s="382"/>
      <c r="AL11" s="383"/>
      <c r="AM11" s="381">
        <f>SUM('10'!L40:'10'!L44)</f>
        <v>0</v>
      </c>
      <c r="AN11" s="382"/>
      <c r="AO11" s="382"/>
      <c r="AP11" s="383"/>
      <c r="AQ11" s="381">
        <f>SUM('11'!L40:'11'!L44)</f>
        <v>0</v>
      </c>
      <c r="AR11" s="382"/>
      <c r="AS11" s="382"/>
      <c r="AT11" s="383"/>
      <c r="AU11" s="381">
        <f>SUM('12'!L40:'12'!L44)</f>
        <v>0</v>
      </c>
      <c r="AV11" s="382"/>
      <c r="AW11" s="382"/>
      <c r="AX11" s="383"/>
      <c r="AZ11" s="210">
        <f t="shared" si="1"/>
        <v>407.32</v>
      </c>
      <c r="BA11" s="112">
        <f t="shared" ca="1" si="0"/>
        <v>58.188571428571429</v>
      </c>
      <c r="BB11" s="1"/>
      <c r="BC11" s="1"/>
    </row>
    <row r="12" spans="1:55" ht="15.6">
      <c r="A12" s="190" t="s">
        <v>23</v>
      </c>
      <c r="B12" s="194">
        <v>3325.31</v>
      </c>
      <c r="C12" s="381">
        <f>SUM('01'!L45:'01'!L49)</f>
        <v>137</v>
      </c>
      <c r="D12" s="382"/>
      <c r="E12" s="382"/>
      <c r="F12" s="383"/>
      <c r="G12" s="381">
        <f>SUM('02'!L45:'02'!L49)</f>
        <v>600.04</v>
      </c>
      <c r="H12" s="382"/>
      <c r="I12" s="382"/>
      <c r="J12" s="383"/>
      <c r="K12" s="381">
        <f>SUM('03'!L45:'03'!L49)</f>
        <v>380</v>
      </c>
      <c r="L12" s="382"/>
      <c r="M12" s="382"/>
      <c r="N12" s="383"/>
      <c r="O12" s="381">
        <f>SUM('04'!L45:'04'!L49)</f>
        <v>0</v>
      </c>
      <c r="P12" s="382"/>
      <c r="Q12" s="382"/>
      <c r="R12" s="383"/>
      <c r="S12" s="381">
        <f>SUM('05'!L45:'05'!L49)</f>
        <v>0</v>
      </c>
      <c r="T12" s="382"/>
      <c r="U12" s="382"/>
      <c r="V12" s="383"/>
      <c r="W12" s="397">
        <f>SUM('06'!L45:'06'!L49)</f>
        <v>242.41</v>
      </c>
      <c r="X12" s="398"/>
      <c r="Y12" s="398"/>
      <c r="Z12" s="399"/>
      <c r="AA12" s="397">
        <f>SUM('07'!L45:'07'!L49)</f>
        <v>0</v>
      </c>
      <c r="AB12" s="398"/>
      <c r="AC12" s="398"/>
      <c r="AD12" s="399"/>
      <c r="AE12" s="397">
        <f>SUM('08'!L45:'08'!L49)</f>
        <v>0</v>
      </c>
      <c r="AF12" s="398"/>
      <c r="AG12" s="398"/>
      <c r="AH12" s="399"/>
      <c r="AI12" s="397">
        <f>SUM('09'!L45:'09'!L49)</f>
        <v>0</v>
      </c>
      <c r="AJ12" s="398"/>
      <c r="AK12" s="398"/>
      <c r="AL12" s="399"/>
      <c r="AM12" s="397">
        <f>SUM('10'!L45:'10'!L49)</f>
        <v>0</v>
      </c>
      <c r="AN12" s="398"/>
      <c r="AO12" s="398"/>
      <c r="AP12" s="399"/>
      <c r="AQ12" s="397">
        <f>SUM('11'!L45:'11'!L49)</f>
        <v>0</v>
      </c>
      <c r="AR12" s="398"/>
      <c r="AS12" s="398"/>
      <c r="AT12" s="399"/>
      <c r="AU12" s="397">
        <f>SUM('12'!L45:'12'!L49)</f>
        <v>0</v>
      </c>
      <c r="AV12" s="398"/>
      <c r="AW12" s="398"/>
      <c r="AX12" s="399"/>
      <c r="AZ12" s="211">
        <f t="shared" si="1"/>
        <v>1359.45</v>
      </c>
      <c r="BA12" s="112">
        <f t="shared" ca="1" si="0"/>
        <v>194.20714285714286</v>
      </c>
      <c r="BB12" s="1"/>
      <c r="BC12" s="1"/>
    </row>
    <row r="13" spans="1:55" ht="15.6">
      <c r="A13" s="189" t="s">
        <v>215</v>
      </c>
      <c r="B13" s="195">
        <v>3443.8099999999995</v>
      </c>
      <c r="C13" s="381">
        <f>SUM('01'!L50:'01'!L54)</f>
        <v>95.8</v>
      </c>
      <c r="D13" s="382"/>
      <c r="E13" s="382"/>
      <c r="F13" s="383"/>
      <c r="G13" s="381">
        <f>SUM('02'!L50:'02'!L54)</f>
        <v>95.8</v>
      </c>
      <c r="H13" s="382"/>
      <c r="I13" s="382"/>
      <c r="J13" s="383"/>
      <c r="K13" s="381">
        <f>SUM('03'!L50:'03'!L54)</f>
        <v>4517.74</v>
      </c>
      <c r="L13" s="382"/>
      <c r="M13" s="382"/>
      <c r="N13" s="383"/>
      <c r="O13" s="381">
        <f>SUM('04'!L50:'04'!L54)</f>
        <v>95.8</v>
      </c>
      <c r="P13" s="382"/>
      <c r="Q13" s="382"/>
      <c r="R13" s="383"/>
      <c r="S13" s="381">
        <f>SUM('05'!L50:'05'!L54)</f>
        <v>95.8</v>
      </c>
      <c r="T13" s="382"/>
      <c r="U13" s="382"/>
      <c r="V13" s="383"/>
      <c r="W13" s="381">
        <f>SUM('06'!L50:'06'!L54)</f>
        <v>95.8</v>
      </c>
      <c r="X13" s="382"/>
      <c r="Y13" s="382"/>
      <c r="Z13" s="383"/>
      <c r="AA13" s="381">
        <f>SUM('07'!L50:'07'!L54)</f>
        <v>95.8</v>
      </c>
      <c r="AB13" s="382"/>
      <c r="AC13" s="382"/>
      <c r="AD13" s="383"/>
      <c r="AE13" s="381">
        <f>SUM('08'!L50:'08'!L54)</f>
        <v>0</v>
      </c>
      <c r="AF13" s="382"/>
      <c r="AG13" s="382"/>
      <c r="AH13" s="383"/>
      <c r="AI13" s="381">
        <f>SUM('09'!L50:'09'!L54)</f>
        <v>0</v>
      </c>
      <c r="AJ13" s="382"/>
      <c r="AK13" s="382"/>
      <c r="AL13" s="383"/>
      <c r="AM13" s="381">
        <f>SUM('10'!L50:'10'!L54)</f>
        <v>0</v>
      </c>
      <c r="AN13" s="382"/>
      <c r="AO13" s="382"/>
      <c r="AP13" s="383"/>
      <c r="AQ13" s="381">
        <f>SUM('11'!L50:'11'!L54)</f>
        <v>0</v>
      </c>
      <c r="AR13" s="382"/>
      <c r="AS13" s="382"/>
      <c r="AT13" s="383"/>
      <c r="AU13" s="381">
        <f>SUM('12'!L50:'12'!L54)</f>
        <v>0</v>
      </c>
      <c r="AV13" s="382"/>
      <c r="AW13" s="382"/>
      <c r="AX13" s="383"/>
      <c r="AZ13" s="212">
        <f t="shared" si="1"/>
        <v>5092.5400000000009</v>
      </c>
      <c r="BA13" s="112">
        <f t="shared" ca="1" si="0"/>
        <v>727.50571428571436</v>
      </c>
      <c r="BB13" s="1"/>
      <c r="BC13" s="1"/>
    </row>
    <row r="14" spans="1:55" ht="15.6">
      <c r="A14" s="190" t="s">
        <v>216</v>
      </c>
      <c r="B14" s="194">
        <v>364.62</v>
      </c>
      <c r="C14" s="381">
        <f>SUM('01'!L55:'01'!L59)</f>
        <v>0</v>
      </c>
      <c r="D14" s="382"/>
      <c r="E14" s="382"/>
      <c r="F14" s="383"/>
      <c r="G14" s="381">
        <f>SUM('02'!L55:'02'!L59)</f>
        <v>0</v>
      </c>
      <c r="H14" s="382"/>
      <c r="I14" s="382"/>
      <c r="J14" s="383"/>
      <c r="K14" s="381">
        <f>SUM('03'!L55:'03'!L59)</f>
        <v>9.44</v>
      </c>
      <c r="L14" s="382"/>
      <c r="M14" s="382"/>
      <c r="N14" s="383"/>
      <c r="O14" s="381">
        <f>SUM('04'!L55:'04'!L59)</f>
        <v>37.980000000000004</v>
      </c>
      <c r="P14" s="382"/>
      <c r="Q14" s="382"/>
      <c r="R14" s="383"/>
      <c r="S14" s="381">
        <f>SUM('05'!L55:'05'!L59)</f>
        <v>17.350000000000001</v>
      </c>
      <c r="T14" s="382"/>
      <c r="U14" s="382"/>
      <c r="V14" s="383"/>
      <c r="W14" s="397">
        <f>SUM('06'!L55:'06'!L59)</f>
        <v>0</v>
      </c>
      <c r="X14" s="398"/>
      <c r="Y14" s="398"/>
      <c r="Z14" s="399"/>
      <c r="AA14" s="397">
        <f>SUM('07'!L55:'07'!L59)</f>
        <v>37.489999999999995</v>
      </c>
      <c r="AB14" s="398"/>
      <c r="AC14" s="398"/>
      <c r="AD14" s="399"/>
      <c r="AE14" s="397">
        <f>SUM('08'!L55:'08'!L59)</f>
        <v>0</v>
      </c>
      <c r="AF14" s="398"/>
      <c r="AG14" s="398"/>
      <c r="AH14" s="399"/>
      <c r="AI14" s="397">
        <f>SUM('09'!L55:'09'!L59)</f>
        <v>0</v>
      </c>
      <c r="AJ14" s="398"/>
      <c r="AK14" s="398"/>
      <c r="AL14" s="399"/>
      <c r="AM14" s="397">
        <f>SUM('10'!L55:'10'!L59)</f>
        <v>0</v>
      </c>
      <c r="AN14" s="398"/>
      <c r="AO14" s="398"/>
      <c r="AP14" s="399"/>
      <c r="AQ14" s="397">
        <f>SUM('11'!L55:'11'!L59)</f>
        <v>0</v>
      </c>
      <c r="AR14" s="398"/>
      <c r="AS14" s="398"/>
      <c r="AT14" s="399"/>
      <c r="AU14" s="397">
        <f>SUM('12'!L55:'12'!L59)</f>
        <v>0</v>
      </c>
      <c r="AV14" s="398"/>
      <c r="AW14" s="398"/>
      <c r="AX14" s="399"/>
      <c r="AZ14" s="211">
        <f t="shared" si="1"/>
        <v>102.26</v>
      </c>
      <c r="BA14" s="112">
        <f t="shared" ca="1" si="0"/>
        <v>14.608571428571429</v>
      </c>
      <c r="BB14" s="3"/>
      <c r="BC14" s="3"/>
    </row>
    <row r="15" spans="1:55" ht="15.6">
      <c r="A15" s="189" t="s">
        <v>217</v>
      </c>
      <c r="B15" s="193">
        <v>7756.04</v>
      </c>
      <c r="C15" s="381">
        <f>SUM('01'!L60:'01'!L64)</f>
        <v>0</v>
      </c>
      <c r="D15" s="382"/>
      <c r="E15" s="382"/>
      <c r="F15" s="383"/>
      <c r="G15" s="381">
        <f>SUM('02'!L60:'02'!L64)</f>
        <v>665.77</v>
      </c>
      <c r="H15" s="382"/>
      <c r="I15" s="382"/>
      <c r="J15" s="383"/>
      <c r="K15" s="381">
        <f>SUM('03'!L60:'03'!L64)</f>
        <v>682.39</v>
      </c>
      <c r="L15" s="382"/>
      <c r="M15" s="382"/>
      <c r="N15" s="383"/>
      <c r="O15" s="381">
        <f>SUM('04'!L60:'04'!L64)</f>
        <v>550</v>
      </c>
      <c r="P15" s="382"/>
      <c r="Q15" s="382"/>
      <c r="R15" s="383"/>
      <c r="S15" s="381">
        <f>SUM('05'!L60:'05'!L64)</f>
        <v>652.44000000000005</v>
      </c>
      <c r="T15" s="382"/>
      <c r="U15" s="382"/>
      <c r="V15" s="383"/>
      <c r="W15" s="381">
        <f>SUM('06'!L60:'06'!L64)</f>
        <v>511.74</v>
      </c>
      <c r="X15" s="382"/>
      <c r="Y15" s="382"/>
      <c r="Z15" s="383"/>
      <c r="AA15" s="381">
        <f>SUM('07'!L60:'07'!L64)</f>
        <v>649.1</v>
      </c>
      <c r="AB15" s="382"/>
      <c r="AC15" s="382"/>
      <c r="AD15" s="383"/>
      <c r="AE15" s="381">
        <f>SUM('08'!L60:'08'!L64)</f>
        <v>0</v>
      </c>
      <c r="AF15" s="382"/>
      <c r="AG15" s="382"/>
      <c r="AH15" s="383"/>
      <c r="AI15" s="381">
        <f>SUM('09'!L60:'09'!L64)</f>
        <v>0</v>
      </c>
      <c r="AJ15" s="382"/>
      <c r="AK15" s="382"/>
      <c r="AL15" s="383"/>
      <c r="AM15" s="381">
        <f>SUM('10'!L60:'10'!L64)</f>
        <v>0</v>
      </c>
      <c r="AN15" s="382"/>
      <c r="AO15" s="382"/>
      <c r="AP15" s="383"/>
      <c r="AQ15" s="381">
        <f>SUM('11'!L60:'11'!L64)</f>
        <v>0</v>
      </c>
      <c r="AR15" s="382"/>
      <c r="AS15" s="382"/>
      <c r="AT15" s="383"/>
      <c r="AU15" s="381">
        <f>SUM('12'!L60:'12'!L64)</f>
        <v>0</v>
      </c>
      <c r="AV15" s="382"/>
      <c r="AW15" s="382"/>
      <c r="AX15" s="383"/>
      <c r="AZ15" s="210">
        <f t="shared" si="1"/>
        <v>3711.44</v>
      </c>
      <c r="BA15" s="112">
        <f t="shared" ca="1" si="0"/>
        <v>530.20571428571429</v>
      </c>
      <c r="BB15" s="1"/>
      <c r="BC15" s="1"/>
    </row>
    <row r="16" spans="1:55" ht="16.2" thickBot="1">
      <c r="A16" s="191" t="s">
        <v>42</v>
      </c>
      <c r="B16" s="196">
        <v>2018.96</v>
      </c>
      <c r="C16" s="381">
        <f>SUM('01'!L65:'01'!L69)</f>
        <v>85</v>
      </c>
      <c r="D16" s="382"/>
      <c r="E16" s="382"/>
      <c r="F16" s="383"/>
      <c r="G16" s="381">
        <f>SUM('02'!L65:'02'!L69)</f>
        <v>0</v>
      </c>
      <c r="H16" s="382"/>
      <c r="I16" s="382"/>
      <c r="J16" s="383"/>
      <c r="K16" s="381">
        <f>SUM('03'!L65:'03'!L69)</f>
        <v>0</v>
      </c>
      <c r="L16" s="382"/>
      <c r="M16" s="382"/>
      <c r="N16" s="383"/>
      <c r="O16" s="381">
        <f>SUM('04'!L65:'04'!L69)</f>
        <v>0</v>
      </c>
      <c r="P16" s="382"/>
      <c r="Q16" s="382"/>
      <c r="R16" s="383"/>
      <c r="S16" s="381">
        <f>SUM('05'!L65:'05'!L69)</f>
        <v>0</v>
      </c>
      <c r="T16" s="382"/>
      <c r="U16" s="382"/>
      <c r="V16" s="383"/>
      <c r="W16" s="400">
        <f>SUM('06'!L65:'06'!L69)</f>
        <v>0</v>
      </c>
      <c r="X16" s="401"/>
      <c r="Y16" s="401"/>
      <c r="Z16" s="402"/>
      <c r="AA16" s="400">
        <f>SUM('07'!L65:'07'!L69)</f>
        <v>0</v>
      </c>
      <c r="AB16" s="401"/>
      <c r="AC16" s="401"/>
      <c r="AD16" s="402"/>
      <c r="AE16" s="400">
        <f>SUM('08'!L65:'08'!L69)</f>
        <v>0</v>
      </c>
      <c r="AF16" s="401"/>
      <c r="AG16" s="401"/>
      <c r="AH16" s="402"/>
      <c r="AI16" s="400">
        <f>SUM('09'!L65:'09'!L69)</f>
        <v>0</v>
      </c>
      <c r="AJ16" s="401"/>
      <c r="AK16" s="401"/>
      <c r="AL16" s="402"/>
      <c r="AM16" s="400">
        <f>SUM('10'!L65:'10'!L69)</f>
        <v>0</v>
      </c>
      <c r="AN16" s="401"/>
      <c r="AO16" s="401"/>
      <c r="AP16" s="402"/>
      <c r="AQ16" s="400">
        <f>SUM('11'!L65:'11'!L69)</f>
        <v>0</v>
      </c>
      <c r="AR16" s="401"/>
      <c r="AS16" s="401"/>
      <c r="AT16" s="402"/>
      <c r="AU16" s="400">
        <f>SUM('12'!L65:'12'!L69)</f>
        <v>0</v>
      </c>
      <c r="AV16" s="401"/>
      <c r="AW16" s="401"/>
      <c r="AX16" s="402"/>
      <c r="AZ16" s="213">
        <f t="shared" si="1"/>
        <v>85</v>
      </c>
      <c r="BA16" s="112">
        <f t="shared" ca="1" si="0"/>
        <v>12.142857142857142</v>
      </c>
      <c r="BB16" s="3"/>
      <c r="BC16" s="3"/>
    </row>
    <row r="17" spans="1:62" ht="16.2" thickBot="1">
      <c r="A17" s="215" t="s">
        <v>5</v>
      </c>
      <c r="B17" s="221">
        <f>SUM(B8:B16)</f>
        <v>61772.079999999994</v>
      </c>
      <c r="C17" s="377">
        <f>SUM(C8:C16)</f>
        <v>3691.57</v>
      </c>
      <c r="D17" s="378"/>
      <c r="E17" s="378"/>
      <c r="F17" s="379"/>
      <c r="G17" s="377">
        <f>SUM(G8:G16)</f>
        <v>4821.67</v>
      </c>
      <c r="H17" s="378"/>
      <c r="I17" s="378"/>
      <c r="J17" s="379"/>
      <c r="K17" s="377">
        <f>SUM(K8:K16)</f>
        <v>8724.6099999999988</v>
      </c>
      <c r="L17" s="378"/>
      <c r="M17" s="378"/>
      <c r="N17" s="379"/>
      <c r="O17" s="377">
        <f>SUM(O8:O16)</f>
        <v>4322.7000000000007</v>
      </c>
      <c r="P17" s="378"/>
      <c r="Q17" s="378"/>
      <c r="R17" s="379"/>
      <c r="S17" s="377">
        <f>SUM(S8:S16)</f>
        <v>5958.3200000000015</v>
      </c>
      <c r="T17" s="378"/>
      <c r="U17" s="378"/>
      <c r="V17" s="379"/>
      <c r="W17" s="377">
        <f>SUM(W8:W16)</f>
        <v>4093.3200000000006</v>
      </c>
      <c r="X17" s="378"/>
      <c r="Y17" s="378"/>
      <c r="Z17" s="379"/>
      <c r="AA17" s="377">
        <f>SUM(AA8:AA16)</f>
        <v>1930.9099999999999</v>
      </c>
      <c r="AB17" s="378"/>
      <c r="AC17" s="378"/>
      <c r="AD17" s="379"/>
      <c r="AE17" s="377">
        <f>SUM(AE8:AE16)</f>
        <v>0</v>
      </c>
      <c r="AF17" s="378"/>
      <c r="AG17" s="378"/>
      <c r="AH17" s="379"/>
      <c r="AI17" s="377">
        <f>SUM(AI8:AI16)</f>
        <v>0</v>
      </c>
      <c r="AJ17" s="378"/>
      <c r="AK17" s="378"/>
      <c r="AL17" s="379"/>
      <c r="AM17" s="377">
        <f>SUM(AM8:AM16)</f>
        <v>0</v>
      </c>
      <c r="AN17" s="378"/>
      <c r="AO17" s="378"/>
      <c r="AP17" s="379"/>
      <c r="AQ17" s="377">
        <f>SUM(AQ8:AQ16)</f>
        <v>0</v>
      </c>
      <c r="AR17" s="378"/>
      <c r="AS17" s="378"/>
      <c r="AT17" s="379"/>
      <c r="AU17" s="377">
        <f>SUM(AU8:AU16)</f>
        <v>0</v>
      </c>
      <c r="AV17" s="378"/>
      <c r="AW17" s="378"/>
      <c r="AX17" s="379"/>
      <c r="AZ17" s="227">
        <f>SUM(AZ8:AZ16)</f>
        <v>33543.1</v>
      </c>
      <c r="BA17" s="112">
        <f ca="1">AZ17/BC$17</f>
        <v>4791.8714285714286</v>
      </c>
      <c r="BB17" s="1" t="s">
        <v>83</v>
      </c>
      <c r="BC17" s="1">
        <f ca="1">MONTH(TODAY())</f>
        <v>7</v>
      </c>
      <c r="BD17" s="39"/>
    </row>
    <row r="18" spans="1:62" ht="32.25" customHeight="1" thickTop="1" thickBot="1">
      <c r="A18" s="10"/>
      <c r="B18" s="10"/>
      <c r="C18" s="380"/>
      <c r="D18" s="380"/>
      <c r="E18" s="380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0"/>
      <c r="Q18" s="380"/>
      <c r="R18" s="380"/>
      <c r="S18" s="380"/>
      <c r="T18" s="380"/>
      <c r="U18" s="380"/>
      <c r="V18" s="380"/>
      <c r="W18" s="380"/>
      <c r="X18" s="380"/>
      <c r="Y18" s="380"/>
      <c r="Z18" s="380"/>
      <c r="AA18" s="380"/>
      <c r="AB18" s="380"/>
      <c r="AC18" s="380"/>
      <c r="AD18" s="380"/>
      <c r="AE18" s="380"/>
      <c r="AF18" s="380"/>
      <c r="AG18" s="380"/>
      <c r="AH18" s="380"/>
      <c r="AI18" s="380"/>
      <c r="AJ18" s="380"/>
      <c r="AK18" s="380"/>
      <c r="AL18" s="380"/>
      <c r="AM18" s="380"/>
      <c r="AN18" s="380"/>
      <c r="AO18" s="380"/>
      <c r="AP18" s="380"/>
      <c r="AQ18" s="380"/>
      <c r="AR18" s="380"/>
      <c r="AS18" s="380"/>
      <c r="AT18" s="380"/>
      <c r="AU18" s="380" t="s">
        <v>173</v>
      </c>
      <c r="AV18" s="380"/>
      <c r="AW18" s="380"/>
      <c r="AX18" s="380"/>
      <c r="AZ18" s="131">
        <f>(2500*13)+(600*12)+(550*12)+(95*12)</f>
        <v>47440</v>
      </c>
      <c r="BA18" s="131">
        <f ca="1">12*BA17</f>
        <v>57502.457142857143</v>
      </c>
      <c r="BB18" s="1"/>
      <c r="BC18" s="1"/>
    </row>
    <row r="19" spans="1:62" ht="16.8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6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766.34999999999991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1310.3499999999999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1854.35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2398.35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2942.35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3486.35</v>
      </c>
      <c r="AZ20" s="123">
        <f t="shared" ref="AZ20:AZ27" si="14">E20+I20+M20+Q20+U20+Y20+AC20+AG20+AK20+AO20+AS20+AW20</f>
        <v>3690.3500000000004</v>
      </c>
      <c r="BA20" s="21">
        <f t="shared" ref="BA20:BA45" si="15">AZ20/AZ$46</f>
        <v>0.12460898774423072</v>
      </c>
      <c r="BB20" s="22">
        <f>_xlfn.RANK.EQ(BA20,$BA$20:$BA$45,)</f>
        <v>3</v>
      </c>
      <c r="BC20" s="22">
        <f t="shared" ref="BC20:BC45" ca="1" si="16">AZ20/BC$17</f>
        <v>527.19285714285718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4007.92</v>
      </c>
      <c r="BF20" s="21">
        <f t="shared" ref="BF20:BF45" ca="1" si="18">BE20/BE$46</f>
        <v>0.11948567663692385</v>
      </c>
      <c r="BG20" s="22">
        <f ca="1">_xlfn.RANK.EQ(BF20,$BF$20:$BF$45,)</f>
        <v>4</v>
      </c>
      <c r="BH20" s="22">
        <f t="shared" ref="BH20:BH45" ca="1" si="19">BE20/BC$17</f>
        <v>572.56000000000006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317.57000000000028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0</v>
      </c>
      <c r="AD21" s="151">
        <f t="shared" si="8"/>
        <v>1484.0899999999995</v>
      </c>
      <c r="AE21" s="148" t="s">
        <v>73</v>
      </c>
      <c r="AF21" s="149">
        <f>'08'!B40</f>
        <v>1148</v>
      </c>
      <c r="AG21" s="150">
        <f>SUM('08'!D40:F40)</f>
        <v>0</v>
      </c>
      <c r="AH21" s="151">
        <f t="shared" si="9"/>
        <v>2632.0899999999992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3760.0899999999992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4888.0899999999992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6016.0899999999992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7144.0899999999992</v>
      </c>
      <c r="AZ21" s="152">
        <f t="shared" si="14"/>
        <v>7229.77</v>
      </c>
      <c r="BA21" s="21">
        <f t="shared" si="15"/>
        <v>0.24412164735691924</v>
      </c>
      <c r="BB21" s="22">
        <f t="shared" ref="BB21:BB45" si="20">_xlfn.RANK.EQ(BA21,$BA$20:$BA$45,)</f>
        <v>1</v>
      </c>
      <c r="BC21" s="22">
        <f t="shared" ca="1" si="16"/>
        <v>1032.8242857142857</v>
      </c>
      <c r="BE21" s="224">
        <f t="shared" ca="1" si="17"/>
        <v>8061</v>
      </c>
      <c r="BF21" s="21">
        <f t="shared" ca="1" si="18"/>
        <v>0.24031768083450844</v>
      </c>
      <c r="BG21" s="22">
        <f t="shared" ref="BG21:BG45" ca="1" si="21">_xlfn.RANK.EQ(BF21,$BF$20:$BF$45,)</f>
        <v>1</v>
      </c>
      <c r="BH21" s="22">
        <f t="shared" ca="1" si="19"/>
        <v>1151.5714285714287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831.22999999999979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290</v>
      </c>
      <c r="AC22" s="155">
        <f>SUM('07'!D60:F60)</f>
        <v>22.45</v>
      </c>
      <c r="AD22" s="156">
        <f t="shared" si="8"/>
        <v>757.23000000000013</v>
      </c>
      <c r="AE22" s="143" t="s">
        <v>73</v>
      </c>
      <c r="AF22" s="155">
        <f>'08'!B60</f>
        <v>300</v>
      </c>
      <c r="AG22" s="155">
        <f>SUM('08'!D60:F60)</f>
        <v>0</v>
      </c>
      <c r="AH22" s="156">
        <f t="shared" si="9"/>
        <v>1057.23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1547.23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2037.23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2527.23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3017.23</v>
      </c>
      <c r="AZ22" s="157">
        <f t="shared" si="14"/>
        <v>1932.8400000000001</v>
      </c>
      <c r="BA22" s="21">
        <f t="shared" si="15"/>
        <v>6.5264605219439595E-2</v>
      </c>
      <c r="BB22" s="22">
        <f t="shared" si="20"/>
        <v>6</v>
      </c>
      <c r="BC22" s="22">
        <f t="shared" ca="1" si="16"/>
        <v>276.12</v>
      </c>
      <c r="BE22" s="225">
        <f t="shared" ca="1" si="17"/>
        <v>2444</v>
      </c>
      <c r="BF22" s="21">
        <f t="shared" ca="1" si="18"/>
        <v>7.2861482689435389E-2</v>
      </c>
      <c r="BG22" s="22">
        <f t="shared" ca="1" si="21"/>
        <v>6</v>
      </c>
      <c r="BH22" s="22">
        <f t="shared" ca="1" si="19"/>
        <v>349.14285714285717</v>
      </c>
      <c r="BJ22" s="225">
        <f t="shared" ca="1" si="22"/>
        <v>511.15999999999997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42</v>
      </c>
      <c r="AD23" s="151">
        <f t="shared" si="8"/>
        <v>229.68000000000006</v>
      </c>
      <c r="AE23" s="148" t="s">
        <v>73</v>
      </c>
      <c r="AF23" s="149">
        <f>'08'!B80</f>
        <v>170</v>
      </c>
      <c r="AG23" s="150">
        <f>SUM('08'!D80:F80)</f>
        <v>0</v>
      </c>
      <c r="AH23" s="151">
        <f t="shared" si="9"/>
        <v>399.68000000000006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549.68000000000006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699.68000000000006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849.68000000000006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999.68000000000006</v>
      </c>
      <c r="AZ23" s="152">
        <f t="shared" si="14"/>
        <v>1047.4499999999998</v>
      </c>
      <c r="BA23" s="21">
        <f t="shared" si="15"/>
        <v>3.5368375414986233E-2</v>
      </c>
      <c r="BB23" s="22">
        <f t="shared" si="20"/>
        <v>7</v>
      </c>
      <c r="BC23" s="22">
        <f t="shared" ca="1" si="16"/>
        <v>149.63571428571427</v>
      </c>
      <c r="BE23" s="224">
        <f t="shared" ca="1" si="17"/>
        <v>1235</v>
      </c>
      <c r="BF23" s="21">
        <f t="shared" ca="1" si="18"/>
        <v>3.6818302422852986E-2</v>
      </c>
      <c r="BG23" s="22">
        <f t="shared" ca="1" si="21"/>
        <v>9</v>
      </c>
      <c r="BH23" s="22">
        <f t="shared" ca="1" si="19"/>
        <v>176.42857142857142</v>
      </c>
      <c r="BJ23" s="224">
        <f t="shared" ca="1" si="22"/>
        <v>187.55000000000004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250.01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410.01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570.01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730.01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890.01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1050.01</v>
      </c>
      <c r="AZ24" s="157">
        <f t="shared" si="14"/>
        <v>899.99</v>
      </c>
      <c r="BA24" s="21">
        <f t="shared" si="15"/>
        <v>3.0389215895492355E-2</v>
      </c>
      <c r="BB24" s="22">
        <f t="shared" si="20"/>
        <v>9</v>
      </c>
      <c r="BC24" s="22">
        <f t="shared" ca="1" si="16"/>
        <v>128.57</v>
      </c>
      <c r="BE24" s="225">
        <f t="shared" ca="1" si="17"/>
        <v>1150</v>
      </c>
      <c r="BF24" s="21">
        <f t="shared" ca="1" si="18"/>
        <v>3.4284249219660674E-2</v>
      </c>
      <c r="BG24" s="22">
        <f t="shared" ca="1" si="21"/>
        <v>11</v>
      </c>
      <c r="BH24" s="22">
        <f t="shared" ca="1" si="19"/>
        <v>164.28571428571428</v>
      </c>
      <c r="BJ24" s="225">
        <f t="shared" ca="1" si="22"/>
        <v>250.01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445</v>
      </c>
      <c r="AC25" s="150">
        <f>SUM('07'!D120:F120)</f>
        <v>258.47000000000003</v>
      </c>
      <c r="AD25" s="151">
        <f t="shared" si="8"/>
        <v>3159.1499999999978</v>
      </c>
      <c r="AE25" s="148" t="s">
        <v>73</v>
      </c>
      <c r="AF25" s="149">
        <f>'08'!B120</f>
        <v>445</v>
      </c>
      <c r="AG25" s="150">
        <f>SUM('08'!D120:F120)</f>
        <v>0</v>
      </c>
      <c r="AH25" s="151">
        <f t="shared" si="9"/>
        <v>3604.1499999999978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4009.1499999999978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4414.1499999999978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4819.1499999999978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5224.1499999999978</v>
      </c>
      <c r="AZ25" s="152">
        <f t="shared" si="14"/>
        <v>2286.75</v>
      </c>
      <c r="BA25" s="21">
        <f t="shared" si="15"/>
        <v>7.7214790663248628E-2</v>
      </c>
      <c r="BB25" s="22">
        <f t="shared" si="20"/>
        <v>4</v>
      </c>
      <c r="BC25" s="22">
        <f t="shared" ca="1" si="16"/>
        <v>326.67857142857144</v>
      </c>
      <c r="BE25" s="224">
        <f t="shared" ca="1" si="17"/>
        <v>2283.35</v>
      </c>
      <c r="BF25" s="21">
        <f t="shared" ca="1" si="18"/>
        <v>6.8072122135401911E-2</v>
      </c>
      <c r="BG25" s="22">
        <f t="shared" ca="1" si="21"/>
        <v>7</v>
      </c>
      <c r="BH25" s="22">
        <f t="shared" ca="1" si="19"/>
        <v>326.19285714285712</v>
      </c>
      <c r="BJ25" s="224">
        <f t="shared" ca="1" si="22"/>
        <v>-3.4000000000005457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0</v>
      </c>
      <c r="AD26" s="156">
        <f t="shared" si="8"/>
        <v>73.03</v>
      </c>
      <c r="AE26" s="143" t="s">
        <v>73</v>
      </c>
      <c r="AF26" s="155">
        <f>'08'!B140</f>
        <v>53</v>
      </c>
      <c r="AG26" s="155">
        <f>SUM('08'!D140:F140)</f>
        <v>0</v>
      </c>
      <c r="AH26" s="156">
        <f t="shared" si="9"/>
        <v>126.03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174.03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222.03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270.02999999999997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318.02999999999997</v>
      </c>
      <c r="AZ26" s="157">
        <f t="shared" si="14"/>
        <v>312.96000000000004</v>
      </c>
      <c r="BA26" s="21">
        <f t="shared" si="15"/>
        <v>1.0567460756956509E-2</v>
      </c>
      <c r="BB26" s="22">
        <f t="shared" si="20"/>
        <v>18</v>
      </c>
      <c r="BC26" s="22">
        <f t="shared" ca="1" si="16"/>
        <v>44.708571428571432</v>
      </c>
      <c r="BE26" s="225">
        <f t="shared" ca="1" si="17"/>
        <v>366.45</v>
      </c>
      <c r="BF26" s="21">
        <f t="shared" ca="1" si="18"/>
        <v>1.0924750544821438E-2</v>
      </c>
      <c r="BG26" s="22">
        <f t="shared" ca="1" si="21"/>
        <v>17</v>
      </c>
      <c r="BH26" s="22">
        <f t="shared" ca="1" si="19"/>
        <v>52.35</v>
      </c>
      <c r="BJ26" s="225">
        <f t="shared" ca="1" si="22"/>
        <v>53.490000000000052</v>
      </c>
    </row>
    <row r="27" spans="1:62" ht="16.2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1.0616421704354215E-2</v>
      </c>
      <c r="BB27" s="22">
        <f t="shared" si="20"/>
        <v>17</v>
      </c>
      <c r="BC27" s="22">
        <f t="shared" ca="1" si="16"/>
        <v>44.91571428571428</v>
      </c>
      <c r="BE27" s="224">
        <f t="shared" ca="1" si="17"/>
        <v>290</v>
      </c>
      <c r="BF27" s="21">
        <f t="shared" ca="1" si="18"/>
        <v>8.6455932814796486E-3</v>
      </c>
      <c r="BG27" s="22">
        <f t="shared" ca="1" si="21"/>
        <v>18</v>
      </c>
      <c r="BH27" s="22">
        <f t="shared" ca="1" si="19"/>
        <v>41.428571428571431</v>
      </c>
      <c r="BJ27" s="224">
        <f t="shared" ca="1" si="22"/>
        <v>-24.409999999999968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14.63</v>
      </c>
      <c r="AD28" s="159">
        <f t="shared" si="8"/>
        <v>1681.65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1881.65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2081.65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2281.65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2481.65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2681.65</v>
      </c>
      <c r="AZ28" s="182">
        <f t="shared" ref="AZ28:AZ45" si="23">E28+I28+M28+Q28+U28+Y28+AC28+AG28+AK28+AO28+AS28+AW28</f>
        <v>2007.44</v>
      </c>
      <c r="BA28" s="21">
        <f t="shared" si="15"/>
        <v>6.778356154762516E-2</v>
      </c>
      <c r="BB28" s="22">
        <f t="shared" si="20"/>
        <v>5</v>
      </c>
      <c r="BC28" s="22">
        <f t="shared" ca="1" si="16"/>
        <v>286.77714285714285</v>
      </c>
      <c r="BE28" s="223">
        <f t="shared" ca="1" si="17"/>
        <v>3080.04</v>
      </c>
      <c r="BF28" s="21">
        <f t="shared" ca="1" si="18"/>
        <v>9.1823355623064054E-2</v>
      </c>
      <c r="BG28" s="22">
        <f t="shared" ca="1" si="21"/>
        <v>5</v>
      </c>
      <c r="BH28" s="22">
        <f t="shared" ca="1" si="19"/>
        <v>440.0057142857143</v>
      </c>
      <c r="BJ28" s="223">
        <f t="shared" ca="1" si="22"/>
        <v>1072.5999999999999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47.94</v>
      </c>
      <c r="AD29" s="160">
        <f t="shared" si="8"/>
        <v>67.080000000000069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137.08000000000007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207.08000000000007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277.08000000000004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347.08000000000004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417.08000000000004</v>
      </c>
      <c r="AZ29" s="152">
        <f t="shared" si="23"/>
        <v>360.25</v>
      </c>
      <c r="BA29" s="21">
        <f t="shared" si="15"/>
        <v>1.2164262965534195E-2</v>
      </c>
      <c r="BB29" s="22">
        <f t="shared" si="20"/>
        <v>16</v>
      </c>
      <c r="BC29" s="22">
        <f t="shared" ca="1" si="16"/>
        <v>51.464285714285715</v>
      </c>
      <c r="BE29" s="224">
        <f t="shared" ca="1" si="17"/>
        <v>474</v>
      </c>
      <c r="BF29" s="21">
        <f t="shared" ca="1" si="18"/>
        <v>1.4131073156625358E-2</v>
      </c>
      <c r="BG29" s="22">
        <f t="shared" ca="1" si="21"/>
        <v>15</v>
      </c>
      <c r="BH29" s="22">
        <f t="shared" ca="1" si="19"/>
        <v>67.714285714285708</v>
      </c>
      <c r="BJ29" s="224">
        <f t="shared" ca="1" si="22"/>
        <v>113.75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48.519999999999996</v>
      </c>
      <c r="AD30" s="161">
        <f t="shared" si="8"/>
        <v>78.569999999999979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113.56999999999998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148.57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183.57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218.57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253.57</v>
      </c>
      <c r="AZ30" s="157">
        <f t="shared" si="23"/>
        <v>179.59999999999997</v>
      </c>
      <c r="BA30" s="21">
        <f t="shared" si="15"/>
        <v>6.0644042431920635E-3</v>
      </c>
      <c r="BB30" s="22">
        <f t="shared" si="20"/>
        <v>19</v>
      </c>
      <c r="BC30" s="22">
        <f t="shared" ca="1" si="16"/>
        <v>25.657142857142851</v>
      </c>
      <c r="BE30" s="225">
        <f t="shared" ca="1" si="17"/>
        <v>285</v>
      </c>
      <c r="BF30" s="21">
        <f t="shared" ca="1" si="18"/>
        <v>8.4965313283506903E-3</v>
      </c>
      <c r="BG30" s="22">
        <f t="shared" ca="1" si="21"/>
        <v>19</v>
      </c>
      <c r="BH30" s="22">
        <f t="shared" ca="1" si="19"/>
        <v>40.714285714285715</v>
      </c>
      <c r="BJ30" s="225">
        <f t="shared" ca="1" si="22"/>
        <v>105.4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79.659999999999982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99.659999999999982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119.65999999999998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139.65999999999997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159.65999999999997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179.65999999999997</v>
      </c>
      <c r="AZ31" s="152">
        <f t="shared" si="23"/>
        <v>136.38</v>
      </c>
      <c r="BA31" s="21">
        <f t="shared" si="15"/>
        <v>4.6050303490341527E-3</v>
      </c>
      <c r="BB31" s="22">
        <f t="shared" si="20"/>
        <v>21</v>
      </c>
      <c r="BC31" s="22">
        <f t="shared" ca="1" si="16"/>
        <v>19.482857142857142</v>
      </c>
      <c r="BE31" s="224">
        <f t="shared" ca="1" si="17"/>
        <v>140</v>
      </c>
      <c r="BF31" s="21">
        <f t="shared" ca="1" si="18"/>
        <v>4.1737346876108651E-3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3.6199999999999761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110</v>
      </c>
      <c r="AC32" s="155">
        <f>SUM('07'!D260:F260)</f>
        <v>349</v>
      </c>
      <c r="AD32" s="161">
        <f t="shared" si="8"/>
        <v>574.29</v>
      </c>
      <c r="AE32" s="143" t="s">
        <v>73</v>
      </c>
      <c r="AF32" s="155">
        <f>'08'!B260</f>
        <v>100</v>
      </c>
      <c r="AG32" s="155">
        <f>SUM('08'!D260:F260)</f>
        <v>0</v>
      </c>
      <c r="AH32" s="161">
        <f t="shared" si="9"/>
        <v>674.29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724.29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774.29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824.29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874.29</v>
      </c>
      <c r="AZ32" s="157">
        <f t="shared" si="23"/>
        <v>834.58999999999992</v>
      </c>
      <c r="BA32" s="21">
        <f t="shared" si="15"/>
        <v>2.818090833700259E-2</v>
      </c>
      <c r="BB32" s="22">
        <f t="shared" si="20"/>
        <v>11</v>
      </c>
      <c r="BC32" s="22">
        <f t="shared" ca="1" si="16"/>
        <v>119.22714285714285</v>
      </c>
      <c r="BE32" s="225">
        <f t="shared" ca="1" si="17"/>
        <v>1423.13</v>
      </c>
      <c r="BF32" s="21">
        <f t="shared" ca="1" si="18"/>
        <v>4.2426907471283221E-2</v>
      </c>
      <c r="BG32" s="22">
        <f t="shared" ca="1" si="21"/>
        <v>8</v>
      </c>
      <c r="BH32" s="22">
        <f t="shared" ca="1" si="19"/>
        <v>203.30428571428573</v>
      </c>
      <c r="BJ32" s="225">
        <f t="shared" ca="1" si="22"/>
        <v>588.54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446.09000000000026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496.09000000000026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546.09000000000026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596.09000000000026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646.09000000000026</v>
      </c>
      <c r="AZ33" s="152">
        <f t="shared" si="23"/>
        <v>4395.8500000000004</v>
      </c>
      <c r="BA33" s="21">
        <f t="shared" si="15"/>
        <v>0.14843102111601247</v>
      </c>
      <c r="BB33" s="22">
        <f t="shared" si="20"/>
        <v>2</v>
      </c>
      <c r="BC33" s="22">
        <f t="shared" ca="1" si="16"/>
        <v>627.97857142857151</v>
      </c>
      <c r="BE33" s="224">
        <f t="shared" ca="1" si="17"/>
        <v>4371.9400000000005</v>
      </c>
      <c r="BF33" s="21">
        <f t="shared" ca="1" si="18"/>
        <v>0.13033798307252462</v>
      </c>
      <c r="BG33" s="22">
        <f t="shared" ca="1" si="21"/>
        <v>2</v>
      </c>
      <c r="BH33" s="22">
        <f t="shared" ca="1" si="19"/>
        <v>624.56285714285718</v>
      </c>
      <c r="BJ33" s="224">
        <f t="shared" ca="1" si="22"/>
        <v>-23.909999999999741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25</v>
      </c>
      <c r="AD34" s="161">
        <f t="shared" si="8"/>
        <v>147.9099999999998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237.9099999999998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327.9099999999998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417.9099999999998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507.9099999999998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597.90999999999985</v>
      </c>
      <c r="AZ34" s="152">
        <f t="shared" si="23"/>
        <v>1008.1000000000001</v>
      </c>
      <c r="BA34" s="21">
        <f t="shared" si="15"/>
        <v>3.4039676601124287E-2</v>
      </c>
      <c r="BB34" s="22">
        <f t="shared" si="20"/>
        <v>8</v>
      </c>
      <c r="BC34" s="22">
        <f t="shared" ca="1" si="16"/>
        <v>144.01428571428573</v>
      </c>
      <c r="BE34" s="225">
        <f t="shared" ca="1" si="17"/>
        <v>1054.4099999999999</v>
      </c>
      <c r="BF34" s="21">
        <f t="shared" ca="1" si="18"/>
        <v>3.1434482799741224E-2</v>
      </c>
      <c r="BG34" s="22">
        <f t="shared" ca="1" si="21"/>
        <v>12</v>
      </c>
      <c r="BH34" s="22">
        <f t="shared" ca="1" si="19"/>
        <v>150.62999999999997</v>
      </c>
      <c r="BJ34" s="225">
        <f t="shared" ca="1" si="22"/>
        <v>46.309999999999889</v>
      </c>
    </row>
    <row r="35" spans="1:62" ht="16.2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167.49</v>
      </c>
      <c r="AC35" s="186">
        <f>SUM('07'!D320:F320)</f>
        <v>77.5</v>
      </c>
      <c r="AD35" s="187">
        <f t="shared" si="8"/>
        <v>1820.4700000000005</v>
      </c>
      <c r="AE35" s="185" t="s">
        <v>73</v>
      </c>
      <c r="AF35" s="186">
        <f>'08'!B320</f>
        <v>130</v>
      </c>
      <c r="AG35" s="186">
        <f>SUM('08'!D320:F320)</f>
        <v>0</v>
      </c>
      <c r="AH35" s="187">
        <f t="shared" si="9"/>
        <v>1950.4700000000005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2065.4700000000003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2180.4700000000003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2295.4700000000003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2410.4700000000003</v>
      </c>
      <c r="AZ35" s="188">
        <f t="shared" si="23"/>
        <v>892.6</v>
      </c>
      <c r="BA35" s="21">
        <f t="shared" si="15"/>
        <v>3.0139683894617134E-2</v>
      </c>
      <c r="BB35" s="22">
        <f t="shared" si="20"/>
        <v>10</v>
      </c>
      <c r="BC35" s="22">
        <f t="shared" ca="1" si="16"/>
        <v>127.51428571428572</v>
      </c>
      <c r="BE35" s="224">
        <f t="shared" ca="1" si="17"/>
        <v>1223.47</v>
      </c>
      <c r="BF35" s="21">
        <f t="shared" ca="1" si="18"/>
        <v>3.6474565558937605E-2</v>
      </c>
      <c r="BG35" s="22">
        <f t="shared" ca="1" si="21"/>
        <v>10</v>
      </c>
      <c r="BH35" s="22">
        <f t="shared" ca="1" si="19"/>
        <v>174.78142857142856</v>
      </c>
      <c r="BJ35" s="224">
        <f t="shared" ca="1" si="22"/>
        <v>330.87000000000012</v>
      </c>
    </row>
    <row r="36" spans="1:62" ht="15.6">
      <c r="A36" s="163" t="s">
        <v>570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309.92000000000007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399.92000000000007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489.92000000000007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579.92000000000007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669.92000000000007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759.92000000000007</v>
      </c>
      <c r="AZ36" s="182">
        <f t="shared" si="23"/>
        <v>531.08999999999992</v>
      </c>
      <c r="BA36" s="21">
        <f t="shared" si="15"/>
        <v>1.7932875554102858E-2</v>
      </c>
      <c r="BB36" s="22">
        <f t="shared" si="20"/>
        <v>12</v>
      </c>
      <c r="BC36" s="22">
        <f t="shared" ca="1" si="16"/>
        <v>75.86999999999999</v>
      </c>
      <c r="BE36" s="223">
        <f t="shared" ca="1" si="17"/>
        <v>740.02</v>
      </c>
      <c r="BF36" s="21">
        <f t="shared" ca="1" si="18"/>
        <v>2.2061765310898516E-2</v>
      </c>
      <c r="BG36" s="22">
        <f t="shared" ca="1" si="21"/>
        <v>13</v>
      </c>
      <c r="BH36" s="22">
        <f t="shared" ca="1" si="19"/>
        <v>105.71714285714286</v>
      </c>
      <c r="BJ36" s="223">
        <f t="shared" ca="1" si="22"/>
        <v>208.93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50</v>
      </c>
      <c r="AC37" s="165">
        <f>SUM('07'!D360:F360)</f>
        <v>0</v>
      </c>
      <c r="AD37" s="151">
        <f t="shared" si="8"/>
        <v>275.73</v>
      </c>
      <c r="AE37" s="148" t="s">
        <v>73</v>
      </c>
      <c r="AF37" s="165">
        <f>'08'!B360</f>
        <v>50</v>
      </c>
      <c r="AG37" s="165">
        <f>SUM('08'!D360:F360)</f>
        <v>0</v>
      </c>
      <c r="AH37" s="151">
        <f t="shared" si="9"/>
        <v>325.73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370.73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415.73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460.73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505.73</v>
      </c>
      <c r="AZ37" s="152">
        <f t="shared" si="23"/>
        <v>367.65</v>
      </c>
      <c r="BA37" s="21">
        <f t="shared" si="15"/>
        <v>1.2414132628115604E-2</v>
      </c>
      <c r="BB37" s="22">
        <f t="shared" si="20"/>
        <v>15</v>
      </c>
      <c r="BC37" s="22">
        <f t="shared" ca="1" si="16"/>
        <v>52.521428571428565</v>
      </c>
      <c r="BE37" s="224">
        <f t="shared" ca="1" si="17"/>
        <v>370</v>
      </c>
      <c r="BF37" s="21">
        <f t="shared" ca="1" si="18"/>
        <v>1.1030584531543E-2</v>
      </c>
      <c r="BG37" s="22">
        <f t="shared" ca="1" si="21"/>
        <v>16</v>
      </c>
      <c r="BH37" s="22">
        <f t="shared" ca="1" si="19"/>
        <v>52.857142857142854</v>
      </c>
      <c r="BJ37" s="224">
        <f t="shared" ca="1" si="22"/>
        <v>2.3500000000000227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14.1</v>
      </c>
      <c r="AD38" s="156">
        <f t="shared" si="8"/>
        <v>97.530000000000058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167.53000000000006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237.53000000000006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307.53000000000009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377.53000000000009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447.53000000000009</v>
      </c>
      <c r="AZ38" s="157">
        <f t="shared" si="23"/>
        <v>461.67000000000007</v>
      </c>
      <c r="BA38" s="21">
        <f t="shared" si="15"/>
        <v>1.5588827989724281E-2</v>
      </c>
      <c r="BB38" s="22">
        <f t="shared" si="20"/>
        <v>14</v>
      </c>
      <c r="BC38" s="22">
        <f t="shared" ca="1" si="16"/>
        <v>65.952857142857155</v>
      </c>
      <c r="BE38" s="225">
        <f t="shared" ca="1" si="17"/>
        <v>520</v>
      </c>
      <c r="BF38" s="21">
        <f t="shared" ca="1" si="18"/>
        <v>1.5502443125411785E-2</v>
      </c>
      <c r="BG38" s="22">
        <f t="shared" ca="1" si="21"/>
        <v>14</v>
      </c>
      <c r="BH38" s="22">
        <f t="shared" ca="1" si="19"/>
        <v>74.285714285714292</v>
      </c>
      <c r="BJ38" s="225">
        <f t="shared" ca="1" si="22"/>
        <v>58.330000000000027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46.259999999999991</v>
      </c>
      <c r="AE39" s="148" t="s">
        <v>73</v>
      </c>
      <c r="AF39" s="165">
        <f>'08'!B400</f>
        <v>10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-1133.74</v>
      </c>
      <c r="BF39" s="21">
        <f t="shared" ca="1" si="18"/>
        <v>-3.3799499748085299E-2</v>
      </c>
      <c r="BG39" s="22">
        <f t="shared" ca="1" si="21"/>
        <v>25</v>
      </c>
      <c r="BH39" s="22">
        <f t="shared" ca="1" si="19"/>
        <v>-161.96285714285713</v>
      </c>
      <c r="BJ39" s="224">
        <f t="shared" ca="1" si="22"/>
        <v>-1133.74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51</v>
      </c>
      <c r="AC40" s="166">
        <f>SUM('07'!D420:F420)</f>
        <v>3.06</v>
      </c>
      <c r="AD40" s="156">
        <f t="shared" si="8"/>
        <v>130.92000000000058</v>
      </c>
      <c r="AE40" s="143" t="s">
        <v>73</v>
      </c>
      <c r="AF40" s="166">
        <f>'08'!B420</f>
        <v>50</v>
      </c>
      <c r="AG40" s="166">
        <f>SUM('08'!D420:F420)</f>
        <v>0</v>
      </c>
      <c r="AH40" s="156">
        <f t="shared" si="9"/>
        <v>180.92000000000058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200.92000000000058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220.92000000000058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240.92000000000058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260.92000000000058</v>
      </c>
      <c r="AZ40" s="157">
        <f t="shared" si="23"/>
        <v>161.12</v>
      </c>
      <c r="BA40" s="21">
        <f t="shared" si="15"/>
        <v>5.4404054101509216E-3</v>
      </c>
      <c r="BB40" s="22">
        <f t="shared" si="20"/>
        <v>20</v>
      </c>
      <c r="BC40" s="22">
        <f t="shared" ca="1" si="16"/>
        <v>23.017142857142858</v>
      </c>
      <c r="BE40" s="225">
        <f t="shared" ca="1" si="17"/>
        <v>-512.47</v>
      </c>
      <c r="BF40" s="21">
        <f t="shared" ca="1" si="18"/>
        <v>-1.5277955823999573E-2</v>
      </c>
      <c r="BG40" s="22">
        <f t="shared" ca="1" si="21"/>
        <v>24</v>
      </c>
      <c r="BH40" s="22">
        <f t="shared" ca="1" si="19"/>
        <v>-73.210000000000008</v>
      </c>
      <c r="BJ40" s="225">
        <f t="shared" ca="1" si="22"/>
        <v>-673.58999999999992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-2007.58</v>
      </c>
      <c r="AC41" s="165">
        <f>SUM('07'!D440:F440)</f>
        <v>0</v>
      </c>
      <c r="AD41" s="151">
        <f t="shared" si="8"/>
        <v>5992.7100000000009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2092.7100000000009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-1807.2899999999991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-5707.2899999999991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-9607.2899999999991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-13507.289999999999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-2557.2899999999972</v>
      </c>
      <c r="BF41" s="21">
        <f t="shared" ca="1" si="18"/>
        <v>-7.6238928423431274E-2</v>
      </c>
      <c r="BG41" s="22">
        <f t="shared" ca="1" si="21"/>
        <v>26</v>
      </c>
      <c r="BH41" s="22">
        <f t="shared" ca="1" si="19"/>
        <v>-365.32714285714246</v>
      </c>
      <c r="BJ41" s="224">
        <f t="shared" ca="1" si="22"/>
        <v>-2557.2899999999972</v>
      </c>
    </row>
    <row r="42" spans="1:62" ht="15.6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0.12062808744570419</v>
      </c>
      <c r="BG42" s="22">
        <f t="shared" ca="1" si="21"/>
        <v>3</v>
      </c>
      <c r="BH42" s="22">
        <f t="shared" ca="1" si="19"/>
        <v>578.03428571428572</v>
      </c>
      <c r="BJ42" s="225">
        <f t="shared" ca="1" si="22"/>
        <v>4046.2400000000007</v>
      </c>
    </row>
    <row r="43" spans="1:62" ht="15.6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65</v>
      </c>
      <c r="AG43" s="149">
        <f>SUM('08'!D480:F480)</f>
        <v>0</v>
      </c>
      <c r="AH43" s="151">
        <f t="shared" si="9"/>
        <v>708.63000000000011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758.63000000000011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808.63000000000011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858.63000000000011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908.63000000000011</v>
      </c>
      <c r="AZ43" s="152">
        <f t="shared" si="23"/>
        <v>500</v>
      </c>
      <c r="BA43" s="21">
        <f t="shared" si="15"/>
        <v>1.6883085309554745E-2</v>
      </c>
      <c r="BB43" s="22">
        <f t="shared" si="20"/>
        <v>13</v>
      </c>
      <c r="BC43" s="22">
        <f t="shared" ca="1" si="16"/>
        <v>71.428571428571431</v>
      </c>
      <c r="BE43" s="224">
        <f t="shared" ca="1" si="17"/>
        <v>180.63000000000005</v>
      </c>
      <c r="BF43" s="21">
        <f t="shared" ca="1" si="18"/>
        <v>5.385012118736791E-3</v>
      </c>
      <c r="BG43" s="22">
        <f t="shared" ca="1" si="21"/>
        <v>20</v>
      </c>
      <c r="BH43" s="22">
        <f t="shared" ca="1" si="19"/>
        <v>25.804285714285722</v>
      </c>
      <c r="BJ43" s="224">
        <f t="shared" ca="1" si="22"/>
        <v>-319.36999999999989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2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2.1806192985820909E-3</v>
      </c>
      <c r="BB45" s="22">
        <f t="shared" si="20"/>
        <v>22</v>
      </c>
      <c r="BC45" s="22">
        <f t="shared" ca="1" si="16"/>
        <v>9.225714285714286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6.8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1930.9099999999999</v>
      </c>
      <c r="AC46" s="219">
        <f>SUM(AC20:AC45)</f>
        <v>902.67</v>
      </c>
      <c r="AD46" s="220">
        <f>SUM(AD20:AD45)</f>
        <v>30311.200000000004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30311.200000000004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30311.200000000004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30311.200000000004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30311.200000000004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30311.200000000004</v>
      </c>
      <c r="AZ46" s="227">
        <f>SUM(AZ20:AZ45)</f>
        <v>29615.439999999999</v>
      </c>
      <c r="BA46" s="1"/>
      <c r="BB46" s="1"/>
      <c r="BC46" s="124">
        <f ca="1">SUM(BC20:BC45)</f>
        <v>4230.7771428571423</v>
      </c>
      <c r="BE46" s="227">
        <f ca="1">SUM(BE20:BE45)</f>
        <v>33543.1</v>
      </c>
      <c r="BF46" s="1"/>
      <c r="BG46" s="1"/>
      <c r="BH46" s="124">
        <f ca="1">SUM(BH20:BH45)</f>
        <v>4791.8714285714304</v>
      </c>
      <c r="BJ46" s="227">
        <f ca="1">SUM(BJ20:BJ45)</f>
        <v>3927.6600000000044</v>
      </c>
    </row>
    <row r="47" spans="1:62" s="29" customFormat="1" ht="13.8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1028.2399999999998</v>
      </c>
      <c r="AD47" s="125"/>
      <c r="AE47" s="125">
        <f>AE5-AD46</f>
        <v>-1028.2400000000052</v>
      </c>
      <c r="AF47" s="125">
        <f>AE17-AF46</f>
        <v>0</v>
      </c>
      <c r="AG47" s="125">
        <f>AE17-AG46</f>
        <v>0</v>
      </c>
      <c r="AH47" s="125"/>
      <c r="AI47" s="125">
        <f>AI5-AH46</f>
        <v>-15209.310000000003</v>
      </c>
      <c r="AJ47" s="125">
        <f>AI17-AJ46</f>
        <v>0</v>
      </c>
      <c r="AK47" s="125">
        <f>AI17-AK46</f>
        <v>0</v>
      </c>
      <c r="AL47" s="125"/>
      <c r="AM47" s="125">
        <f>AM5-AL46</f>
        <v>-15209.310000000003</v>
      </c>
      <c r="AN47" s="125">
        <f>AM17-AN46</f>
        <v>0</v>
      </c>
      <c r="AO47" s="125">
        <f>AM17-AO46</f>
        <v>0</v>
      </c>
      <c r="AP47" s="125"/>
      <c r="AQ47" s="125">
        <f>AQ5-AP46</f>
        <v>-15209.310000000003</v>
      </c>
      <c r="AR47" s="125">
        <f>AQ17-AR46</f>
        <v>0</v>
      </c>
      <c r="AS47" s="125">
        <f>AQ17-AS46</f>
        <v>0</v>
      </c>
      <c r="AT47" s="140"/>
      <c r="AU47" s="125">
        <f>AU5-AT46</f>
        <v>-15209.310000000003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50769.325714285704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611</v>
      </c>
      <c r="W50" s="119"/>
      <c r="X50" s="119"/>
      <c r="Y50" s="119">
        <f>Y22+(N59/2)</f>
        <v>300.02000000000004</v>
      </c>
      <c r="Z50" s="119" t="s">
        <v>653</v>
      </c>
      <c r="AA50" s="119"/>
      <c r="AB50" s="119"/>
      <c r="AC50" s="119">
        <f>AC22</f>
        <v>22.45</v>
      </c>
      <c r="AD50" s="119" t="s">
        <v>693</v>
      </c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72" t="s">
        <v>257</v>
      </c>
      <c r="M54" s="373"/>
      <c r="N54" s="100">
        <v>70</v>
      </c>
      <c r="O54" s="95"/>
      <c r="P54" s="358"/>
      <c r="Q54" s="359"/>
      <c r="R54" s="102"/>
      <c r="S54" s="95">
        <v>43594</v>
      </c>
      <c r="T54" s="372" t="s">
        <v>243</v>
      </c>
      <c r="U54" s="373"/>
      <c r="V54" s="103"/>
      <c r="W54" s="95">
        <v>43624</v>
      </c>
      <c r="X54" s="372" t="s">
        <v>153</v>
      </c>
      <c r="Y54" s="373"/>
      <c r="Z54" s="104">
        <v>10</v>
      </c>
      <c r="AA54" s="95"/>
      <c r="AB54" s="370" t="s">
        <v>477</v>
      </c>
      <c r="AC54" s="371"/>
      <c r="AD54" s="239">
        <v>16</v>
      </c>
      <c r="AE54" s="95"/>
      <c r="AF54" s="366"/>
      <c r="AG54" s="367"/>
      <c r="AH54" s="100"/>
      <c r="AI54" s="95"/>
      <c r="AJ54" s="362"/>
      <c r="AK54" s="363"/>
      <c r="AL54" s="100"/>
      <c r="AM54" s="95"/>
      <c r="AN54" s="362"/>
      <c r="AO54" s="363"/>
      <c r="AP54" s="100"/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/>
      <c r="AB55" s="343"/>
      <c r="AC55" s="344"/>
      <c r="AD55" s="100"/>
      <c r="AE55" s="96"/>
      <c r="AF55" s="360"/>
      <c r="AG55" s="361"/>
      <c r="AH55" s="100"/>
      <c r="AI55" s="96"/>
      <c r="AJ55" s="360"/>
      <c r="AK55" s="361"/>
      <c r="AL55" s="100"/>
      <c r="AM55" s="96"/>
      <c r="AN55" s="360"/>
      <c r="AO55" s="361"/>
      <c r="AP55" s="100"/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70" t="s">
        <v>235</v>
      </c>
      <c r="Q56" s="371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/>
      <c r="AF56" s="360"/>
      <c r="AG56" s="361"/>
      <c r="AH56" s="100"/>
      <c r="AI56" s="96"/>
      <c r="AJ56" s="364"/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4" t="s">
        <v>390</v>
      </c>
      <c r="Q57" s="375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/>
      <c r="AJ57" s="354"/>
      <c r="AK57" s="355"/>
      <c r="AL57" s="100"/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386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4" t="s">
        <v>390</v>
      </c>
      <c r="M60" s="375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6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566</v>
      </c>
      <c r="U70" s="344"/>
      <c r="V70" s="100">
        <v>3742.92</v>
      </c>
      <c r="W70" s="96"/>
      <c r="X70" s="343" t="s">
        <v>564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8" t="s">
        <v>567</v>
      </c>
      <c r="U71" s="369"/>
      <c r="V71" s="101">
        <v>1872.17</v>
      </c>
      <c r="W71" s="97"/>
      <c r="X71" s="368" t="s">
        <v>565</v>
      </c>
      <c r="Y71" s="369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83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27</v>
      </c>
      <c r="D75">
        <f>C75*D74</f>
        <v>90</v>
      </c>
      <c r="Z75" s="111"/>
    </row>
    <row r="76" spans="1:50">
      <c r="D76">
        <f>D75-D73</f>
        <v>7</v>
      </c>
    </row>
    <row r="78" spans="1:50">
      <c r="W78" t="s">
        <v>672</v>
      </c>
      <c r="X78">
        <v>4</v>
      </c>
      <c r="Y78">
        <v>10</v>
      </c>
      <c r="Z78">
        <f>SUM(X78:Y78)</f>
        <v>14</v>
      </c>
    </row>
    <row r="79" spans="1:50">
      <c r="W79" t="s">
        <v>673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674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675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2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6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/>
      <c r="R5" s="3"/>
    </row>
    <row r="6" spans="1:22" ht="15.6">
      <c r="A6" s="112">
        <f>'08'!A6+(B6-SUM(D6:F6))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6">
      <c r="A7" s="112">
        <f>'08'!A7+(B7-SUM(D7:F7))</f>
        <v>307.39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6">
      <c r="A8" s="112">
        <f>'08'!A8+(B8-SUM(D8:F8))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6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6">
      <c r="A10" s="112">
        <f>'08'!A10+(B10-SUM(D10:F10))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6">
      <c r="A11" s="112">
        <f>'08'!A11+(B11-SUM(D11:F11))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6">
      <c r="A13" s="112">
        <f>'08'!A13+(B13-SUM(D13:F13))</f>
        <v>44.5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2" thickBot="1">
      <c r="A20" s="112">
        <f>SUM(A6:A15)</f>
        <v>1866.35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2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6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6">
      <c r="A26" s="112">
        <f>'08'!A26+(B26-SUM(D26:F26))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6">
      <c r="A27" s="112">
        <f>'08'!A27+(B27-SUM(D27:F27))</f>
        <v>580.03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6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6">
      <c r="A29" s="112">
        <f>'08'!A29+(B29-SUM(D29:F29))</f>
        <v>55.480000000000004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2" thickBot="1">
      <c r="A40" s="112">
        <f>SUM(A26:A35)</f>
        <v>3760.09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2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6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2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6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2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6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2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6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210.93000000000004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2698.1800000000012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1310.97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2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6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2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6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6">
      <c r="A467" s="112">
        <f>'08'!A467+(B467-SUM(D467:F467))</f>
        <v>545.23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6">
      <c r="A468" s="112">
        <f>'08'!A468+(B468-SUM(D468:F468))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2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6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 t="s">
        <v>160</v>
      </c>
      <c r="O5" s="89">
        <f>M5-500</f>
        <v>-500</v>
      </c>
      <c r="R5" s="3"/>
    </row>
    <row r="6" spans="1:22" ht="15.6">
      <c r="A6" s="112">
        <f>'09'!A6+(B6-SUM(D6:F6))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6">
      <c r="A7" s="112">
        <f>'09'!A7+(B7-SUM(D7:F7))</f>
        <v>377.57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6">
      <c r="A8" s="112">
        <f>'09'!A8+(B8-SUM(D8:F8))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6">
      <c r="A10" s="112">
        <f>'09'!A10+(B10-SUM(D10:F10))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6">
      <c r="A11" s="112">
        <f>'09'!A11+(B11-SUM(D11:F11))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6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6">
      <c r="A13" s="112">
        <f>'09'!A13+(B13-SUM(D13:F13))</f>
        <v>51.5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2" thickBot="1">
      <c r="A20" s="112">
        <f>SUM(A6:A15)</f>
        <v>2410.35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2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6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6">
      <c r="A26" s="112">
        <f>'09'!A26+(B26-SUM(D26:F26))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6">
      <c r="A27" s="112">
        <f>'09'!A27+(B27-SUM(D27:F27))</f>
        <v>750.03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6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6">
      <c r="A29" s="112">
        <f>'09'!A29+(B29-SUM(D29:F29))</f>
        <v>73.48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2" thickBot="1">
      <c r="A40" s="112">
        <f>SUM(A26:A35)</f>
        <v>4888.0899999999992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2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6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2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6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2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6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2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6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281.93000000000006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</f>
        <v>2723.7100000000014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1690.44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2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6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2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6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6">
      <c r="A467" s="112">
        <f>'09'!A467+(B467-SUM(D467:F467))</f>
        <v>565.23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6">
      <c r="A468" s="112">
        <f>'09'!A468+(B468-SUM(D468:F468))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808.63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2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6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/>
      <c r="R5" s="3"/>
    </row>
    <row r="6" spans="1:22" ht="15.6">
      <c r="A6" s="112">
        <f>'10'!A6+(B6-SUM(D6:F6))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6">
      <c r="A7" s="112">
        <f>'10'!A7+(B7-SUM(D7:F7))</f>
        <v>447.75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6">
      <c r="A8" s="112">
        <f>'10'!A8+(B8-SUM(D8:F8))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6">
      <c r="A10" s="112">
        <f>'10'!A10+(B10-SUM(D10:F10))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6">
      <c r="A11" s="112">
        <f>'10'!A11+(B11-SUM(D11:F11))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6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6">
      <c r="A13" s="112">
        <f>'10'!A13+(B13-SUM(D13:F13))</f>
        <v>58.5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2" thickBot="1">
      <c r="A20" s="112">
        <f>SUM(A6:A15)</f>
        <v>2954.3499999999995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2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6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6">
      <c r="A26" s="112">
        <f>'10'!A26+(B26-SUM(D26:F26))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6">
      <c r="A27" s="112">
        <f>'10'!A27+(B27-SUM(D27:F27))</f>
        <v>920.03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6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6">
      <c r="A29" s="112">
        <f>'10'!A29+(B29-SUM(D29:F29))</f>
        <v>91.48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2" thickBot="1">
      <c r="A40" s="112">
        <f>SUM(A26:A35)</f>
        <v>6016.0899999999992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2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6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2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6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2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6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2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6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352.93000000000006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2749.2400000000016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2069.91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2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6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2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6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6">
      <c r="A467" s="112">
        <f>'10'!A467+(B467-SUM(D467:F467))</f>
        <v>585.23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6">
      <c r="A468" s="112">
        <f>'10'!A468+(B468-SUM(D468:F468))</f>
        <v>198.4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858.63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2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6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/>
      <c r="R5" s="3"/>
    </row>
    <row r="6" spans="1:22" ht="15.6">
      <c r="A6" s="112">
        <f>'11'!A6+(B6-SUM(D6:F6))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6">
      <c r="A7" s="112">
        <f>'11'!A7+(B7-SUM(D7:F7))</f>
        <v>517.93000000000006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6">
      <c r="A8" s="112">
        <f>'11'!A8+(B8-SUM(D8:F8))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6">
      <c r="A10" s="112">
        <f>'11'!A10+(B10-SUM(D10:F10))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6">
      <c r="A11" s="112">
        <f>'11'!A11+(B11-SUM(D11:F11))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6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6">
      <c r="A13" s="112">
        <f>'11'!A13+(B13-SUM(D13:F13))</f>
        <v>65.5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2" thickBot="1">
      <c r="A20" s="112">
        <f>SUM(A6:A15)</f>
        <v>3498.3499999999995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2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6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6">
      <c r="A26" s="112">
        <f>'11'!A26+(B26-SUM(D26:F26))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6">
      <c r="A27" s="112">
        <f>'11'!A27+(B27-SUM(D27:F27))</f>
        <v>1090.03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6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6">
      <c r="A29" s="112">
        <f>'11'!A29+(B29-SUM(D29:F29))</f>
        <v>109.48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2" thickBot="1">
      <c r="A40" s="112">
        <f>SUM(A26:A35)</f>
        <v>7144.0899999999992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2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6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2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6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2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6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2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6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423.93000000000006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2774.7700000000018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2449.38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2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6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2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6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6">
      <c r="A467" s="112">
        <f>'11'!A467+(B467-SUM(D467:F467))</f>
        <v>605.23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6">
      <c r="A468" s="112">
        <f>'11'!A468+(B468-SUM(D468:F468))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908.63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E41" sqref="E41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.6640625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-0.24</v>
      </c>
      <c r="C6" s="44" t="s">
        <v>95</v>
      </c>
      <c r="D6" s="43" t="s">
        <v>96</v>
      </c>
      <c r="E6" s="42"/>
      <c r="J6" t="s">
        <v>97</v>
      </c>
      <c r="K6" s="49">
        <f>B4-B15</f>
        <v>129681.33896166417</v>
      </c>
      <c r="L6" s="39">
        <f>B4*(E8/100)</f>
        <v>28.177248666666667</v>
      </c>
      <c r="M6" s="49">
        <f>B13-L6</f>
        <v>367.50103833583739</v>
      </c>
    </row>
    <row r="7" spans="1:13" ht="12.75" customHeight="1">
      <c r="E7" s="42"/>
      <c r="J7" t="s">
        <v>98</v>
      </c>
      <c r="K7" s="49">
        <f>K6-(B13-L7)</f>
        <v>129313.75829810335</v>
      </c>
      <c r="L7" s="39">
        <f>(K6*(E8/100))</f>
        <v>28.097623441693905</v>
      </c>
      <c r="M7" s="49">
        <f>B13-L7</f>
        <v>367.58066356081019</v>
      </c>
    </row>
    <row r="8" spans="1:13" ht="12.75" customHeight="1">
      <c r="B8" s="42"/>
      <c r="D8" t="s">
        <v>183</v>
      </c>
      <c r="E8" s="50">
        <f>(B6+0.5)/12</f>
        <v>2.1666666666666667E-2</v>
      </c>
      <c r="J8" t="s">
        <v>99</v>
      </c>
      <c r="K8" s="49">
        <f>K7-(B13-L8)</f>
        <v>128946.09799206544</v>
      </c>
      <c r="L8" s="39">
        <f>(K7*(E8/100))</f>
        <v>28.017980964589061</v>
      </c>
      <c r="M8" s="49">
        <f>B13-L8</f>
        <v>367.66030603791501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1.0002166666666668</v>
      </c>
      <c r="J9" t="s">
        <v>101</v>
      </c>
      <c r="K9" s="49">
        <f>K8-(B13-L9)</f>
        <v>128578.35802629455</v>
      </c>
      <c r="L9" s="39">
        <f>(K8*(E8/100))</f>
        <v>27.938321231614179</v>
      </c>
      <c r="M9" s="49">
        <f>B13-L9</f>
        <v>367.73996577088991</v>
      </c>
    </row>
    <row r="10" spans="1:13" ht="12.75" customHeight="1">
      <c r="B10" s="42"/>
      <c r="D10" t="s">
        <v>102</v>
      </c>
      <c r="E10" s="50">
        <f>E9^-B5</f>
        <v>0.92878747812995777</v>
      </c>
      <c r="J10" t="s">
        <v>103</v>
      </c>
      <c r="K10" s="49">
        <f>K9-(B13-L10)</f>
        <v>128210.53838353108</v>
      </c>
      <c r="L10" s="39">
        <f>(K9*(E8/100))</f>
        <v>27.858644239030486</v>
      </c>
      <c r="M10" s="49">
        <f>B13-L10</f>
        <v>367.81964276347361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7.1212521870042238</v>
      </c>
      <c r="J11" t="s">
        <v>106</v>
      </c>
      <c r="K11" s="51">
        <f>K10-(B13-L11)</f>
        <v>127842.63904651167</v>
      </c>
      <c r="L11" s="39">
        <f>(K10*(E8/100))</f>
        <v>27.778949983098403</v>
      </c>
      <c r="M11" s="49">
        <f>B13-L11</f>
        <v>367.89933701940566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395.67828700250408</v>
      </c>
      <c r="E13" s="42"/>
      <c r="F13" s="44"/>
      <c r="G13" s="53"/>
      <c r="L13" s="54">
        <f>SUM(L6:L11)</f>
        <v>167.86876852669272</v>
      </c>
      <c r="M13" s="54">
        <f>SUM(M6:M11)</f>
        <v>2206.2009534883318</v>
      </c>
    </row>
    <row r="14" spans="1:13" ht="12.75" customHeight="1">
      <c r="A14" t="s">
        <v>108</v>
      </c>
      <c r="B14" s="55">
        <f>B4*(E8/100)</f>
        <v>28.177248666666667</v>
      </c>
      <c r="E14" s="42"/>
    </row>
    <row r="15" spans="1:13" ht="12.75" customHeight="1">
      <c r="A15" t="s">
        <v>109</v>
      </c>
      <c r="B15" s="55">
        <f>B13-B14</f>
        <v>367.50103833583739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395.67984700250406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-0.24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-0.24</v>
      </c>
    </row>
    <row r="21" spans="1:9" ht="12.75" customHeight="1">
      <c r="E21" s="42"/>
      <c r="F21">
        <v>1</v>
      </c>
      <c r="G21" s="57">
        <v>0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2206.2009534883318</v>
      </c>
      <c r="C22" s="58">
        <f>B22/170000</f>
        <v>1.2977652667578422E-2</v>
      </c>
      <c r="E22" s="42"/>
      <c r="F22">
        <v>4</v>
      </c>
      <c r="G22" s="57">
        <v>0</v>
      </c>
    </row>
    <row r="23" spans="1:9" ht="12.75" customHeight="1">
      <c r="A23" t="s">
        <v>115</v>
      </c>
      <c r="B23" s="53">
        <f>K11</f>
        <v>127842.63904651167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11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18</v>
      </c>
      <c r="G32" s="57">
        <v>0</v>
      </c>
    </row>
    <row r="33" spans="2:10" ht="12.75" customHeight="1">
      <c r="C33" s="59"/>
      <c r="E33" s="42"/>
      <c r="F33">
        <v>19</v>
      </c>
      <c r="G33" s="57">
        <v>0</v>
      </c>
    </row>
    <row r="34" spans="2:10" ht="12.75" customHeight="1">
      <c r="C34" s="58"/>
      <c r="E34" s="42"/>
      <c r="F34">
        <v>20</v>
      </c>
      <c r="G34" s="57">
        <v>0</v>
      </c>
    </row>
    <row r="35" spans="2:10" ht="12.75" customHeight="1">
      <c r="C35" s="58"/>
      <c r="E35" s="42"/>
      <c r="F35">
        <v>21</v>
      </c>
      <c r="G35" s="57">
        <v>0</v>
      </c>
      <c r="J35" t="s">
        <v>362</v>
      </c>
    </row>
    <row r="36" spans="2:10" ht="12.75" customHeight="1">
      <c r="E36" s="42"/>
      <c r="F36">
        <v>22</v>
      </c>
      <c r="G36" s="57">
        <v>0</v>
      </c>
    </row>
    <row r="37" spans="2:10" ht="12.75" customHeight="1">
      <c r="E37" s="42"/>
      <c r="F37">
        <v>25</v>
      </c>
      <c r="G37" s="57">
        <v>0</v>
      </c>
    </row>
    <row r="38" spans="2:10" ht="12.75" customHeight="1">
      <c r="E38" s="42"/>
      <c r="F38">
        <v>26</v>
      </c>
      <c r="G38" s="57">
        <v>0</v>
      </c>
    </row>
    <row r="39" spans="2:10" ht="12.75" customHeight="1">
      <c r="E39" s="42"/>
      <c r="F39">
        <v>27</v>
      </c>
      <c r="G39" s="57">
        <v>0</v>
      </c>
    </row>
    <row r="40" spans="2:10" ht="12.75" customHeight="1">
      <c r="E40" s="42">
        <v>-0.24</v>
      </c>
      <c r="F40">
        <v>28</v>
      </c>
      <c r="G40" s="57">
        <f t="shared" ref="G40" si="0">IF(E40="",0,1)</f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1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E21" sqref="E21"/>
    </sheetView>
  </sheetViews>
  <sheetFormatPr baseColWidth="10" defaultColWidth="11" defaultRowHeight="14.4"/>
  <cols>
    <col min="3" max="3" width="14.109375" customWidth="1"/>
    <col min="4" max="4" width="18" customWidth="1"/>
  </cols>
  <sheetData>
    <row r="1" spans="1:5" ht="15" thickBot="1">
      <c r="A1" s="90">
        <v>258.47000000000003</v>
      </c>
    </row>
    <row r="2" spans="1:5" ht="1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4" sqref="G24"/>
    </sheetView>
  </sheetViews>
  <sheetFormatPr baseColWidth="10" defaultColWidth="8" defaultRowHeight="14.4"/>
  <cols>
    <col min="1" max="2" width="19.5546875" customWidth="1"/>
    <col min="3" max="3" width="13.33203125" customWidth="1"/>
    <col min="4" max="4" width="8.33203125" customWidth="1"/>
    <col min="5" max="5" width="12.6640625" customWidth="1"/>
    <col min="6" max="6" width="8" customWidth="1"/>
    <col min="7" max="7" width="12" customWidth="1"/>
    <col min="9" max="9" width="24.88671875" customWidth="1"/>
    <col min="10" max="10" width="13.88671875" customWidth="1"/>
    <col min="11" max="11" width="11.109375" customWidth="1"/>
    <col min="12" max="12" width="19.88671875" customWidth="1"/>
    <col min="13" max="13" width="12.6640625" customWidth="1"/>
    <col min="258" max="258" width="19.5546875" customWidth="1"/>
    <col min="259" max="259" width="13.33203125" customWidth="1"/>
    <col min="260" max="260" width="8" customWidth="1"/>
    <col min="261" max="261" width="12.6640625" customWidth="1"/>
    <col min="262" max="262" width="8" customWidth="1"/>
    <col min="263" max="263" width="12" customWidth="1"/>
    <col min="265" max="265" width="24.88671875" customWidth="1"/>
    <col min="266" max="266" width="13.88671875" customWidth="1"/>
    <col min="267" max="267" width="11.109375" customWidth="1"/>
    <col min="268" max="268" width="19.88671875" customWidth="1"/>
    <col min="269" max="269" width="12.6640625" customWidth="1"/>
    <col min="514" max="514" width="19.5546875" customWidth="1"/>
    <col min="515" max="515" width="13.33203125" customWidth="1"/>
    <col min="516" max="516" width="8" customWidth="1"/>
    <col min="517" max="517" width="12.6640625" customWidth="1"/>
    <col min="518" max="518" width="8" customWidth="1"/>
    <col min="519" max="519" width="12" customWidth="1"/>
    <col min="521" max="521" width="24.88671875" customWidth="1"/>
    <col min="522" max="522" width="13.88671875" customWidth="1"/>
    <col min="523" max="523" width="11.109375" customWidth="1"/>
    <col min="524" max="524" width="19.88671875" customWidth="1"/>
    <col min="525" max="525" width="12.6640625" customWidth="1"/>
    <col min="770" max="770" width="19.5546875" customWidth="1"/>
    <col min="771" max="771" width="13.33203125" customWidth="1"/>
    <col min="772" max="772" width="8" customWidth="1"/>
    <col min="773" max="773" width="12.6640625" customWidth="1"/>
    <col min="774" max="774" width="8" customWidth="1"/>
    <col min="775" max="775" width="12" customWidth="1"/>
    <col min="777" max="777" width="24.88671875" customWidth="1"/>
    <col min="778" max="778" width="13.88671875" customWidth="1"/>
    <col min="779" max="779" width="11.109375" customWidth="1"/>
    <col min="780" max="780" width="19.88671875" customWidth="1"/>
    <col min="781" max="781" width="12.6640625" customWidth="1"/>
    <col min="1026" max="1026" width="19.5546875" customWidth="1"/>
    <col min="1027" max="1027" width="13.33203125" customWidth="1"/>
    <col min="1028" max="1028" width="8" customWidth="1"/>
    <col min="1029" max="1029" width="12.6640625" customWidth="1"/>
    <col min="1030" max="1030" width="8" customWidth="1"/>
    <col min="1031" max="1031" width="12" customWidth="1"/>
    <col min="1033" max="1033" width="24.88671875" customWidth="1"/>
    <col min="1034" max="1034" width="13.88671875" customWidth="1"/>
    <col min="1035" max="1035" width="11.109375" customWidth="1"/>
    <col min="1036" max="1036" width="19.88671875" customWidth="1"/>
    <col min="1037" max="1037" width="12.6640625" customWidth="1"/>
    <col min="1282" max="1282" width="19.5546875" customWidth="1"/>
    <col min="1283" max="1283" width="13.33203125" customWidth="1"/>
    <col min="1284" max="1284" width="8" customWidth="1"/>
    <col min="1285" max="1285" width="12.6640625" customWidth="1"/>
    <col min="1286" max="1286" width="8" customWidth="1"/>
    <col min="1287" max="1287" width="12" customWidth="1"/>
    <col min="1289" max="1289" width="24.88671875" customWidth="1"/>
    <col min="1290" max="1290" width="13.88671875" customWidth="1"/>
    <col min="1291" max="1291" width="11.109375" customWidth="1"/>
    <col min="1292" max="1292" width="19.88671875" customWidth="1"/>
    <col min="1293" max="1293" width="12.6640625" customWidth="1"/>
    <col min="1538" max="1538" width="19.5546875" customWidth="1"/>
    <col min="1539" max="1539" width="13.33203125" customWidth="1"/>
    <col min="1540" max="1540" width="8" customWidth="1"/>
    <col min="1541" max="1541" width="12.6640625" customWidth="1"/>
    <col min="1542" max="1542" width="8" customWidth="1"/>
    <col min="1543" max="1543" width="12" customWidth="1"/>
    <col min="1545" max="1545" width="24.88671875" customWidth="1"/>
    <col min="1546" max="1546" width="13.88671875" customWidth="1"/>
    <col min="1547" max="1547" width="11.109375" customWidth="1"/>
    <col min="1548" max="1548" width="19.88671875" customWidth="1"/>
    <col min="1549" max="1549" width="12.6640625" customWidth="1"/>
    <col min="1794" max="1794" width="19.5546875" customWidth="1"/>
    <col min="1795" max="1795" width="13.33203125" customWidth="1"/>
    <col min="1796" max="1796" width="8" customWidth="1"/>
    <col min="1797" max="1797" width="12.6640625" customWidth="1"/>
    <col min="1798" max="1798" width="8" customWidth="1"/>
    <col min="1799" max="1799" width="12" customWidth="1"/>
    <col min="1801" max="1801" width="24.88671875" customWidth="1"/>
    <col min="1802" max="1802" width="13.88671875" customWidth="1"/>
    <col min="1803" max="1803" width="11.109375" customWidth="1"/>
    <col min="1804" max="1804" width="19.88671875" customWidth="1"/>
    <col min="1805" max="1805" width="12.6640625" customWidth="1"/>
    <col min="2050" max="2050" width="19.5546875" customWidth="1"/>
    <col min="2051" max="2051" width="13.33203125" customWidth="1"/>
    <col min="2052" max="2052" width="8" customWidth="1"/>
    <col min="2053" max="2053" width="12.6640625" customWidth="1"/>
    <col min="2054" max="2054" width="8" customWidth="1"/>
    <col min="2055" max="2055" width="12" customWidth="1"/>
    <col min="2057" max="2057" width="24.88671875" customWidth="1"/>
    <col min="2058" max="2058" width="13.88671875" customWidth="1"/>
    <col min="2059" max="2059" width="11.109375" customWidth="1"/>
    <col min="2060" max="2060" width="19.88671875" customWidth="1"/>
    <col min="2061" max="2061" width="12.6640625" customWidth="1"/>
    <col min="2306" max="2306" width="19.5546875" customWidth="1"/>
    <col min="2307" max="2307" width="13.33203125" customWidth="1"/>
    <col min="2308" max="2308" width="8" customWidth="1"/>
    <col min="2309" max="2309" width="12.6640625" customWidth="1"/>
    <col min="2310" max="2310" width="8" customWidth="1"/>
    <col min="2311" max="2311" width="12" customWidth="1"/>
    <col min="2313" max="2313" width="24.88671875" customWidth="1"/>
    <col min="2314" max="2314" width="13.88671875" customWidth="1"/>
    <col min="2315" max="2315" width="11.109375" customWidth="1"/>
    <col min="2316" max="2316" width="19.88671875" customWidth="1"/>
    <col min="2317" max="2317" width="12.6640625" customWidth="1"/>
    <col min="2562" max="2562" width="19.5546875" customWidth="1"/>
    <col min="2563" max="2563" width="13.33203125" customWidth="1"/>
    <col min="2564" max="2564" width="8" customWidth="1"/>
    <col min="2565" max="2565" width="12.6640625" customWidth="1"/>
    <col min="2566" max="2566" width="8" customWidth="1"/>
    <col min="2567" max="2567" width="12" customWidth="1"/>
    <col min="2569" max="2569" width="24.88671875" customWidth="1"/>
    <col min="2570" max="2570" width="13.88671875" customWidth="1"/>
    <col min="2571" max="2571" width="11.109375" customWidth="1"/>
    <col min="2572" max="2572" width="19.88671875" customWidth="1"/>
    <col min="2573" max="2573" width="12.6640625" customWidth="1"/>
    <col min="2818" max="2818" width="19.5546875" customWidth="1"/>
    <col min="2819" max="2819" width="13.33203125" customWidth="1"/>
    <col min="2820" max="2820" width="8" customWidth="1"/>
    <col min="2821" max="2821" width="12.6640625" customWidth="1"/>
    <col min="2822" max="2822" width="8" customWidth="1"/>
    <col min="2823" max="2823" width="12" customWidth="1"/>
    <col min="2825" max="2825" width="24.88671875" customWidth="1"/>
    <col min="2826" max="2826" width="13.88671875" customWidth="1"/>
    <col min="2827" max="2827" width="11.109375" customWidth="1"/>
    <col min="2828" max="2828" width="19.88671875" customWidth="1"/>
    <col min="2829" max="2829" width="12.6640625" customWidth="1"/>
    <col min="3074" max="3074" width="19.5546875" customWidth="1"/>
    <col min="3075" max="3075" width="13.33203125" customWidth="1"/>
    <col min="3076" max="3076" width="8" customWidth="1"/>
    <col min="3077" max="3077" width="12.6640625" customWidth="1"/>
    <col min="3078" max="3078" width="8" customWidth="1"/>
    <col min="3079" max="3079" width="12" customWidth="1"/>
    <col min="3081" max="3081" width="24.88671875" customWidth="1"/>
    <col min="3082" max="3082" width="13.88671875" customWidth="1"/>
    <col min="3083" max="3083" width="11.109375" customWidth="1"/>
    <col min="3084" max="3084" width="19.88671875" customWidth="1"/>
    <col min="3085" max="3085" width="12.6640625" customWidth="1"/>
    <col min="3330" max="3330" width="19.5546875" customWidth="1"/>
    <col min="3331" max="3331" width="13.33203125" customWidth="1"/>
    <col min="3332" max="3332" width="8" customWidth="1"/>
    <col min="3333" max="3333" width="12.6640625" customWidth="1"/>
    <col min="3334" max="3334" width="8" customWidth="1"/>
    <col min="3335" max="3335" width="12" customWidth="1"/>
    <col min="3337" max="3337" width="24.88671875" customWidth="1"/>
    <col min="3338" max="3338" width="13.88671875" customWidth="1"/>
    <col min="3339" max="3339" width="11.109375" customWidth="1"/>
    <col min="3340" max="3340" width="19.88671875" customWidth="1"/>
    <col min="3341" max="3341" width="12.6640625" customWidth="1"/>
    <col min="3586" max="3586" width="19.5546875" customWidth="1"/>
    <col min="3587" max="3587" width="13.33203125" customWidth="1"/>
    <col min="3588" max="3588" width="8" customWidth="1"/>
    <col min="3589" max="3589" width="12.6640625" customWidth="1"/>
    <col min="3590" max="3590" width="8" customWidth="1"/>
    <col min="3591" max="3591" width="12" customWidth="1"/>
    <col min="3593" max="3593" width="24.88671875" customWidth="1"/>
    <col min="3594" max="3594" width="13.88671875" customWidth="1"/>
    <col min="3595" max="3595" width="11.109375" customWidth="1"/>
    <col min="3596" max="3596" width="19.88671875" customWidth="1"/>
    <col min="3597" max="3597" width="12.6640625" customWidth="1"/>
    <col min="3842" max="3842" width="19.5546875" customWidth="1"/>
    <col min="3843" max="3843" width="13.33203125" customWidth="1"/>
    <col min="3844" max="3844" width="8" customWidth="1"/>
    <col min="3845" max="3845" width="12.6640625" customWidth="1"/>
    <col min="3846" max="3846" width="8" customWidth="1"/>
    <col min="3847" max="3847" width="12" customWidth="1"/>
    <col min="3849" max="3849" width="24.88671875" customWidth="1"/>
    <col min="3850" max="3850" width="13.88671875" customWidth="1"/>
    <col min="3851" max="3851" width="11.109375" customWidth="1"/>
    <col min="3852" max="3852" width="19.88671875" customWidth="1"/>
    <col min="3853" max="3853" width="12.6640625" customWidth="1"/>
    <col min="4098" max="4098" width="19.5546875" customWidth="1"/>
    <col min="4099" max="4099" width="13.33203125" customWidth="1"/>
    <col min="4100" max="4100" width="8" customWidth="1"/>
    <col min="4101" max="4101" width="12.6640625" customWidth="1"/>
    <col min="4102" max="4102" width="8" customWidth="1"/>
    <col min="4103" max="4103" width="12" customWidth="1"/>
    <col min="4105" max="4105" width="24.88671875" customWidth="1"/>
    <col min="4106" max="4106" width="13.88671875" customWidth="1"/>
    <col min="4107" max="4107" width="11.109375" customWidth="1"/>
    <col min="4108" max="4108" width="19.88671875" customWidth="1"/>
    <col min="4109" max="4109" width="12.6640625" customWidth="1"/>
    <col min="4354" max="4354" width="19.5546875" customWidth="1"/>
    <col min="4355" max="4355" width="13.33203125" customWidth="1"/>
    <col min="4356" max="4356" width="8" customWidth="1"/>
    <col min="4357" max="4357" width="12.6640625" customWidth="1"/>
    <col min="4358" max="4358" width="8" customWidth="1"/>
    <col min="4359" max="4359" width="12" customWidth="1"/>
    <col min="4361" max="4361" width="24.88671875" customWidth="1"/>
    <col min="4362" max="4362" width="13.88671875" customWidth="1"/>
    <col min="4363" max="4363" width="11.109375" customWidth="1"/>
    <col min="4364" max="4364" width="19.88671875" customWidth="1"/>
    <col min="4365" max="4365" width="12.6640625" customWidth="1"/>
    <col min="4610" max="4610" width="19.5546875" customWidth="1"/>
    <col min="4611" max="4611" width="13.33203125" customWidth="1"/>
    <col min="4612" max="4612" width="8" customWidth="1"/>
    <col min="4613" max="4613" width="12.6640625" customWidth="1"/>
    <col min="4614" max="4614" width="8" customWidth="1"/>
    <col min="4615" max="4615" width="12" customWidth="1"/>
    <col min="4617" max="4617" width="24.88671875" customWidth="1"/>
    <col min="4618" max="4618" width="13.88671875" customWidth="1"/>
    <col min="4619" max="4619" width="11.109375" customWidth="1"/>
    <col min="4620" max="4620" width="19.88671875" customWidth="1"/>
    <col min="4621" max="4621" width="12.6640625" customWidth="1"/>
    <col min="4866" max="4866" width="19.5546875" customWidth="1"/>
    <col min="4867" max="4867" width="13.33203125" customWidth="1"/>
    <col min="4868" max="4868" width="8" customWidth="1"/>
    <col min="4869" max="4869" width="12.6640625" customWidth="1"/>
    <col min="4870" max="4870" width="8" customWidth="1"/>
    <col min="4871" max="4871" width="12" customWidth="1"/>
    <col min="4873" max="4873" width="24.88671875" customWidth="1"/>
    <col min="4874" max="4874" width="13.88671875" customWidth="1"/>
    <col min="4875" max="4875" width="11.109375" customWidth="1"/>
    <col min="4876" max="4876" width="19.88671875" customWidth="1"/>
    <col min="4877" max="4877" width="12.6640625" customWidth="1"/>
    <col min="5122" max="5122" width="19.5546875" customWidth="1"/>
    <col min="5123" max="5123" width="13.33203125" customWidth="1"/>
    <col min="5124" max="5124" width="8" customWidth="1"/>
    <col min="5125" max="5125" width="12.6640625" customWidth="1"/>
    <col min="5126" max="5126" width="8" customWidth="1"/>
    <col min="5127" max="5127" width="12" customWidth="1"/>
    <col min="5129" max="5129" width="24.88671875" customWidth="1"/>
    <col min="5130" max="5130" width="13.88671875" customWidth="1"/>
    <col min="5131" max="5131" width="11.109375" customWidth="1"/>
    <col min="5132" max="5132" width="19.88671875" customWidth="1"/>
    <col min="5133" max="5133" width="12.6640625" customWidth="1"/>
    <col min="5378" max="5378" width="19.5546875" customWidth="1"/>
    <col min="5379" max="5379" width="13.33203125" customWidth="1"/>
    <col min="5380" max="5380" width="8" customWidth="1"/>
    <col min="5381" max="5381" width="12.6640625" customWidth="1"/>
    <col min="5382" max="5382" width="8" customWidth="1"/>
    <col min="5383" max="5383" width="12" customWidth="1"/>
    <col min="5385" max="5385" width="24.88671875" customWidth="1"/>
    <col min="5386" max="5386" width="13.88671875" customWidth="1"/>
    <col min="5387" max="5387" width="11.109375" customWidth="1"/>
    <col min="5388" max="5388" width="19.88671875" customWidth="1"/>
    <col min="5389" max="5389" width="12.6640625" customWidth="1"/>
    <col min="5634" max="5634" width="19.5546875" customWidth="1"/>
    <col min="5635" max="5635" width="13.33203125" customWidth="1"/>
    <col min="5636" max="5636" width="8" customWidth="1"/>
    <col min="5637" max="5637" width="12.6640625" customWidth="1"/>
    <col min="5638" max="5638" width="8" customWidth="1"/>
    <col min="5639" max="5639" width="12" customWidth="1"/>
    <col min="5641" max="5641" width="24.88671875" customWidth="1"/>
    <col min="5642" max="5642" width="13.88671875" customWidth="1"/>
    <col min="5643" max="5643" width="11.109375" customWidth="1"/>
    <col min="5644" max="5644" width="19.88671875" customWidth="1"/>
    <col min="5645" max="5645" width="12.6640625" customWidth="1"/>
    <col min="5890" max="5890" width="19.5546875" customWidth="1"/>
    <col min="5891" max="5891" width="13.33203125" customWidth="1"/>
    <col min="5892" max="5892" width="8" customWidth="1"/>
    <col min="5893" max="5893" width="12.6640625" customWidth="1"/>
    <col min="5894" max="5894" width="8" customWidth="1"/>
    <col min="5895" max="5895" width="12" customWidth="1"/>
    <col min="5897" max="5897" width="24.88671875" customWidth="1"/>
    <col min="5898" max="5898" width="13.88671875" customWidth="1"/>
    <col min="5899" max="5899" width="11.109375" customWidth="1"/>
    <col min="5900" max="5900" width="19.88671875" customWidth="1"/>
    <col min="5901" max="5901" width="12.6640625" customWidth="1"/>
    <col min="6146" max="6146" width="19.5546875" customWidth="1"/>
    <col min="6147" max="6147" width="13.33203125" customWidth="1"/>
    <col min="6148" max="6148" width="8" customWidth="1"/>
    <col min="6149" max="6149" width="12.6640625" customWidth="1"/>
    <col min="6150" max="6150" width="8" customWidth="1"/>
    <col min="6151" max="6151" width="12" customWidth="1"/>
    <col min="6153" max="6153" width="24.88671875" customWidth="1"/>
    <col min="6154" max="6154" width="13.88671875" customWidth="1"/>
    <col min="6155" max="6155" width="11.109375" customWidth="1"/>
    <col min="6156" max="6156" width="19.88671875" customWidth="1"/>
    <col min="6157" max="6157" width="12.6640625" customWidth="1"/>
    <col min="6402" max="6402" width="19.5546875" customWidth="1"/>
    <col min="6403" max="6403" width="13.33203125" customWidth="1"/>
    <col min="6404" max="6404" width="8" customWidth="1"/>
    <col min="6405" max="6405" width="12.6640625" customWidth="1"/>
    <col min="6406" max="6406" width="8" customWidth="1"/>
    <col min="6407" max="6407" width="12" customWidth="1"/>
    <col min="6409" max="6409" width="24.88671875" customWidth="1"/>
    <col min="6410" max="6410" width="13.88671875" customWidth="1"/>
    <col min="6411" max="6411" width="11.109375" customWidth="1"/>
    <col min="6412" max="6412" width="19.88671875" customWidth="1"/>
    <col min="6413" max="6413" width="12.6640625" customWidth="1"/>
    <col min="6658" max="6658" width="19.5546875" customWidth="1"/>
    <col min="6659" max="6659" width="13.33203125" customWidth="1"/>
    <col min="6660" max="6660" width="8" customWidth="1"/>
    <col min="6661" max="6661" width="12.6640625" customWidth="1"/>
    <col min="6662" max="6662" width="8" customWidth="1"/>
    <col min="6663" max="6663" width="12" customWidth="1"/>
    <col min="6665" max="6665" width="24.88671875" customWidth="1"/>
    <col min="6666" max="6666" width="13.88671875" customWidth="1"/>
    <col min="6667" max="6667" width="11.109375" customWidth="1"/>
    <col min="6668" max="6668" width="19.88671875" customWidth="1"/>
    <col min="6669" max="6669" width="12.6640625" customWidth="1"/>
    <col min="6914" max="6914" width="19.5546875" customWidth="1"/>
    <col min="6915" max="6915" width="13.33203125" customWidth="1"/>
    <col min="6916" max="6916" width="8" customWidth="1"/>
    <col min="6917" max="6917" width="12.6640625" customWidth="1"/>
    <col min="6918" max="6918" width="8" customWidth="1"/>
    <col min="6919" max="6919" width="12" customWidth="1"/>
    <col min="6921" max="6921" width="24.88671875" customWidth="1"/>
    <col min="6922" max="6922" width="13.88671875" customWidth="1"/>
    <col min="6923" max="6923" width="11.109375" customWidth="1"/>
    <col min="6924" max="6924" width="19.88671875" customWidth="1"/>
    <col min="6925" max="6925" width="12.6640625" customWidth="1"/>
    <col min="7170" max="7170" width="19.5546875" customWidth="1"/>
    <col min="7171" max="7171" width="13.33203125" customWidth="1"/>
    <col min="7172" max="7172" width="8" customWidth="1"/>
    <col min="7173" max="7173" width="12.6640625" customWidth="1"/>
    <col min="7174" max="7174" width="8" customWidth="1"/>
    <col min="7175" max="7175" width="12" customWidth="1"/>
    <col min="7177" max="7177" width="24.88671875" customWidth="1"/>
    <col min="7178" max="7178" width="13.88671875" customWidth="1"/>
    <col min="7179" max="7179" width="11.109375" customWidth="1"/>
    <col min="7180" max="7180" width="19.88671875" customWidth="1"/>
    <col min="7181" max="7181" width="12.6640625" customWidth="1"/>
    <col min="7426" max="7426" width="19.5546875" customWidth="1"/>
    <col min="7427" max="7427" width="13.33203125" customWidth="1"/>
    <col min="7428" max="7428" width="8" customWidth="1"/>
    <col min="7429" max="7429" width="12.6640625" customWidth="1"/>
    <col min="7430" max="7430" width="8" customWidth="1"/>
    <col min="7431" max="7431" width="12" customWidth="1"/>
    <col min="7433" max="7433" width="24.88671875" customWidth="1"/>
    <col min="7434" max="7434" width="13.88671875" customWidth="1"/>
    <col min="7435" max="7435" width="11.109375" customWidth="1"/>
    <col min="7436" max="7436" width="19.88671875" customWidth="1"/>
    <col min="7437" max="7437" width="12.6640625" customWidth="1"/>
    <col min="7682" max="7682" width="19.5546875" customWidth="1"/>
    <col min="7683" max="7683" width="13.33203125" customWidth="1"/>
    <col min="7684" max="7684" width="8" customWidth="1"/>
    <col min="7685" max="7685" width="12.6640625" customWidth="1"/>
    <col min="7686" max="7686" width="8" customWidth="1"/>
    <col min="7687" max="7687" width="12" customWidth="1"/>
    <col min="7689" max="7689" width="24.88671875" customWidth="1"/>
    <col min="7690" max="7690" width="13.88671875" customWidth="1"/>
    <col min="7691" max="7691" width="11.109375" customWidth="1"/>
    <col min="7692" max="7692" width="19.88671875" customWidth="1"/>
    <col min="7693" max="7693" width="12.6640625" customWidth="1"/>
    <col min="7938" max="7938" width="19.5546875" customWidth="1"/>
    <col min="7939" max="7939" width="13.33203125" customWidth="1"/>
    <col min="7940" max="7940" width="8" customWidth="1"/>
    <col min="7941" max="7941" width="12.6640625" customWidth="1"/>
    <col min="7942" max="7942" width="8" customWidth="1"/>
    <col min="7943" max="7943" width="12" customWidth="1"/>
    <col min="7945" max="7945" width="24.88671875" customWidth="1"/>
    <col min="7946" max="7946" width="13.88671875" customWidth="1"/>
    <col min="7947" max="7947" width="11.109375" customWidth="1"/>
    <col min="7948" max="7948" width="19.88671875" customWidth="1"/>
    <col min="7949" max="7949" width="12.6640625" customWidth="1"/>
    <col min="8194" max="8194" width="19.5546875" customWidth="1"/>
    <col min="8195" max="8195" width="13.33203125" customWidth="1"/>
    <col min="8196" max="8196" width="8" customWidth="1"/>
    <col min="8197" max="8197" width="12.6640625" customWidth="1"/>
    <col min="8198" max="8198" width="8" customWidth="1"/>
    <col min="8199" max="8199" width="12" customWidth="1"/>
    <col min="8201" max="8201" width="24.88671875" customWidth="1"/>
    <col min="8202" max="8202" width="13.88671875" customWidth="1"/>
    <col min="8203" max="8203" width="11.109375" customWidth="1"/>
    <col min="8204" max="8204" width="19.88671875" customWidth="1"/>
    <col min="8205" max="8205" width="12.6640625" customWidth="1"/>
    <col min="8450" max="8450" width="19.5546875" customWidth="1"/>
    <col min="8451" max="8451" width="13.33203125" customWidth="1"/>
    <col min="8452" max="8452" width="8" customWidth="1"/>
    <col min="8453" max="8453" width="12.6640625" customWidth="1"/>
    <col min="8454" max="8454" width="8" customWidth="1"/>
    <col min="8455" max="8455" width="12" customWidth="1"/>
    <col min="8457" max="8457" width="24.88671875" customWidth="1"/>
    <col min="8458" max="8458" width="13.88671875" customWidth="1"/>
    <col min="8459" max="8459" width="11.109375" customWidth="1"/>
    <col min="8460" max="8460" width="19.88671875" customWidth="1"/>
    <col min="8461" max="8461" width="12.6640625" customWidth="1"/>
    <col min="8706" max="8706" width="19.5546875" customWidth="1"/>
    <col min="8707" max="8707" width="13.33203125" customWidth="1"/>
    <col min="8708" max="8708" width="8" customWidth="1"/>
    <col min="8709" max="8709" width="12.6640625" customWidth="1"/>
    <col min="8710" max="8710" width="8" customWidth="1"/>
    <col min="8711" max="8711" width="12" customWidth="1"/>
    <col min="8713" max="8713" width="24.88671875" customWidth="1"/>
    <col min="8714" max="8714" width="13.88671875" customWidth="1"/>
    <col min="8715" max="8715" width="11.109375" customWidth="1"/>
    <col min="8716" max="8716" width="19.88671875" customWidth="1"/>
    <col min="8717" max="8717" width="12.6640625" customWidth="1"/>
    <col min="8962" max="8962" width="19.5546875" customWidth="1"/>
    <col min="8963" max="8963" width="13.33203125" customWidth="1"/>
    <col min="8964" max="8964" width="8" customWidth="1"/>
    <col min="8965" max="8965" width="12.6640625" customWidth="1"/>
    <col min="8966" max="8966" width="8" customWidth="1"/>
    <col min="8967" max="8967" width="12" customWidth="1"/>
    <col min="8969" max="8969" width="24.88671875" customWidth="1"/>
    <col min="8970" max="8970" width="13.88671875" customWidth="1"/>
    <col min="8971" max="8971" width="11.109375" customWidth="1"/>
    <col min="8972" max="8972" width="19.88671875" customWidth="1"/>
    <col min="8973" max="8973" width="12.6640625" customWidth="1"/>
    <col min="9218" max="9218" width="19.5546875" customWidth="1"/>
    <col min="9219" max="9219" width="13.33203125" customWidth="1"/>
    <col min="9220" max="9220" width="8" customWidth="1"/>
    <col min="9221" max="9221" width="12.6640625" customWidth="1"/>
    <col min="9222" max="9222" width="8" customWidth="1"/>
    <col min="9223" max="9223" width="12" customWidth="1"/>
    <col min="9225" max="9225" width="24.88671875" customWidth="1"/>
    <col min="9226" max="9226" width="13.88671875" customWidth="1"/>
    <col min="9227" max="9227" width="11.109375" customWidth="1"/>
    <col min="9228" max="9228" width="19.88671875" customWidth="1"/>
    <col min="9229" max="9229" width="12.6640625" customWidth="1"/>
    <col min="9474" max="9474" width="19.5546875" customWidth="1"/>
    <col min="9475" max="9475" width="13.33203125" customWidth="1"/>
    <col min="9476" max="9476" width="8" customWidth="1"/>
    <col min="9477" max="9477" width="12.6640625" customWidth="1"/>
    <col min="9478" max="9478" width="8" customWidth="1"/>
    <col min="9479" max="9479" width="12" customWidth="1"/>
    <col min="9481" max="9481" width="24.88671875" customWidth="1"/>
    <col min="9482" max="9482" width="13.88671875" customWidth="1"/>
    <col min="9483" max="9483" width="11.109375" customWidth="1"/>
    <col min="9484" max="9484" width="19.88671875" customWidth="1"/>
    <col min="9485" max="9485" width="12.6640625" customWidth="1"/>
    <col min="9730" max="9730" width="19.5546875" customWidth="1"/>
    <col min="9731" max="9731" width="13.33203125" customWidth="1"/>
    <col min="9732" max="9732" width="8" customWidth="1"/>
    <col min="9733" max="9733" width="12.6640625" customWidth="1"/>
    <col min="9734" max="9734" width="8" customWidth="1"/>
    <col min="9735" max="9735" width="12" customWidth="1"/>
    <col min="9737" max="9737" width="24.88671875" customWidth="1"/>
    <col min="9738" max="9738" width="13.88671875" customWidth="1"/>
    <col min="9739" max="9739" width="11.109375" customWidth="1"/>
    <col min="9740" max="9740" width="19.88671875" customWidth="1"/>
    <col min="9741" max="9741" width="12.6640625" customWidth="1"/>
    <col min="9986" max="9986" width="19.5546875" customWidth="1"/>
    <col min="9987" max="9987" width="13.33203125" customWidth="1"/>
    <col min="9988" max="9988" width="8" customWidth="1"/>
    <col min="9989" max="9989" width="12.6640625" customWidth="1"/>
    <col min="9990" max="9990" width="8" customWidth="1"/>
    <col min="9991" max="9991" width="12" customWidth="1"/>
    <col min="9993" max="9993" width="24.88671875" customWidth="1"/>
    <col min="9994" max="9994" width="13.88671875" customWidth="1"/>
    <col min="9995" max="9995" width="11.109375" customWidth="1"/>
    <col min="9996" max="9996" width="19.88671875" customWidth="1"/>
    <col min="9997" max="9997" width="12.6640625" customWidth="1"/>
    <col min="10242" max="10242" width="19.5546875" customWidth="1"/>
    <col min="10243" max="10243" width="13.33203125" customWidth="1"/>
    <col min="10244" max="10244" width="8" customWidth="1"/>
    <col min="10245" max="10245" width="12.6640625" customWidth="1"/>
    <col min="10246" max="10246" width="8" customWidth="1"/>
    <col min="10247" max="10247" width="12" customWidth="1"/>
    <col min="10249" max="10249" width="24.88671875" customWidth="1"/>
    <col min="10250" max="10250" width="13.88671875" customWidth="1"/>
    <col min="10251" max="10251" width="11.109375" customWidth="1"/>
    <col min="10252" max="10252" width="19.88671875" customWidth="1"/>
    <col min="10253" max="10253" width="12.6640625" customWidth="1"/>
    <col min="10498" max="10498" width="19.5546875" customWidth="1"/>
    <col min="10499" max="10499" width="13.33203125" customWidth="1"/>
    <col min="10500" max="10500" width="8" customWidth="1"/>
    <col min="10501" max="10501" width="12.6640625" customWidth="1"/>
    <col min="10502" max="10502" width="8" customWidth="1"/>
    <col min="10503" max="10503" width="12" customWidth="1"/>
    <col min="10505" max="10505" width="24.88671875" customWidth="1"/>
    <col min="10506" max="10506" width="13.88671875" customWidth="1"/>
    <col min="10507" max="10507" width="11.109375" customWidth="1"/>
    <col min="10508" max="10508" width="19.88671875" customWidth="1"/>
    <col min="10509" max="10509" width="12.6640625" customWidth="1"/>
    <col min="10754" max="10754" width="19.5546875" customWidth="1"/>
    <col min="10755" max="10755" width="13.33203125" customWidth="1"/>
    <col min="10756" max="10756" width="8" customWidth="1"/>
    <col min="10757" max="10757" width="12.6640625" customWidth="1"/>
    <col min="10758" max="10758" width="8" customWidth="1"/>
    <col min="10759" max="10759" width="12" customWidth="1"/>
    <col min="10761" max="10761" width="24.88671875" customWidth="1"/>
    <col min="10762" max="10762" width="13.88671875" customWidth="1"/>
    <col min="10763" max="10763" width="11.109375" customWidth="1"/>
    <col min="10764" max="10764" width="19.88671875" customWidth="1"/>
    <col min="10765" max="10765" width="12.6640625" customWidth="1"/>
    <col min="11010" max="11010" width="19.5546875" customWidth="1"/>
    <col min="11011" max="11011" width="13.33203125" customWidth="1"/>
    <col min="11012" max="11012" width="8" customWidth="1"/>
    <col min="11013" max="11013" width="12.6640625" customWidth="1"/>
    <col min="11014" max="11014" width="8" customWidth="1"/>
    <col min="11015" max="11015" width="12" customWidth="1"/>
    <col min="11017" max="11017" width="24.88671875" customWidth="1"/>
    <col min="11018" max="11018" width="13.88671875" customWidth="1"/>
    <col min="11019" max="11019" width="11.109375" customWidth="1"/>
    <col min="11020" max="11020" width="19.88671875" customWidth="1"/>
    <col min="11021" max="11021" width="12.6640625" customWidth="1"/>
    <col min="11266" max="11266" width="19.5546875" customWidth="1"/>
    <col min="11267" max="11267" width="13.33203125" customWidth="1"/>
    <col min="11268" max="11268" width="8" customWidth="1"/>
    <col min="11269" max="11269" width="12.6640625" customWidth="1"/>
    <col min="11270" max="11270" width="8" customWidth="1"/>
    <col min="11271" max="11271" width="12" customWidth="1"/>
    <col min="11273" max="11273" width="24.88671875" customWidth="1"/>
    <col min="11274" max="11274" width="13.88671875" customWidth="1"/>
    <col min="11275" max="11275" width="11.109375" customWidth="1"/>
    <col min="11276" max="11276" width="19.88671875" customWidth="1"/>
    <col min="11277" max="11277" width="12.6640625" customWidth="1"/>
    <col min="11522" max="11522" width="19.5546875" customWidth="1"/>
    <col min="11523" max="11523" width="13.33203125" customWidth="1"/>
    <col min="11524" max="11524" width="8" customWidth="1"/>
    <col min="11525" max="11525" width="12.6640625" customWidth="1"/>
    <col min="11526" max="11526" width="8" customWidth="1"/>
    <col min="11527" max="11527" width="12" customWidth="1"/>
    <col min="11529" max="11529" width="24.88671875" customWidth="1"/>
    <col min="11530" max="11530" width="13.88671875" customWidth="1"/>
    <col min="11531" max="11531" width="11.109375" customWidth="1"/>
    <col min="11532" max="11532" width="19.88671875" customWidth="1"/>
    <col min="11533" max="11533" width="12.6640625" customWidth="1"/>
    <col min="11778" max="11778" width="19.5546875" customWidth="1"/>
    <col min="11779" max="11779" width="13.33203125" customWidth="1"/>
    <col min="11780" max="11780" width="8" customWidth="1"/>
    <col min="11781" max="11781" width="12.6640625" customWidth="1"/>
    <col min="11782" max="11782" width="8" customWidth="1"/>
    <col min="11783" max="11783" width="12" customWidth="1"/>
    <col min="11785" max="11785" width="24.88671875" customWidth="1"/>
    <col min="11786" max="11786" width="13.88671875" customWidth="1"/>
    <col min="11787" max="11787" width="11.109375" customWidth="1"/>
    <col min="11788" max="11788" width="19.88671875" customWidth="1"/>
    <col min="11789" max="11789" width="12.6640625" customWidth="1"/>
    <col min="12034" max="12034" width="19.5546875" customWidth="1"/>
    <col min="12035" max="12035" width="13.33203125" customWidth="1"/>
    <col min="12036" max="12036" width="8" customWidth="1"/>
    <col min="12037" max="12037" width="12.6640625" customWidth="1"/>
    <col min="12038" max="12038" width="8" customWidth="1"/>
    <col min="12039" max="12039" width="12" customWidth="1"/>
    <col min="12041" max="12041" width="24.88671875" customWidth="1"/>
    <col min="12042" max="12042" width="13.88671875" customWidth="1"/>
    <col min="12043" max="12043" width="11.109375" customWidth="1"/>
    <col min="12044" max="12044" width="19.88671875" customWidth="1"/>
    <col min="12045" max="12045" width="12.6640625" customWidth="1"/>
    <col min="12290" max="12290" width="19.5546875" customWidth="1"/>
    <col min="12291" max="12291" width="13.33203125" customWidth="1"/>
    <col min="12292" max="12292" width="8" customWidth="1"/>
    <col min="12293" max="12293" width="12.6640625" customWidth="1"/>
    <col min="12294" max="12294" width="8" customWidth="1"/>
    <col min="12295" max="12295" width="12" customWidth="1"/>
    <col min="12297" max="12297" width="24.88671875" customWidth="1"/>
    <col min="12298" max="12298" width="13.88671875" customWidth="1"/>
    <col min="12299" max="12299" width="11.109375" customWidth="1"/>
    <col min="12300" max="12300" width="19.88671875" customWidth="1"/>
    <col min="12301" max="12301" width="12.6640625" customWidth="1"/>
    <col min="12546" max="12546" width="19.5546875" customWidth="1"/>
    <col min="12547" max="12547" width="13.33203125" customWidth="1"/>
    <col min="12548" max="12548" width="8" customWidth="1"/>
    <col min="12549" max="12549" width="12.6640625" customWidth="1"/>
    <col min="12550" max="12550" width="8" customWidth="1"/>
    <col min="12551" max="12551" width="12" customWidth="1"/>
    <col min="12553" max="12553" width="24.88671875" customWidth="1"/>
    <col min="12554" max="12554" width="13.88671875" customWidth="1"/>
    <col min="12555" max="12555" width="11.109375" customWidth="1"/>
    <col min="12556" max="12556" width="19.88671875" customWidth="1"/>
    <col min="12557" max="12557" width="12.6640625" customWidth="1"/>
    <col min="12802" max="12802" width="19.5546875" customWidth="1"/>
    <col min="12803" max="12803" width="13.33203125" customWidth="1"/>
    <col min="12804" max="12804" width="8" customWidth="1"/>
    <col min="12805" max="12805" width="12.6640625" customWidth="1"/>
    <col min="12806" max="12806" width="8" customWidth="1"/>
    <col min="12807" max="12807" width="12" customWidth="1"/>
    <col min="12809" max="12809" width="24.88671875" customWidth="1"/>
    <col min="12810" max="12810" width="13.88671875" customWidth="1"/>
    <col min="12811" max="12811" width="11.109375" customWidth="1"/>
    <col min="12812" max="12812" width="19.88671875" customWidth="1"/>
    <col min="12813" max="12813" width="12.6640625" customWidth="1"/>
    <col min="13058" max="13058" width="19.5546875" customWidth="1"/>
    <col min="13059" max="13059" width="13.33203125" customWidth="1"/>
    <col min="13060" max="13060" width="8" customWidth="1"/>
    <col min="13061" max="13061" width="12.6640625" customWidth="1"/>
    <col min="13062" max="13062" width="8" customWidth="1"/>
    <col min="13063" max="13063" width="12" customWidth="1"/>
    <col min="13065" max="13065" width="24.88671875" customWidth="1"/>
    <col min="13066" max="13066" width="13.88671875" customWidth="1"/>
    <col min="13067" max="13067" width="11.109375" customWidth="1"/>
    <col min="13068" max="13068" width="19.88671875" customWidth="1"/>
    <col min="13069" max="13069" width="12.6640625" customWidth="1"/>
    <col min="13314" max="13314" width="19.5546875" customWidth="1"/>
    <col min="13315" max="13315" width="13.33203125" customWidth="1"/>
    <col min="13316" max="13316" width="8" customWidth="1"/>
    <col min="13317" max="13317" width="12.6640625" customWidth="1"/>
    <col min="13318" max="13318" width="8" customWidth="1"/>
    <col min="13319" max="13319" width="12" customWidth="1"/>
    <col min="13321" max="13321" width="24.88671875" customWidth="1"/>
    <col min="13322" max="13322" width="13.88671875" customWidth="1"/>
    <col min="13323" max="13323" width="11.109375" customWidth="1"/>
    <col min="13324" max="13324" width="19.88671875" customWidth="1"/>
    <col min="13325" max="13325" width="12.6640625" customWidth="1"/>
    <col min="13570" max="13570" width="19.5546875" customWidth="1"/>
    <col min="13571" max="13571" width="13.33203125" customWidth="1"/>
    <col min="13572" max="13572" width="8" customWidth="1"/>
    <col min="13573" max="13573" width="12.6640625" customWidth="1"/>
    <col min="13574" max="13574" width="8" customWidth="1"/>
    <col min="13575" max="13575" width="12" customWidth="1"/>
    <col min="13577" max="13577" width="24.88671875" customWidth="1"/>
    <col min="13578" max="13578" width="13.88671875" customWidth="1"/>
    <col min="13579" max="13579" width="11.109375" customWidth="1"/>
    <col min="13580" max="13580" width="19.88671875" customWidth="1"/>
    <col min="13581" max="13581" width="12.6640625" customWidth="1"/>
    <col min="13826" max="13826" width="19.5546875" customWidth="1"/>
    <col min="13827" max="13827" width="13.33203125" customWidth="1"/>
    <col min="13828" max="13828" width="8" customWidth="1"/>
    <col min="13829" max="13829" width="12.6640625" customWidth="1"/>
    <col min="13830" max="13830" width="8" customWidth="1"/>
    <col min="13831" max="13831" width="12" customWidth="1"/>
    <col min="13833" max="13833" width="24.88671875" customWidth="1"/>
    <col min="13834" max="13834" width="13.88671875" customWidth="1"/>
    <col min="13835" max="13835" width="11.109375" customWidth="1"/>
    <col min="13836" max="13836" width="19.88671875" customWidth="1"/>
    <col min="13837" max="13837" width="12.6640625" customWidth="1"/>
    <col min="14082" max="14082" width="19.5546875" customWidth="1"/>
    <col min="14083" max="14083" width="13.33203125" customWidth="1"/>
    <col min="14084" max="14084" width="8" customWidth="1"/>
    <col min="14085" max="14085" width="12.6640625" customWidth="1"/>
    <col min="14086" max="14086" width="8" customWidth="1"/>
    <col min="14087" max="14087" width="12" customWidth="1"/>
    <col min="14089" max="14089" width="24.88671875" customWidth="1"/>
    <col min="14090" max="14090" width="13.88671875" customWidth="1"/>
    <col min="14091" max="14091" width="11.109375" customWidth="1"/>
    <col min="14092" max="14092" width="19.88671875" customWidth="1"/>
    <col min="14093" max="14093" width="12.6640625" customWidth="1"/>
    <col min="14338" max="14338" width="19.5546875" customWidth="1"/>
    <col min="14339" max="14339" width="13.33203125" customWidth="1"/>
    <col min="14340" max="14340" width="8" customWidth="1"/>
    <col min="14341" max="14341" width="12.6640625" customWidth="1"/>
    <col min="14342" max="14342" width="8" customWidth="1"/>
    <col min="14343" max="14343" width="12" customWidth="1"/>
    <col min="14345" max="14345" width="24.88671875" customWidth="1"/>
    <col min="14346" max="14346" width="13.88671875" customWidth="1"/>
    <col min="14347" max="14347" width="11.109375" customWidth="1"/>
    <col min="14348" max="14348" width="19.88671875" customWidth="1"/>
    <col min="14349" max="14349" width="12.6640625" customWidth="1"/>
    <col min="14594" max="14594" width="19.5546875" customWidth="1"/>
    <col min="14595" max="14595" width="13.33203125" customWidth="1"/>
    <col min="14596" max="14596" width="8" customWidth="1"/>
    <col min="14597" max="14597" width="12.6640625" customWidth="1"/>
    <col min="14598" max="14598" width="8" customWidth="1"/>
    <col min="14599" max="14599" width="12" customWidth="1"/>
    <col min="14601" max="14601" width="24.88671875" customWidth="1"/>
    <col min="14602" max="14602" width="13.88671875" customWidth="1"/>
    <col min="14603" max="14603" width="11.109375" customWidth="1"/>
    <col min="14604" max="14604" width="19.88671875" customWidth="1"/>
    <col min="14605" max="14605" width="12.6640625" customWidth="1"/>
    <col min="14850" max="14850" width="19.5546875" customWidth="1"/>
    <col min="14851" max="14851" width="13.33203125" customWidth="1"/>
    <col min="14852" max="14852" width="8" customWidth="1"/>
    <col min="14853" max="14853" width="12.6640625" customWidth="1"/>
    <col min="14854" max="14854" width="8" customWidth="1"/>
    <col min="14855" max="14855" width="12" customWidth="1"/>
    <col min="14857" max="14857" width="24.88671875" customWidth="1"/>
    <col min="14858" max="14858" width="13.88671875" customWidth="1"/>
    <col min="14859" max="14859" width="11.109375" customWidth="1"/>
    <col min="14860" max="14860" width="19.88671875" customWidth="1"/>
    <col min="14861" max="14861" width="12.6640625" customWidth="1"/>
    <col min="15106" max="15106" width="19.5546875" customWidth="1"/>
    <col min="15107" max="15107" width="13.33203125" customWidth="1"/>
    <col min="15108" max="15108" width="8" customWidth="1"/>
    <col min="15109" max="15109" width="12.6640625" customWidth="1"/>
    <col min="15110" max="15110" width="8" customWidth="1"/>
    <col min="15111" max="15111" width="12" customWidth="1"/>
    <col min="15113" max="15113" width="24.88671875" customWidth="1"/>
    <col min="15114" max="15114" width="13.88671875" customWidth="1"/>
    <col min="15115" max="15115" width="11.109375" customWidth="1"/>
    <col min="15116" max="15116" width="19.88671875" customWidth="1"/>
    <col min="15117" max="15117" width="12.6640625" customWidth="1"/>
    <col min="15362" max="15362" width="19.5546875" customWidth="1"/>
    <col min="15363" max="15363" width="13.33203125" customWidth="1"/>
    <col min="15364" max="15364" width="8" customWidth="1"/>
    <col min="15365" max="15365" width="12.6640625" customWidth="1"/>
    <col min="15366" max="15366" width="8" customWidth="1"/>
    <col min="15367" max="15367" width="12" customWidth="1"/>
    <col min="15369" max="15369" width="24.88671875" customWidth="1"/>
    <col min="15370" max="15370" width="13.88671875" customWidth="1"/>
    <col min="15371" max="15371" width="11.109375" customWidth="1"/>
    <col min="15372" max="15372" width="19.88671875" customWidth="1"/>
    <col min="15373" max="15373" width="12.6640625" customWidth="1"/>
    <col min="15618" max="15618" width="19.5546875" customWidth="1"/>
    <col min="15619" max="15619" width="13.33203125" customWidth="1"/>
    <col min="15620" max="15620" width="8" customWidth="1"/>
    <col min="15621" max="15621" width="12.6640625" customWidth="1"/>
    <col min="15622" max="15622" width="8" customWidth="1"/>
    <col min="15623" max="15623" width="12" customWidth="1"/>
    <col min="15625" max="15625" width="24.88671875" customWidth="1"/>
    <col min="15626" max="15626" width="13.88671875" customWidth="1"/>
    <col min="15627" max="15627" width="11.109375" customWidth="1"/>
    <col min="15628" max="15628" width="19.88671875" customWidth="1"/>
    <col min="15629" max="15629" width="12.6640625" customWidth="1"/>
    <col min="15874" max="15874" width="19.5546875" customWidth="1"/>
    <col min="15875" max="15875" width="13.33203125" customWidth="1"/>
    <col min="15876" max="15876" width="8" customWidth="1"/>
    <col min="15877" max="15877" width="12.6640625" customWidth="1"/>
    <col min="15878" max="15878" width="8" customWidth="1"/>
    <col min="15879" max="15879" width="12" customWidth="1"/>
    <col min="15881" max="15881" width="24.88671875" customWidth="1"/>
    <col min="15882" max="15882" width="13.88671875" customWidth="1"/>
    <col min="15883" max="15883" width="11.109375" customWidth="1"/>
    <col min="15884" max="15884" width="19.88671875" customWidth="1"/>
    <col min="15885" max="15885" width="12.6640625" customWidth="1"/>
    <col min="16130" max="16130" width="19.5546875" customWidth="1"/>
    <col min="16131" max="16131" width="13.33203125" customWidth="1"/>
    <col min="16132" max="16132" width="8" customWidth="1"/>
    <col min="16133" max="16133" width="12.6640625" customWidth="1"/>
    <col min="16134" max="16134" width="8" customWidth="1"/>
    <col min="16135" max="16135" width="12" customWidth="1"/>
    <col min="16137" max="16137" width="24.88671875" customWidth="1"/>
    <col min="16138" max="16138" width="13.88671875" customWidth="1"/>
    <col min="16139" max="16139" width="11.109375" customWidth="1"/>
    <col min="16140" max="16140" width="19.88671875" customWidth="1"/>
    <col min="16141" max="16141" width="12.664062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-2.3999999999999998E-3</v>
      </c>
      <c r="D25" s="73">
        <f>Hipoteca!B$13</f>
        <v>395.67828700250408</v>
      </c>
      <c r="E25" s="72">
        <f t="shared" ref="E25" si="10">D25-D24</f>
        <v>-7.4017129974959062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8.4122308488612813E-3</v>
      </c>
      <c r="D83" s="85">
        <f>AVERAGE(D2:D82)</f>
        <v>492.50767206669269</v>
      </c>
      <c r="E83" s="86">
        <f>AVERAGE(E3:E82)</f>
        <v>-19.668335347717214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L19" workbookViewId="0">
      <selection activeCell="Q35" sqref="Q35"/>
    </sheetView>
  </sheetViews>
  <sheetFormatPr baseColWidth="10" defaultColWidth="11.44140625" defaultRowHeight="14.4"/>
  <cols>
    <col min="3" max="3" width="19.109375" customWidth="1"/>
    <col min="4" max="4" width="14.109375" style="46" customWidth="1"/>
    <col min="5" max="5" width="20.109375" customWidth="1"/>
    <col min="6" max="6" width="18.33203125" customWidth="1"/>
    <col min="7" max="7" width="17" customWidth="1"/>
    <col min="8" max="8" width="16" customWidth="1"/>
    <col min="9" max="9" width="17.33203125" customWidth="1"/>
    <col min="10" max="10" width="14.44140625" customWidth="1"/>
    <col min="11" max="11" width="18.33203125" customWidth="1"/>
    <col min="12" max="12" width="16.6640625" customWidth="1"/>
    <col min="13" max="13" width="17" customWidth="1"/>
    <col min="14" max="14" width="13.6640625" customWidth="1"/>
    <col min="17" max="17" width="12.88671875" customWidth="1"/>
    <col min="18" max="18" width="34.44140625" customWidth="1"/>
    <col min="19" max="19" width="17.6640625" customWidth="1"/>
    <col min="20" max="20" width="12.6640625" customWidth="1"/>
    <col min="21" max="21" width="24.109375" customWidth="1"/>
    <col min="22" max="22" width="12" bestFit="1" customWidth="1"/>
    <col min="23" max="23" width="14.6640625" customWidth="1"/>
    <col min="24" max="24" width="16" customWidth="1"/>
    <col min="27" max="27" width="12.6640625" bestFit="1" customWidth="1"/>
    <col min="28" max="28" width="16.109375" customWidth="1"/>
    <col min="29" max="29" width="15.33203125" customWidth="1"/>
    <col min="30" max="30" width="12.6640625" bestFit="1" customWidth="1"/>
  </cols>
  <sheetData>
    <row r="1" spans="1:26">
      <c r="A1" s="240" t="s">
        <v>502</v>
      </c>
      <c r="B1" s="240"/>
      <c r="C1" s="241"/>
      <c r="D1" s="320"/>
      <c r="E1" s="242"/>
      <c r="F1" s="243" t="s">
        <v>503</v>
      </c>
      <c r="G1" s="244"/>
      <c r="H1" s="244"/>
      <c r="I1" s="244"/>
      <c r="J1" s="244"/>
      <c r="K1" s="245" t="s">
        <v>504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505</v>
      </c>
      <c r="B2" s="252" t="s">
        <v>506</v>
      </c>
      <c r="C2" s="252" t="s">
        <v>507</v>
      </c>
      <c r="D2" s="321" t="s">
        <v>562</v>
      </c>
      <c r="E2" s="252" t="s">
        <v>508</v>
      </c>
      <c r="F2" s="253" t="s">
        <v>509</v>
      </c>
      <c r="G2" s="254" t="s">
        <v>510</v>
      </c>
      <c r="H2" s="254" t="s">
        <v>511</v>
      </c>
      <c r="I2" s="254" t="s">
        <v>512</v>
      </c>
      <c r="J2" s="254" t="s">
        <v>7</v>
      </c>
      <c r="K2" s="255" t="s">
        <v>509</v>
      </c>
      <c r="L2" s="256" t="s">
        <v>510</v>
      </c>
      <c r="M2" s="256" t="s">
        <v>512</v>
      </c>
      <c r="N2" s="257" t="s">
        <v>7</v>
      </c>
      <c r="O2" s="258" t="s">
        <v>7</v>
      </c>
      <c r="P2" s="259" t="s">
        <v>513</v>
      </c>
      <c r="Q2" s="259" t="s">
        <v>95</v>
      </c>
      <c r="R2" s="260" t="s">
        <v>514</v>
      </c>
      <c r="S2" s="261"/>
    </row>
    <row r="3" spans="1:26">
      <c r="A3" s="262" t="s">
        <v>515</v>
      </c>
      <c r="B3" s="262" t="s">
        <v>516</v>
      </c>
      <c r="C3" s="263">
        <v>5600</v>
      </c>
      <c r="D3" s="322">
        <f ca="1">_xlfn.DAYS(K3,F3)</f>
        <v>1448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43657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536</v>
      </c>
    </row>
    <row r="4" spans="1:26">
      <c r="A4" s="262" t="s">
        <v>517</v>
      </c>
      <c r="B4" s="262" t="s">
        <v>413</v>
      </c>
      <c r="C4" s="263">
        <v>4090</v>
      </c>
      <c r="D4" s="322">
        <f ca="1">_xlfn.DAYS(K4,F4)</f>
        <v>52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43657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536</v>
      </c>
      <c r="S4" s="341">
        <v>43673</v>
      </c>
    </row>
    <row r="5" spans="1:26">
      <c r="A5" s="262" t="s">
        <v>517</v>
      </c>
      <c r="B5" s="262" t="s">
        <v>518</v>
      </c>
      <c r="C5" s="263">
        <v>5100</v>
      </c>
      <c r="D5" s="322">
        <f ca="1">_xlfn.DAYS(K5,F5)</f>
        <v>503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43657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536</v>
      </c>
      <c r="S5" s="341">
        <v>43673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519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505</v>
      </c>
      <c r="B12" s="290" t="s">
        <v>506</v>
      </c>
      <c r="C12" s="290" t="s">
        <v>507</v>
      </c>
      <c r="D12" s="324" t="s">
        <v>562</v>
      </c>
      <c r="E12" s="290" t="s">
        <v>508</v>
      </c>
      <c r="F12" s="291" t="s">
        <v>509</v>
      </c>
      <c r="G12" s="292" t="s">
        <v>510</v>
      </c>
      <c r="H12" s="292" t="s">
        <v>511</v>
      </c>
      <c r="I12" s="292" t="s">
        <v>512</v>
      </c>
      <c r="J12" s="292" t="s">
        <v>7</v>
      </c>
      <c r="K12" s="293" t="s">
        <v>509</v>
      </c>
      <c r="L12" s="294" t="s">
        <v>510</v>
      </c>
      <c r="M12" s="294" t="s">
        <v>512</v>
      </c>
      <c r="N12" s="295" t="s">
        <v>7</v>
      </c>
      <c r="O12" s="296" t="s">
        <v>7</v>
      </c>
      <c r="P12" s="297" t="s">
        <v>513</v>
      </c>
      <c r="Q12" s="297" t="s">
        <v>95</v>
      </c>
      <c r="R12" s="298" t="s">
        <v>514</v>
      </c>
      <c r="S12" s="340" t="s">
        <v>605</v>
      </c>
      <c r="W12" s="330" t="s">
        <v>532</v>
      </c>
      <c r="X12" s="330" t="s">
        <v>533</v>
      </c>
      <c r="Y12" s="330" t="s">
        <v>534</v>
      </c>
      <c r="Z12" s="330" t="s">
        <v>535</v>
      </c>
    </row>
    <row r="13" spans="1:26">
      <c r="A13" s="262" t="s">
        <v>515</v>
      </c>
      <c r="B13" s="262" t="s">
        <v>520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520</v>
      </c>
      <c r="S13" s="59">
        <f>Q13+Q14</f>
        <v>-4.7120556421087471E-2</v>
      </c>
      <c r="W13" s="39">
        <f t="shared" ref="W13:W41" ca="1" si="0">D13/D$43</f>
        <v>3.9166140240050537E-2</v>
      </c>
      <c r="X13" s="119">
        <f ca="1">W13*E13</f>
        <v>157.41925135818067</v>
      </c>
      <c r="Y13" s="38"/>
    </row>
    <row r="14" spans="1:26">
      <c r="A14" s="262" t="s">
        <v>515</v>
      </c>
      <c r="B14" s="262" t="s">
        <v>520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521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515</v>
      </c>
      <c r="B15" s="262" t="s">
        <v>522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522</v>
      </c>
      <c r="W15" s="39">
        <f t="shared" ca="1" si="0"/>
        <v>3.474415666456096E-2</v>
      </c>
      <c r="X15" s="119">
        <f t="shared" ca="1" si="2"/>
        <v>0</v>
      </c>
    </row>
    <row r="16" spans="1:26">
      <c r="A16" s="262" t="s">
        <v>515</v>
      </c>
      <c r="B16" s="262" t="s">
        <v>523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523</v>
      </c>
      <c r="W16" s="39">
        <f t="shared" ca="1" si="0"/>
        <v>8.843967150979154E-3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524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525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515</v>
      </c>
      <c r="B19" s="262" t="s">
        <v>523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523</v>
      </c>
      <c r="S19" s="59">
        <f>Q19+Q21+Q24</f>
        <v>0.24013324659263452</v>
      </c>
      <c r="W19" s="39">
        <f t="shared" ca="1" si="0"/>
        <v>0.54895767530006312</v>
      </c>
      <c r="X19" s="119">
        <f t="shared" ca="1" si="2"/>
        <v>2428.2593370056857</v>
      </c>
    </row>
    <row r="20" spans="1:24">
      <c r="A20" s="262" t="s">
        <v>515</v>
      </c>
      <c r="B20" s="262" t="s">
        <v>523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563</v>
      </c>
      <c r="W20" s="39">
        <f t="shared" ca="1" si="0"/>
        <v>0.39924194567277321</v>
      </c>
      <c r="X20" s="119">
        <f t="shared" ca="1" si="2"/>
        <v>239.78471257106759</v>
      </c>
    </row>
    <row r="21" spans="1:24">
      <c r="A21" s="262" t="s">
        <v>515</v>
      </c>
      <c r="B21" s="262" t="s">
        <v>523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526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524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527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515</v>
      </c>
      <c r="B24" s="262" t="s">
        <v>523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528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515</v>
      </c>
      <c r="B25" s="262" t="s">
        <v>523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523</v>
      </c>
      <c r="W25" s="39">
        <f t="shared" ca="1" si="0"/>
        <v>0.1819330385344283</v>
      </c>
      <c r="X25" s="119">
        <f t="shared" ca="1" si="2"/>
        <v>110.60859702337333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529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529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517</v>
      </c>
      <c r="B28" s="262" t="s">
        <v>518</v>
      </c>
      <c r="C28" s="263">
        <v>5100</v>
      </c>
      <c r="D28" s="322">
        <f t="shared" ca="1" si="1"/>
        <v>503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43657</v>
      </c>
      <c r="L28" s="302">
        <v>27</v>
      </c>
      <c r="M28" s="264">
        <f>(H28*L28)</f>
        <v>5292</v>
      </c>
      <c r="N28" s="264">
        <f>-(IF((M28*0.0075)&lt;30,30,(M28*0.0075)) + (M28*0.0035))</f>
        <v>-58.212000000000003</v>
      </c>
      <c r="O28" s="272">
        <f>J28+N28</f>
        <v>-114.22488</v>
      </c>
      <c r="P28" s="273">
        <f ca="1">IF(K28=0,0,M28-E28+N28)</f>
        <v>85.695119999999847</v>
      </c>
      <c r="Q28" s="274">
        <f ca="1">P28/E28</f>
        <v>1.6645993379979549E-2</v>
      </c>
      <c r="R28" s="275" t="s">
        <v>518</v>
      </c>
      <c r="S28" s="59">
        <f ca="1">Q28+Q29+Q30+Q34</f>
        <v>4.1051147468807871E-2</v>
      </c>
      <c r="W28" s="39">
        <f t="shared" ca="1" si="0"/>
        <v>0.31775110549589386</v>
      </c>
      <c r="X28" s="119">
        <f t="shared" ca="1" si="2"/>
        <v>1635.81220381554</v>
      </c>
    </row>
    <row r="29" spans="1:24">
      <c r="A29" s="262" t="s">
        <v>517</v>
      </c>
      <c r="B29" s="262" t="s">
        <v>518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517</v>
      </c>
      <c r="B30" s="262" t="s">
        <v>518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517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530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517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</f>
        <v>-15.84</v>
      </c>
      <c r="Q32" s="274"/>
      <c r="R32" s="275" t="s">
        <v>531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517</v>
      </c>
      <c r="B33" s="262" t="s">
        <v>413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0"/>
        <v>1.3897662665824383E-2</v>
      </c>
      <c r="X33" s="119">
        <f t="shared" ca="1" si="2"/>
        <v>57.385203032217305</v>
      </c>
    </row>
    <row r="34" spans="1:26">
      <c r="A34" s="262" t="s">
        <v>517</v>
      </c>
      <c r="B34" s="262" t="s">
        <v>518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517</v>
      </c>
      <c r="B35" s="262" t="s">
        <v>413</v>
      </c>
      <c r="C35" s="263">
        <v>4090</v>
      </c>
      <c r="D35" s="322">
        <f t="shared" ca="1" si="1"/>
        <v>52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43657</v>
      </c>
      <c r="L35" s="302">
        <v>67</v>
      </c>
      <c r="M35" s="264">
        <f>(H35*L35)</f>
        <v>4154</v>
      </c>
      <c r="N35" s="264">
        <f>-(IF((M35*0.0075)&lt;30,30,(M35*0.0075)) + (M35*0.0035))</f>
        <v>-45.693999999999996</v>
      </c>
      <c r="O35" s="272">
        <f>J35+N35</f>
        <v>-90.180859999999996</v>
      </c>
      <c r="P35" s="273">
        <f ca="1">IF(K35=0,0,M35-E35+N35)</f>
        <v>19.559139999999807</v>
      </c>
      <c r="Q35" s="274">
        <f ca="1">P35/E35</f>
        <v>4.7836514877812233E-3</v>
      </c>
      <c r="R35" s="275" t="s">
        <v>413</v>
      </c>
      <c r="W35" s="39">
        <f t="shared" ca="1" si="0"/>
        <v>3.2849020846494E-2</v>
      </c>
      <c r="X35" s="119">
        <f t="shared" ca="1" si="2"/>
        <v>134.31133084017688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2497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-374.48725900000005</v>
      </c>
      <c r="O42" s="315">
        <f>SUM(O13:O41)</f>
        <v>-560.68539699999997</v>
      </c>
      <c r="P42" s="315">
        <f ca="1">SUM(P13:P41)</f>
        <v>3760.072983</v>
      </c>
      <c r="Q42" s="326">
        <f ca="1">SUM(Q13:Q41)</f>
        <v>3.9447953510288309</v>
      </c>
      <c r="R42" s="317"/>
      <c r="W42" s="327">
        <f ca="1">SUM(W13:W41)</f>
        <v>1.5773847125710676</v>
      </c>
      <c r="X42" s="328">
        <f ca="1">SUM(X13:X41)</f>
        <v>4763.5806356462417</v>
      </c>
      <c r="Y42" s="329">
        <f ca="1">P42/X42</f>
        <v>0.78933753212091839</v>
      </c>
      <c r="Z42" s="329">
        <f ca="1">Y42/(D$43/365)</f>
        <v>0.18200138927614354</v>
      </c>
    </row>
    <row r="43" spans="1:26">
      <c r="C43" s="119" t="s">
        <v>569</v>
      </c>
      <c r="D43" s="46">
        <f ca="1">_xlfn.DAYS(TODAY(),F13)</f>
        <v>1583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537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539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540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541</v>
      </c>
      <c r="T62" s="41" t="s">
        <v>542</v>
      </c>
      <c r="U62" s="38"/>
    </row>
    <row r="63" spans="3:28" ht="15.6">
      <c r="G63" s="38"/>
      <c r="R63" t="s">
        <v>543</v>
      </c>
      <c r="S63" s="309" t="s">
        <v>544</v>
      </c>
      <c r="T63" s="310"/>
      <c r="U63" s="38"/>
    </row>
    <row r="64" spans="3:28">
      <c r="F64" s="38"/>
      <c r="G64" s="38"/>
      <c r="R64" t="s">
        <v>545</v>
      </c>
      <c r="S64" s="309" t="s">
        <v>546</v>
      </c>
      <c r="T64" t="s">
        <v>547</v>
      </c>
    </row>
    <row r="65" spans="6:21">
      <c r="F65" s="38"/>
      <c r="G65" s="38"/>
      <c r="H65" s="38"/>
      <c r="K65" t="s">
        <v>548</v>
      </c>
      <c r="S65" s="38"/>
      <c r="T65" t="s">
        <v>549</v>
      </c>
      <c r="U65" s="38"/>
    </row>
    <row r="66" spans="6:21">
      <c r="K66" s="311">
        <v>43587</v>
      </c>
      <c r="S66" s="306"/>
    </row>
    <row r="67" spans="6:21">
      <c r="K67" t="s">
        <v>550</v>
      </c>
      <c r="S67" s="312"/>
    </row>
    <row r="68" spans="6:21">
      <c r="K68" t="s">
        <v>551</v>
      </c>
      <c r="M68" t="s">
        <v>148</v>
      </c>
      <c r="S68" s="309"/>
      <c r="T68">
        <f>5000/12</f>
        <v>416.66666666666669</v>
      </c>
    </row>
    <row r="69" spans="6:21">
      <c r="K69" t="s">
        <v>552</v>
      </c>
      <c r="T69">
        <f>2.2/T68</f>
        <v>5.28E-3</v>
      </c>
    </row>
    <row r="70" spans="6:21">
      <c r="K70" t="s">
        <v>553</v>
      </c>
      <c r="T70">
        <f>100*T69</f>
        <v>0.52800000000000002</v>
      </c>
    </row>
    <row r="71" spans="6:21">
      <c r="K71" t="s">
        <v>554</v>
      </c>
      <c r="T71">
        <f>2.2*12</f>
        <v>26.400000000000002</v>
      </c>
    </row>
    <row r="72" spans="6:21">
      <c r="K72" t="s">
        <v>555</v>
      </c>
    </row>
    <row r="73" spans="6:21">
      <c r="K73" t="s">
        <v>556</v>
      </c>
    </row>
    <row r="74" spans="6:21">
      <c r="K74" t="s">
        <v>557</v>
      </c>
    </row>
    <row r="75" spans="6:21">
      <c r="K75" t="s">
        <v>558</v>
      </c>
    </row>
    <row r="76" spans="6:21">
      <c r="K76" t="s">
        <v>559</v>
      </c>
    </row>
    <row r="77" spans="6:21">
      <c r="K77" t="s">
        <v>560</v>
      </c>
    </row>
    <row r="78" spans="6:21">
      <c r="K78" t="s">
        <v>561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B6" sqref="B6"/>
    </sheetView>
  </sheetViews>
  <sheetFormatPr baseColWidth="10" defaultColWidth="8.88671875" defaultRowHeight="14.4"/>
  <cols>
    <col min="1" max="1" width="18" customWidth="1"/>
    <col min="2" max="2" width="12" customWidth="1"/>
    <col min="3" max="3" width="11.109375" customWidth="1"/>
    <col min="4" max="4" width="26" customWidth="1"/>
    <col min="5" max="5" width="13.109375" customWidth="1"/>
  </cols>
  <sheetData>
    <row r="1" spans="1:5">
      <c r="A1" s="449" t="s">
        <v>575</v>
      </c>
      <c r="B1" s="449"/>
      <c r="C1" s="449"/>
      <c r="D1" s="449"/>
      <c r="E1" s="449"/>
    </row>
    <row r="2" spans="1:5">
      <c r="A2" s="332" t="s">
        <v>571</v>
      </c>
      <c r="B2" s="333" t="s">
        <v>88</v>
      </c>
      <c r="C2" s="333" t="s">
        <v>572</v>
      </c>
      <c r="D2" s="333" t="s">
        <v>573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5.2921386202666962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6.5289667330982031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2.6599494097807495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5.0780852368541582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19.559139999999807</v>
      </c>
      <c r="E7" s="275" t="s">
        <v>574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604</v>
      </c>
      <c r="B15" s="447"/>
      <c r="C15" s="447"/>
      <c r="D15" s="447"/>
      <c r="E15" s="447"/>
    </row>
    <row r="17" spans="1:4">
      <c r="A17" s="331" t="s">
        <v>576</v>
      </c>
    </row>
    <row r="19" spans="1:4">
      <c r="A19" t="s">
        <v>577</v>
      </c>
    </row>
    <row r="20" spans="1:4">
      <c r="A20" t="s">
        <v>578</v>
      </c>
    </row>
    <row r="21" spans="1:4">
      <c r="A21" t="s">
        <v>579</v>
      </c>
    </row>
    <row r="22" spans="1:4">
      <c r="A22" t="s">
        <v>580</v>
      </c>
    </row>
    <row r="23" spans="1:4">
      <c r="A23" t="s">
        <v>581</v>
      </c>
    </row>
    <row r="24" spans="1:4">
      <c r="A24" t="s">
        <v>582</v>
      </c>
    </row>
    <row r="25" spans="1:4">
      <c r="A25" t="s">
        <v>583</v>
      </c>
    </row>
    <row r="30" spans="1:4">
      <c r="A30" s="331" t="s">
        <v>584</v>
      </c>
      <c r="B30" s="331" t="s">
        <v>585</v>
      </c>
      <c r="C30" s="331" t="s">
        <v>586</v>
      </c>
      <c r="D30" s="331" t="s">
        <v>587</v>
      </c>
    </row>
    <row r="32" spans="1:4">
      <c r="A32" t="s">
        <v>588</v>
      </c>
      <c r="B32" t="s">
        <v>589</v>
      </c>
      <c r="C32" t="s">
        <v>590</v>
      </c>
      <c r="D32" t="s">
        <v>591</v>
      </c>
    </row>
    <row r="33" spans="1:4">
      <c r="A33" t="s">
        <v>592</v>
      </c>
      <c r="B33" t="s">
        <v>593</v>
      </c>
      <c r="C33" t="s">
        <v>594</v>
      </c>
      <c r="D33" t="s">
        <v>589</v>
      </c>
    </row>
    <row r="34" spans="1:4">
      <c r="A34" t="s">
        <v>595</v>
      </c>
      <c r="B34" t="s">
        <v>596</v>
      </c>
      <c r="C34" t="s">
        <v>597</v>
      </c>
      <c r="D34" t="s">
        <v>591</v>
      </c>
    </row>
    <row r="35" spans="1:4">
      <c r="A35" t="s">
        <v>598</v>
      </c>
      <c r="B35" t="s">
        <v>589</v>
      </c>
      <c r="C35" t="s">
        <v>594</v>
      </c>
      <c r="D35" t="s">
        <v>599</v>
      </c>
    </row>
    <row r="36" spans="1:4">
      <c r="A36" t="s">
        <v>425</v>
      </c>
      <c r="B36" t="s">
        <v>589</v>
      </c>
      <c r="C36" t="s">
        <v>590</v>
      </c>
      <c r="D36" t="s">
        <v>599</v>
      </c>
    </row>
    <row r="37" spans="1:4">
      <c r="A37" t="s">
        <v>600</v>
      </c>
      <c r="B37" t="s">
        <v>591</v>
      </c>
      <c r="C37" t="s">
        <v>597</v>
      </c>
      <c r="D37" t="s">
        <v>596</v>
      </c>
    </row>
    <row r="38" spans="1:4">
      <c r="A38" t="s">
        <v>601</v>
      </c>
      <c r="B38" t="s">
        <v>589</v>
      </c>
      <c r="C38" t="s">
        <v>597</v>
      </c>
      <c r="D38" t="s">
        <v>589</v>
      </c>
    </row>
    <row r="39" spans="1:4">
      <c r="A39" t="s">
        <v>602</v>
      </c>
      <c r="B39" t="s">
        <v>591</v>
      </c>
      <c r="C39" t="s">
        <v>590</v>
      </c>
      <c r="D39" t="s">
        <v>589</v>
      </c>
    </row>
    <row r="40" spans="1:4">
      <c r="A40" t="s">
        <v>603</v>
      </c>
      <c r="B40" t="s">
        <v>591</v>
      </c>
      <c r="C40" t="s">
        <v>590</v>
      </c>
      <c r="D40" t="s">
        <v>596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baseColWidth="10" defaultColWidth="8" defaultRowHeight="14.4"/>
  <cols>
    <col min="1" max="1" width="8" customWidth="1"/>
    <col min="2" max="2" width="12.33203125" customWidth="1"/>
    <col min="3" max="5" width="8" customWidth="1"/>
    <col min="6" max="6" width="12.33203125" customWidth="1"/>
    <col min="7" max="7" width="9" customWidth="1"/>
    <col min="9" max="9" width="9.33203125" bestFit="1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baseColWidth="10" defaultColWidth="11.44140625" defaultRowHeight="14.4"/>
  <cols>
    <col min="1" max="1" width="11.44140625" style="89"/>
    <col min="2" max="2" width="10.554687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2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6">
      <c r="A4" s="1"/>
      <c r="B4" s="431" t="s">
        <v>8</v>
      </c>
      <c r="C4" s="432"/>
      <c r="D4" s="433" t="s">
        <v>9</v>
      </c>
      <c r="E4" s="433"/>
      <c r="F4" s="433"/>
      <c r="G4" s="432"/>
      <c r="H4" s="222">
        <v>2018</v>
      </c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6">
        <v>2901.68</v>
      </c>
      <c r="L5" s="427"/>
      <c r="M5" s="1"/>
      <c r="N5" s="1"/>
      <c r="R5" s="3"/>
    </row>
    <row r="6" spans="1:22" ht="15.6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8">
        <v>620.05999999999995</v>
      </c>
      <c r="L6" s="429"/>
      <c r="M6" s="1" t="s">
        <v>165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8">
        <v>8035.29</v>
      </c>
      <c r="L7" s="429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8">
        <v>659.39</v>
      </c>
      <c r="L9" s="429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8">
        <f>240+35</f>
        <v>275</v>
      </c>
      <c r="L11" s="429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8"/>
      <c r="L13" s="42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8"/>
      <c r="L14" s="42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8"/>
      <c r="L15" s="42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8"/>
      <c r="L16" s="42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8"/>
      <c r="L17" s="42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4"/>
      <c r="L18" s="435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4">
        <f>SUM(K5:K18)</f>
        <v>26383.54</v>
      </c>
      <c r="L19" s="435"/>
      <c r="M19" s="1"/>
      <c r="N19" s="1">
        <v>26293.569999999996</v>
      </c>
      <c r="R19" s="3"/>
    </row>
    <row r="20" spans="1:18" ht="16.2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12"/>
      <c r="I22" s="418" t="s">
        <v>6</v>
      </c>
      <c r="J22" s="419"/>
      <c r="K22" s="419"/>
      <c r="L22" s="420"/>
      <c r="M22" s="1"/>
      <c r="N22" s="113">
        <f>K19-N19</f>
        <v>89.970000000004802</v>
      </c>
      <c r="R22" s="3"/>
    </row>
    <row r="23" spans="1:18" ht="16.2" customHeight="1" thickBot="1">
      <c r="A23" s="1"/>
      <c r="B23" s="421"/>
      <c r="C23" s="422"/>
      <c r="D23" s="422"/>
      <c r="E23" s="422"/>
      <c r="F23" s="422"/>
      <c r="G23" s="423"/>
      <c r="H23" s="112"/>
      <c r="I23" s="421"/>
      <c r="J23" s="422"/>
      <c r="K23" s="422"/>
      <c r="L23" s="423"/>
      <c r="M23" s="1"/>
      <c r="R23" s="3"/>
    </row>
    <row r="24" spans="1:18" ht="15.6">
      <c r="A24" s="1"/>
      <c r="B24" s="431" t="s">
        <v>8</v>
      </c>
      <c r="C24" s="432"/>
      <c r="D24" s="433" t="s">
        <v>9</v>
      </c>
      <c r="E24" s="433"/>
      <c r="F24" s="433"/>
      <c r="G24" s="432"/>
      <c r="H24" s="112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6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5" t="str">
        <f>AÑO!A8</f>
        <v>Manolo Salario</v>
      </c>
      <c r="J25" s="408" t="s">
        <v>291</v>
      </c>
      <c r="K25" s="409"/>
      <c r="L25" s="198">
        <v>2593.46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6"/>
      <c r="J26" s="410"/>
      <c r="K26" s="411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6"/>
      <c r="J27" s="410"/>
      <c r="K27" s="411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6"/>
      <c r="J28" s="410"/>
      <c r="K28" s="411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4"/>
      <c r="J29" s="415"/>
      <c r="K29" s="416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5" t="str">
        <f>AÑO!A9</f>
        <v>Rocío Salario</v>
      </c>
      <c r="J30" s="408" t="s">
        <v>238</v>
      </c>
      <c r="K30" s="409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406"/>
      <c r="J31" s="410" t="s">
        <v>256</v>
      </c>
      <c r="K31" s="411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406"/>
      <c r="J32" s="417" t="s">
        <v>267</v>
      </c>
      <c r="K32" s="411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406"/>
      <c r="J33" s="410"/>
      <c r="K33" s="411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414"/>
      <c r="J34" s="415"/>
      <c r="K34" s="416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405" t="s">
        <v>218</v>
      </c>
      <c r="J35" s="408" t="s">
        <v>306</v>
      </c>
      <c r="K35" s="409"/>
      <c r="L35" s="231">
        <v>120.85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406"/>
      <c r="J36" s="410"/>
      <c r="K36" s="411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406"/>
      <c r="J37" s="410"/>
      <c r="K37" s="411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406"/>
      <c r="J38" s="410"/>
      <c r="K38" s="411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12"/>
      <c r="I39" s="414"/>
      <c r="J39" s="415"/>
      <c r="K39" s="416"/>
      <c r="L39" s="230"/>
      <c r="M39" s="1"/>
      <c r="R39" s="3"/>
    </row>
    <row r="40" spans="1:18" ht="16.2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5" t="str">
        <f>AÑO!A11</f>
        <v>Finanazas</v>
      </c>
      <c r="J40" s="408" t="s">
        <v>239</v>
      </c>
      <c r="K40" s="409"/>
      <c r="L40" s="231">
        <v>1.98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12"/>
      <c r="I41" s="406"/>
      <c r="J41" s="410" t="s">
        <v>240</v>
      </c>
      <c r="K41" s="411"/>
      <c r="L41" s="229">
        <v>1.87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12"/>
      <c r="I42" s="406"/>
      <c r="J42" s="410" t="s">
        <v>269</v>
      </c>
      <c r="K42" s="411"/>
      <c r="L42" s="229">
        <v>0.02</v>
      </c>
      <c r="M42" s="1"/>
      <c r="R42" s="3"/>
    </row>
    <row r="43" spans="1:18" ht="16.2" customHeight="1" thickBot="1">
      <c r="A43" s="1"/>
      <c r="B43" s="421"/>
      <c r="C43" s="422"/>
      <c r="D43" s="422"/>
      <c r="E43" s="422"/>
      <c r="F43" s="422"/>
      <c r="G43" s="423"/>
      <c r="H43" s="112"/>
      <c r="I43" s="406"/>
      <c r="J43" s="410"/>
      <c r="K43" s="411"/>
      <c r="L43" s="229"/>
      <c r="M43" s="1"/>
      <c r="R43" s="3"/>
    </row>
    <row r="44" spans="1:18" ht="15.6">
      <c r="A44" s="1"/>
      <c r="B44" s="431" t="s">
        <v>8</v>
      </c>
      <c r="C44" s="432"/>
      <c r="D44" s="433" t="s">
        <v>9</v>
      </c>
      <c r="E44" s="433"/>
      <c r="F44" s="433"/>
      <c r="G44" s="432"/>
      <c r="H44" s="112"/>
      <c r="I44" s="414"/>
      <c r="J44" s="415"/>
      <c r="K44" s="416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5" t="str">
        <f>AÑO!A12</f>
        <v>Regalos</v>
      </c>
      <c r="J45" s="408" t="s">
        <v>299</v>
      </c>
      <c r="K45" s="409"/>
      <c r="L45" s="231">
        <v>137</v>
      </c>
      <c r="M45" s="112">
        <f>600.04-L45</f>
        <v>463.03999999999996</v>
      </c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6"/>
      <c r="J46" s="410"/>
      <c r="K46" s="411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6"/>
      <c r="J47" s="410"/>
      <c r="K47" s="411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6"/>
      <c r="J48" s="410"/>
      <c r="K48" s="411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4"/>
      <c r="J49" s="415"/>
      <c r="K49" s="416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5" t="str">
        <f>AÑO!A13</f>
        <v>Gubernamental</v>
      </c>
      <c r="J50" s="408" t="s">
        <v>259</v>
      </c>
      <c r="K50" s="409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6"/>
      <c r="J51" s="410"/>
      <c r="K51" s="411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6"/>
      <c r="J52" s="410"/>
      <c r="K52" s="411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6"/>
      <c r="J53" s="410"/>
      <c r="K53" s="411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4"/>
      <c r="J54" s="415"/>
      <c r="K54" s="416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6"/>
      <c r="J56" s="410"/>
      <c r="K56" s="411"/>
      <c r="L56" s="229"/>
      <c r="M56" s="1"/>
      <c r="R56" s="3"/>
    </row>
    <row r="57" spans="1:18" ht="15.6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6"/>
      <c r="J57" s="410"/>
      <c r="K57" s="411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6"/>
      <c r="J58" s="410"/>
      <c r="K58" s="411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12"/>
      <c r="I59" s="414"/>
      <c r="J59" s="415"/>
      <c r="K59" s="416"/>
      <c r="L59" s="230"/>
      <c r="M59" s="1"/>
      <c r="R59" s="3"/>
    </row>
    <row r="60" spans="1:18" ht="16.2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5" t="str">
        <f>AÑO!A15</f>
        <v>Alquiler Cartama</v>
      </c>
      <c r="J60" s="408"/>
      <c r="K60" s="409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12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12"/>
      <c r="I62" s="406"/>
      <c r="J62" s="410"/>
      <c r="K62" s="411"/>
      <c r="L62" s="229"/>
      <c r="M62" s="1"/>
      <c r="R62" s="3"/>
    </row>
    <row r="63" spans="1:18" ht="16.2" customHeight="1" thickBot="1">
      <c r="A63" s="1"/>
      <c r="B63" s="421"/>
      <c r="C63" s="422"/>
      <c r="D63" s="422"/>
      <c r="E63" s="422"/>
      <c r="F63" s="422"/>
      <c r="G63" s="423"/>
      <c r="H63" s="112"/>
      <c r="I63" s="406"/>
      <c r="J63" s="410"/>
      <c r="K63" s="411"/>
      <c r="L63" s="229"/>
      <c r="M63" s="1"/>
      <c r="R63" s="3"/>
    </row>
    <row r="64" spans="1:18" ht="15.6">
      <c r="A64" s="1"/>
      <c r="B64" s="431" t="s">
        <v>8</v>
      </c>
      <c r="C64" s="432"/>
      <c r="D64" s="433" t="s">
        <v>9</v>
      </c>
      <c r="E64" s="433"/>
      <c r="F64" s="433"/>
      <c r="G64" s="432"/>
      <c r="H64" s="112"/>
      <c r="I64" s="414"/>
      <c r="J64" s="415"/>
      <c r="K64" s="416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5" t="str">
        <f>AÑO!A16</f>
        <v>Otros</v>
      </c>
      <c r="J65" s="408" t="s">
        <v>296</v>
      </c>
      <c r="K65" s="409"/>
      <c r="L65" s="231">
        <v>85</v>
      </c>
      <c r="M65" s="1"/>
      <c r="R65" s="3"/>
    </row>
    <row r="66" spans="1:18" ht="15.6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6"/>
      <c r="J66" s="410"/>
      <c r="K66" s="411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406"/>
      <c r="J67" s="410"/>
      <c r="K67" s="411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6"/>
      <c r="J68" s="410"/>
      <c r="K68" s="411"/>
      <c r="L68" s="229"/>
      <c r="M68" s="1"/>
      <c r="R68" s="3"/>
    </row>
    <row r="69" spans="1:18" ht="16.2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7"/>
      <c r="J69" s="412"/>
      <c r="K69" s="413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6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6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2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2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12"/>
      <c r="M82" s="1"/>
      <c r="R82" s="3"/>
    </row>
    <row r="83" spans="1:18" ht="16.2" customHeight="1" thickBot="1">
      <c r="A83" s="1"/>
      <c r="B83" s="421"/>
      <c r="C83" s="422"/>
      <c r="D83" s="422"/>
      <c r="E83" s="422"/>
      <c r="F83" s="422"/>
      <c r="G83" s="423"/>
      <c r="H83" s="112"/>
      <c r="M83" s="1"/>
      <c r="R83" s="3"/>
    </row>
    <row r="84" spans="1:18" ht="15.6">
      <c r="A84" s="1"/>
      <c r="B84" s="431" t="s">
        <v>8</v>
      </c>
      <c r="C84" s="432"/>
      <c r="D84" s="433" t="s">
        <v>9</v>
      </c>
      <c r="E84" s="433"/>
      <c r="F84" s="433"/>
      <c r="G84" s="432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6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6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12"/>
      <c r="M102" s="1"/>
      <c r="R102" s="3"/>
    </row>
    <row r="103" spans="1:18" ht="16.2" customHeight="1" thickBot="1">
      <c r="A103" s="1"/>
      <c r="B103" s="421"/>
      <c r="C103" s="422"/>
      <c r="D103" s="422"/>
      <c r="E103" s="422"/>
      <c r="F103" s="422"/>
      <c r="G103" s="423"/>
      <c r="H103" s="112"/>
      <c r="M103" s="1"/>
      <c r="R103" s="3"/>
    </row>
    <row r="104" spans="1:18" ht="15.6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12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2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12"/>
      <c r="M122" s="1"/>
      <c r="R122" s="3"/>
    </row>
    <row r="123" spans="1:18" ht="16.2" customHeight="1" thickBot="1">
      <c r="A123" s="1"/>
      <c r="B123" s="421"/>
      <c r="C123" s="422"/>
      <c r="D123" s="422"/>
      <c r="E123" s="422"/>
      <c r="F123" s="422"/>
      <c r="G123" s="423"/>
      <c r="H123" s="112"/>
      <c r="M123" s="1"/>
      <c r="R123" s="3"/>
    </row>
    <row r="124" spans="1:18" ht="15.6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12"/>
      <c r="M142" s="1"/>
      <c r="R142" s="3"/>
    </row>
    <row r="143" spans="1:18" ht="16.2" customHeight="1" thickBot="1">
      <c r="A143" s="1"/>
      <c r="B143" s="421"/>
      <c r="C143" s="422"/>
      <c r="D143" s="422"/>
      <c r="E143" s="422"/>
      <c r="F143" s="422"/>
      <c r="G143" s="423"/>
      <c r="H143" s="112"/>
      <c r="M143" s="1"/>
      <c r="R143" s="3"/>
    </row>
    <row r="144" spans="1:18" ht="15.6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21"/>
      <c r="C163" s="422"/>
      <c r="D163" s="422"/>
      <c r="E163" s="422"/>
      <c r="F163" s="422"/>
      <c r="G163" s="42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21"/>
      <c r="C183" s="422"/>
      <c r="D183" s="422"/>
      <c r="E183" s="422"/>
      <c r="F183" s="422"/>
      <c r="G183" s="42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6.2" thickBot="1">
      <c r="B199" s="135"/>
      <c r="C199" s="17"/>
      <c r="D199" s="135"/>
      <c r="E199" s="139"/>
      <c r="F199" s="139"/>
      <c r="G199" s="17"/>
      <c r="H199" s="112"/>
    </row>
    <row r="200" spans="2:12" ht="16.2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2" thickBot="1">
      <c r="B201" s="5"/>
      <c r="C201" s="3"/>
      <c r="D201" s="5"/>
      <c r="E201" s="5"/>
      <c r="H201" s="112"/>
    </row>
    <row r="202" spans="2:12" ht="14.4" customHeight="1">
      <c r="B202" s="430" t="str">
        <f>AÑO!A30</f>
        <v>Belleza</v>
      </c>
      <c r="C202" s="419"/>
      <c r="D202" s="419"/>
      <c r="E202" s="419"/>
      <c r="F202" s="419"/>
      <c r="G202" s="420"/>
      <c r="H202" s="112"/>
    </row>
    <row r="203" spans="2:12" ht="15" customHeight="1" thickBot="1">
      <c r="B203" s="421"/>
      <c r="C203" s="422"/>
      <c r="D203" s="422"/>
      <c r="E203" s="422"/>
      <c r="F203" s="422"/>
      <c r="G203" s="423"/>
      <c r="H203" s="112"/>
    </row>
    <row r="204" spans="2:12" ht="15.6">
      <c r="B204" s="431" t="s">
        <v>8</v>
      </c>
      <c r="C204" s="432"/>
      <c r="D204" s="433" t="s">
        <v>9</v>
      </c>
      <c r="E204" s="433"/>
      <c r="F204" s="433"/>
      <c r="G204" s="432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6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6.2" thickBot="1">
      <c r="B219" s="135"/>
      <c r="C219" s="17"/>
      <c r="D219" s="135"/>
      <c r="E219" s="139"/>
      <c r="F219" s="139"/>
      <c r="G219" s="17"/>
      <c r="H219" s="112"/>
    </row>
    <row r="220" spans="2:8" ht="16.2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2" thickBot="1">
      <c r="B221" s="5"/>
      <c r="C221" s="3"/>
      <c r="D221" s="5"/>
      <c r="E221" s="5"/>
      <c r="H221" s="112"/>
    </row>
    <row r="222" spans="2:8" ht="14.4" customHeight="1">
      <c r="B222" s="430" t="str">
        <f>AÑO!A31</f>
        <v>Deportes</v>
      </c>
      <c r="C222" s="419"/>
      <c r="D222" s="419"/>
      <c r="E222" s="419"/>
      <c r="F222" s="419"/>
      <c r="G222" s="420"/>
      <c r="H222" s="112"/>
    </row>
    <row r="223" spans="2:8" ht="15" customHeight="1" thickBot="1">
      <c r="B223" s="421"/>
      <c r="C223" s="422"/>
      <c r="D223" s="422"/>
      <c r="E223" s="422"/>
      <c r="F223" s="422"/>
      <c r="G223" s="423"/>
      <c r="H223" s="112"/>
    </row>
    <row r="224" spans="2:8" ht="15.6">
      <c r="B224" s="431" t="s">
        <v>8</v>
      </c>
      <c r="C224" s="432"/>
      <c r="D224" s="433" t="s">
        <v>9</v>
      </c>
      <c r="E224" s="433"/>
      <c r="F224" s="433"/>
      <c r="G224" s="432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6.2" thickBot="1">
      <c r="B239" s="135"/>
      <c r="C239" s="17"/>
      <c r="D239" s="135"/>
      <c r="E239" s="139"/>
      <c r="F239" s="139"/>
      <c r="G239" s="17"/>
      <c r="H239" s="112"/>
    </row>
    <row r="240" spans="2:8" ht="16.2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2" thickBot="1">
      <c r="B241" s="5"/>
      <c r="C241" s="3"/>
      <c r="D241" s="5"/>
      <c r="E241" s="5"/>
      <c r="H241" s="112"/>
    </row>
    <row r="242" spans="2:8" ht="14.4" customHeight="1">
      <c r="B242" s="430" t="str">
        <f>AÑO!A32</f>
        <v>Hogar</v>
      </c>
      <c r="C242" s="419"/>
      <c r="D242" s="419"/>
      <c r="E242" s="419"/>
      <c r="F242" s="419"/>
      <c r="G242" s="420"/>
      <c r="H242" s="112"/>
    </row>
    <row r="243" spans="2:8" ht="15" customHeight="1" thickBot="1">
      <c r="B243" s="421"/>
      <c r="C243" s="422"/>
      <c r="D243" s="422"/>
      <c r="E243" s="422"/>
      <c r="F243" s="422"/>
      <c r="G243" s="423"/>
      <c r="H243" s="112"/>
    </row>
    <row r="244" spans="2:8" ht="15" customHeight="1">
      <c r="B244" s="431" t="s">
        <v>8</v>
      </c>
      <c r="C244" s="432"/>
      <c r="D244" s="433" t="s">
        <v>9</v>
      </c>
      <c r="E244" s="433"/>
      <c r="F244" s="433"/>
      <c r="G244" s="43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6.2" thickBot="1">
      <c r="B259" s="135"/>
      <c r="C259" s="17"/>
      <c r="D259" s="135"/>
      <c r="E259" s="139"/>
      <c r="F259" s="139"/>
      <c r="G259" s="17"/>
      <c r="H259" s="112"/>
    </row>
    <row r="260" spans="2:8" ht="16.2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2" thickBot="1">
      <c r="B261" s="5"/>
      <c r="C261" s="3"/>
      <c r="D261" s="5"/>
      <c r="E261" s="5"/>
      <c r="H261" s="112"/>
    </row>
    <row r="262" spans="2:8" ht="14.4" customHeight="1">
      <c r="B262" s="430" t="str">
        <f>AÑO!A33</f>
        <v>Formación</v>
      </c>
      <c r="C262" s="419"/>
      <c r="D262" s="419"/>
      <c r="E262" s="419"/>
      <c r="F262" s="419"/>
      <c r="G262" s="420"/>
      <c r="H262" s="112"/>
    </row>
    <row r="263" spans="2:8" ht="15" customHeight="1" thickBot="1">
      <c r="B263" s="421"/>
      <c r="C263" s="422"/>
      <c r="D263" s="422"/>
      <c r="E263" s="422"/>
      <c r="F263" s="422"/>
      <c r="G263" s="423"/>
      <c r="H263" s="112"/>
    </row>
    <row r="264" spans="2:8" ht="15.6">
      <c r="B264" s="431" t="s">
        <v>8</v>
      </c>
      <c r="C264" s="432"/>
      <c r="D264" s="433" t="s">
        <v>9</v>
      </c>
      <c r="E264" s="433"/>
      <c r="F264" s="433"/>
      <c r="G264" s="432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6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6.2" thickBot="1">
      <c r="B279" s="135"/>
      <c r="C279" s="17"/>
      <c r="D279" s="135"/>
      <c r="E279" s="139"/>
      <c r="F279" s="139"/>
      <c r="G279" s="17"/>
      <c r="H279" s="112"/>
    </row>
    <row r="280" spans="2:8" ht="16.2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2" thickBot="1">
      <c r="B281" s="5"/>
      <c r="C281" s="3"/>
      <c r="D281" s="5"/>
      <c r="E281" s="5"/>
      <c r="H281" s="112"/>
    </row>
    <row r="282" spans="2:8" ht="14.4" customHeight="1">
      <c r="B282" s="430" t="str">
        <f>AÑO!A34</f>
        <v>Regalos</v>
      </c>
      <c r="C282" s="419"/>
      <c r="D282" s="419"/>
      <c r="E282" s="419"/>
      <c r="F282" s="419"/>
      <c r="G282" s="420"/>
      <c r="H282" s="112"/>
    </row>
    <row r="283" spans="2:8" ht="15" customHeight="1" thickBot="1">
      <c r="B283" s="421"/>
      <c r="C283" s="422"/>
      <c r="D283" s="422"/>
      <c r="E283" s="422"/>
      <c r="F283" s="422"/>
      <c r="G283" s="423"/>
      <c r="H283" s="112"/>
    </row>
    <row r="284" spans="2:8" ht="15.6">
      <c r="B284" s="431" t="s">
        <v>8</v>
      </c>
      <c r="C284" s="432"/>
      <c r="D284" s="433" t="s">
        <v>9</v>
      </c>
      <c r="E284" s="433"/>
      <c r="F284" s="433"/>
      <c r="G284" s="432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6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6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6.2" thickBot="1">
      <c r="B299" s="135"/>
      <c r="C299" s="17"/>
      <c r="D299" s="135"/>
      <c r="E299" s="139"/>
      <c r="F299" s="139"/>
      <c r="G299" s="17"/>
      <c r="H299" s="112"/>
    </row>
    <row r="300" spans="2:8" ht="16.2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2" thickBot="1">
      <c r="B301" s="5"/>
      <c r="C301" s="3"/>
      <c r="D301" s="5"/>
      <c r="E301" s="5"/>
      <c r="H301" s="112"/>
    </row>
    <row r="302" spans="2:8" ht="14.4" customHeight="1">
      <c r="B302" s="430" t="str">
        <f>AÑO!A35</f>
        <v>Salud</v>
      </c>
      <c r="C302" s="419"/>
      <c r="D302" s="419"/>
      <c r="E302" s="419"/>
      <c r="F302" s="419"/>
      <c r="G302" s="420"/>
      <c r="H302" s="112"/>
    </row>
    <row r="303" spans="2:8" ht="15" customHeight="1" thickBot="1">
      <c r="B303" s="421"/>
      <c r="C303" s="422"/>
      <c r="D303" s="422"/>
      <c r="E303" s="422"/>
      <c r="F303" s="422"/>
      <c r="G303" s="423"/>
      <c r="H303" s="112"/>
    </row>
    <row r="304" spans="2:8" ht="15.6">
      <c r="B304" s="431" t="s">
        <v>8</v>
      </c>
      <c r="C304" s="432"/>
      <c r="D304" s="433" t="s">
        <v>9</v>
      </c>
      <c r="E304" s="433"/>
      <c r="F304" s="433"/>
      <c r="G304" s="432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6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6.2" thickBot="1">
      <c r="B319" s="135"/>
      <c r="C319" s="17"/>
      <c r="D319" s="135"/>
      <c r="E319" s="139"/>
      <c r="F319" s="139"/>
      <c r="G319" s="17"/>
      <c r="H319" s="112"/>
    </row>
    <row r="320" spans="2:8" ht="16.2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2" thickBot="1">
      <c r="H321" s="112"/>
    </row>
    <row r="322" spans="2:8" ht="14.4" customHeight="1">
      <c r="B322" s="430" t="str">
        <f>AÑO!A36</f>
        <v>Nenas</v>
      </c>
      <c r="C322" s="419"/>
      <c r="D322" s="419"/>
      <c r="E322" s="419"/>
      <c r="F322" s="419"/>
      <c r="G322" s="420"/>
      <c r="H322" s="112"/>
    </row>
    <row r="323" spans="2:8" ht="15" customHeight="1" thickBot="1">
      <c r="B323" s="421"/>
      <c r="C323" s="422"/>
      <c r="D323" s="422"/>
      <c r="E323" s="422"/>
      <c r="F323" s="422"/>
      <c r="G323" s="423"/>
      <c r="H323" s="112"/>
    </row>
    <row r="324" spans="2:8" ht="15.6">
      <c r="B324" s="431" t="s">
        <v>8</v>
      </c>
      <c r="C324" s="432"/>
      <c r="D324" s="433" t="s">
        <v>9</v>
      </c>
      <c r="E324" s="433"/>
      <c r="F324" s="433"/>
      <c r="G324" s="432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6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6.2" thickBot="1">
      <c r="B339" s="135"/>
      <c r="C339" s="17"/>
      <c r="D339" s="135"/>
      <c r="E339" s="139"/>
      <c r="F339" s="139"/>
      <c r="G339" s="17"/>
      <c r="H339" s="112"/>
    </row>
    <row r="340" spans="2:8" ht="16.2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2" thickBot="1">
      <c r="B341" s="5"/>
      <c r="C341" s="3"/>
      <c r="D341" s="5"/>
      <c r="E341" s="5"/>
      <c r="H341" s="112"/>
    </row>
    <row r="342" spans="2:8" ht="14.4" customHeight="1">
      <c r="B342" s="430" t="str">
        <f>AÑO!A37</f>
        <v>Impuestos</v>
      </c>
      <c r="C342" s="419"/>
      <c r="D342" s="419"/>
      <c r="E342" s="419"/>
      <c r="F342" s="419"/>
      <c r="G342" s="420"/>
      <c r="H342" s="112"/>
    </row>
    <row r="343" spans="2:8" ht="15" customHeight="1" thickBot="1">
      <c r="B343" s="421"/>
      <c r="C343" s="422"/>
      <c r="D343" s="422"/>
      <c r="E343" s="422"/>
      <c r="F343" s="422"/>
      <c r="G343" s="423"/>
      <c r="H343" s="112"/>
    </row>
    <row r="344" spans="2:8" ht="15.6">
      <c r="B344" s="431" t="s">
        <v>8</v>
      </c>
      <c r="C344" s="432"/>
      <c r="D344" s="433" t="s">
        <v>9</v>
      </c>
      <c r="E344" s="433"/>
      <c r="F344" s="433"/>
      <c r="G344" s="432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6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6.2" thickBot="1">
      <c r="B359" s="135"/>
      <c r="C359" s="17"/>
      <c r="D359" s="135"/>
      <c r="E359" s="139"/>
      <c r="F359" s="139"/>
      <c r="G359" s="17"/>
      <c r="H359" s="112"/>
    </row>
    <row r="360" spans="2:8" ht="16.2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2" thickBot="1">
      <c r="B361" s="5"/>
      <c r="C361" s="3"/>
      <c r="D361" s="5"/>
      <c r="E361" s="5"/>
      <c r="H361" s="112"/>
    </row>
    <row r="362" spans="2:8" ht="14.4" customHeight="1">
      <c r="B362" s="430" t="str">
        <f>AÑO!A38</f>
        <v>Gastos Curros</v>
      </c>
      <c r="C362" s="419"/>
      <c r="D362" s="419"/>
      <c r="E362" s="419"/>
      <c r="F362" s="419"/>
      <c r="G362" s="420"/>
      <c r="H362" s="112"/>
    </row>
    <row r="363" spans="2:8" ht="15" customHeight="1" thickBot="1">
      <c r="B363" s="421"/>
      <c r="C363" s="422"/>
      <c r="D363" s="422"/>
      <c r="E363" s="422"/>
      <c r="F363" s="422"/>
      <c r="G363" s="423"/>
      <c r="H363" s="112"/>
    </row>
    <row r="364" spans="2:8" ht="15.6">
      <c r="B364" s="431" t="s">
        <v>8</v>
      </c>
      <c r="C364" s="432"/>
      <c r="D364" s="433" t="s">
        <v>9</v>
      </c>
      <c r="E364" s="433"/>
      <c r="F364" s="433"/>
      <c r="G364" s="432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6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6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6.2" thickBot="1">
      <c r="B379" s="135"/>
      <c r="C379" s="17"/>
      <c r="D379" s="135"/>
      <c r="E379" s="139"/>
      <c r="F379" s="139"/>
      <c r="G379" s="17"/>
      <c r="H379" s="112"/>
    </row>
    <row r="380" spans="2:8" ht="16.2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2" thickBot="1">
      <c r="B381" s="5"/>
      <c r="C381" s="3"/>
      <c r="D381" s="5"/>
      <c r="E381" s="5"/>
      <c r="H381" s="112"/>
    </row>
    <row r="382" spans="2:8" ht="14.4" customHeight="1">
      <c r="B382" s="430" t="str">
        <f>AÑO!A39</f>
        <v>Dreamed Holidays</v>
      </c>
      <c r="C382" s="419"/>
      <c r="D382" s="419"/>
      <c r="E382" s="419"/>
      <c r="F382" s="419"/>
      <c r="G382" s="420"/>
      <c r="H382" s="112"/>
    </row>
    <row r="383" spans="2:8" ht="15" customHeight="1" thickBot="1">
      <c r="B383" s="421"/>
      <c r="C383" s="422"/>
      <c r="D383" s="422"/>
      <c r="E383" s="422"/>
      <c r="F383" s="422"/>
      <c r="G383" s="423"/>
      <c r="H383" s="112"/>
    </row>
    <row r="384" spans="2:8" ht="15.6">
      <c r="B384" s="431" t="s">
        <v>8</v>
      </c>
      <c r="C384" s="432"/>
      <c r="D384" s="433" t="s">
        <v>9</v>
      </c>
      <c r="E384" s="433"/>
      <c r="F384" s="433"/>
      <c r="G384" s="432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6.2" thickBot="1">
      <c r="B399" s="135"/>
      <c r="C399" s="17"/>
      <c r="D399" s="135"/>
      <c r="E399" s="139"/>
      <c r="F399" s="139"/>
      <c r="G399" s="17"/>
      <c r="H399" s="112"/>
    </row>
    <row r="400" spans="2:8" ht="16.2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2" thickBot="1">
      <c r="B401" s="5"/>
      <c r="C401" s="3"/>
      <c r="D401" s="5"/>
      <c r="E401" s="5"/>
      <c r="H401" s="112"/>
    </row>
    <row r="402" spans="2:8" ht="14.4" customHeight="1">
      <c r="B402" s="430" t="str">
        <f>AÑO!A40</f>
        <v>Financieros</v>
      </c>
      <c r="C402" s="419"/>
      <c r="D402" s="419"/>
      <c r="E402" s="419"/>
      <c r="F402" s="419"/>
      <c r="G402" s="420"/>
      <c r="H402" s="112"/>
    </row>
    <row r="403" spans="2:8" ht="15" customHeight="1" thickBot="1">
      <c r="B403" s="421"/>
      <c r="C403" s="422"/>
      <c r="D403" s="422"/>
      <c r="E403" s="422"/>
      <c r="F403" s="422"/>
      <c r="G403" s="423"/>
      <c r="H403" s="112"/>
    </row>
    <row r="404" spans="2:8" ht="15.6">
      <c r="B404" s="431" t="s">
        <v>8</v>
      </c>
      <c r="C404" s="432"/>
      <c r="D404" s="433" t="s">
        <v>9</v>
      </c>
      <c r="E404" s="433"/>
      <c r="F404" s="433"/>
      <c r="G404" s="432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6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6.2" thickBot="1">
      <c r="B419" s="135"/>
      <c r="C419" s="17"/>
      <c r="D419" s="135"/>
      <c r="E419" s="139"/>
      <c r="F419" s="139"/>
      <c r="G419" s="17"/>
      <c r="H419" s="112"/>
    </row>
    <row r="420" spans="1:8" ht="16.2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2" thickBot="1">
      <c r="B421" s="5"/>
      <c r="C421" s="3"/>
      <c r="D421" s="5"/>
      <c r="E421" s="5"/>
      <c r="H421" s="112"/>
    </row>
    <row r="422" spans="1:8" ht="14.4" customHeight="1">
      <c r="B422" s="430" t="str">
        <f>AÑO!A41</f>
        <v>Ahorros Colchón</v>
      </c>
      <c r="C422" s="436"/>
      <c r="D422" s="436"/>
      <c r="E422" s="436"/>
      <c r="F422" s="436"/>
      <c r="G422" s="437"/>
      <c r="H422" s="112"/>
    </row>
    <row r="423" spans="1:8" ht="15" customHeight="1" thickBot="1">
      <c r="B423" s="438"/>
      <c r="C423" s="439"/>
      <c r="D423" s="439"/>
      <c r="E423" s="439"/>
      <c r="F423" s="439"/>
      <c r="G423" s="440"/>
      <c r="H423" s="112"/>
    </row>
    <row r="424" spans="1:8" ht="15.6">
      <c r="B424" s="431" t="s">
        <v>8</v>
      </c>
      <c r="C424" s="432"/>
      <c r="D424" s="433" t="s">
        <v>9</v>
      </c>
      <c r="E424" s="433"/>
      <c r="F424" s="433"/>
      <c r="G424" s="432"/>
      <c r="H424" s="112"/>
    </row>
    <row r="425" spans="1:8" ht="15.6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6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6.2" thickBot="1">
      <c r="B439" s="135"/>
      <c r="C439" s="17"/>
      <c r="D439" s="135"/>
      <c r="E439" s="139"/>
      <c r="F439" s="139"/>
      <c r="G439" s="17"/>
      <c r="H439" s="112"/>
    </row>
    <row r="440" spans="2:8" ht="16.2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2" thickBot="1">
      <c r="B441" s="5"/>
      <c r="C441" s="3"/>
      <c r="D441" s="5"/>
      <c r="E441" s="5"/>
      <c r="H441" s="112"/>
    </row>
    <row r="442" spans="2:8" ht="14.4" customHeight="1">
      <c r="B442" s="430" t="str">
        <f>AÑO!A42</f>
        <v>Dinero Bloqueado</v>
      </c>
      <c r="C442" s="436"/>
      <c r="D442" s="436"/>
      <c r="E442" s="436"/>
      <c r="F442" s="436"/>
      <c r="G442" s="437"/>
      <c r="H442" s="112"/>
    </row>
    <row r="443" spans="2:8" ht="15" customHeight="1" thickBot="1">
      <c r="B443" s="438"/>
      <c r="C443" s="439"/>
      <c r="D443" s="439"/>
      <c r="E443" s="439"/>
      <c r="F443" s="439"/>
      <c r="G443" s="440"/>
      <c r="H443" s="112"/>
    </row>
    <row r="444" spans="2:8" ht="15.6">
      <c r="B444" s="431" t="s">
        <v>8</v>
      </c>
      <c r="C444" s="432"/>
      <c r="D444" s="433" t="s">
        <v>9</v>
      </c>
      <c r="E444" s="433"/>
      <c r="F444" s="433"/>
      <c r="G444" s="432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6.2" thickBot="1">
      <c r="B459" s="135"/>
      <c r="C459" s="17"/>
      <c r="D459" s="135"/>
      <c r="E459" s="139"/>
      <c r="F459" s="139"/>
      <c r="G459" s="17"/>
      <c r="H459" s="112"/>
    </row>
    <row r="460" spans="2:8" ht="16.2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2" thickBot="1">
      <c r="B461" s="5"/>
      <c r="C461" s="3"/>
      <c r="D461" s="5"/>
      <c r="E461" s="5"/>
      <c r="H461" s="112"/>
    </row>
    <row r="462" spans="2:8" ht="14.4" customHeight="1">
      <c r="B462" s="430" t="str">
        <f>AÑO!A43</f>
        <v>Cartama Finanazas</v>
      </c>
      <c r="C462" s="436"/>
      <c r="D462" s="436"/>
      <c r="E462" s="436"/>
      <c r="F462" s="436"/>
      <c r="G462" s="437"/>
      <c r="H462" s="112"/>
    </row>
    <row r="463" spans="2:8" ht="15" customHeight="1" thickBot="1">
      <c r="B463" s="438"/>
      <c r="C463" s="439"/>
      <c r="D463" s="439"/>
      <c r="E463" s="439"/>
      <c r="F463" s="439"/>
      <c r="G463" s="440"/>
      <c r="H463" s="112"/>
    </row>
    <row r="464" spans="2:8" ht="15.6">
      <c r="B464" s="431" t="s">
        <v>8</v>
      </c>
      <c r="C464" s="432"/>
      <c r="D464" s="433" t="s">
        <v>9</v>
      </c>
      <c r="E464" s="433"/>
      <c r="F464" s="433"/>
      <c r="G464" s="432"/>
      <c r="H464" s="112"/>
    </row>
    <row r="465" spans="1:8" ht="15.6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6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6.2" thickBot="1">
      <c r="B479" s="135"/>
      <c r="C479" s="17"/>
      <c r="D479" s="135"/>
      <c r="E479" s="139"/>
      <c r="F479" s="139"/>
      <c r="G479" s="17"/>
      <c r="H479" s="112"/>
    </row>
    <row r="480" spans="1:8" ht="16.2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2" thickBot="1">
      <c r="H481" s="112"/>
    </row>
    <row r="482" spans="2:8" ht="14.4" customHeight="1">
      <c r="B482" s="430" t="str">
        <f>AÑO!A44</f>
        <v>NULO</v>
      </c>
      <c r="C482" s="436"/>
      <c r="D482" s="436"/>
      <c r="E482" s="436"/>
      <c r="F482" s="436"/>
      <c r="G482" s="437"/>
      <c r="H482" s="112"/>
    </row>
    <row r="483" spans="2:8" ht="15" customHeight="1" thickBot="1">
      <c r="B483" s="438"/>
      <c r="C483" s="439"/>
      <c r="D483" s="439"/>
      <c r="E483" s="439"/>
      <c r="F483" s="439"/>
      <c r="G483" s="440"/>
      <c r="H483" s="112"/>
    </row>
    <row r="484" spans="2:8" ht="15.6">
      <c r="B484" s="431" t="s">
        <v>8</v>
      </c>
      <c r="C484" s="432"/>
      <c r="D484" s="433" t="s">
        <v>9</v>
      </c>
      <c r="E484" s="433"/>
      <c r="F484" s="433"/>
      <c r="G484" s="432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6.2" thickBot="1">
      <c r="B499" s="135"/>
      <c r="C499" s="17"/>
      <c r="D499" s="135"/>
      <c r="E499" s="139"/>
      <c r="F499" s="139"/>
      <c r="G499" s="17"/>
      <c r="H499" s="112"/>
    </row>
    <row r="500" spans="2:8" ht="16.2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2" thickBot="1">
      <c r="B501" s="5"/>
      <c r="C501" s="3"/>
      <c r="D501" s="5"/>
      <c r="E501" s="5"/>
      <c r="H501" s="112"/>
    </row>
    <row r="502" spans="2:8" ht="14.4" customHeight="1">
      <c r="B502" s="430" t="str">
        <f>AÑO!A45</f>
        <v>OTROS</v>
      </c>
      <c r="C502" s="436"/>
      <c r="D502" s="436"/>
      <c r="E502" s="436"/>
      <c r="F502" s="436"/>
      <c r="G502" s="437"/>
      <c r="H502" s="112"/>
    </row>
    <row r="503" spans="2:8" ht="15" customHeight="1" thickBot="1">
      <c r="B503" s="438"/>
      <c r="C503" s="439"/>
      <c r="D503" s="439"/>
      <c r="E503" s="439"/>
      <c r="F503" s="439"/>
      <c r="G503" s="440"/>
      <c r="H503" s="112"/>
    </row>
    <row r="504" spans="2:8" ht="15.6">
      <c r="B504" s="431" t="s">
        <v>8</v>
      </c>
      <c r="C504" s="432"/>
      <c r="D504" s="433" t="s">
        <v>9</v>
      </c>
      <c r="E504" s="433"/>
      <c r="F504" s="433"/>
      <c r="G504" s="432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6.2" thickBot="1">
      <c r="B519" s="135"/>
      <c r="C519" s="17"/>
      <c r="D519" s="135"/>
      <c r="E519" s="139"/>
      <c r="F519" s="139"/>
      <c r="G519" s="17"/>
      <c r="H519" s="112"/>
    </row>
    <row r="520" spans="2:8" ht="16.2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2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6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2397.48-4.45</f>
        <v>2393.0300000000002</v>
      </c>
      <c r="L5" s="427"/>
      <c r="M5" s="1"/>
      <c r="N5" s="1"/>
      <c r="R5" s="3"/>
    </row>
    <row r="6" spans="1:22" ht="15.6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>
        <f>7340.23-4.45</f>
        <v>7335.78</v>
      </c>
      <c r="L7" s="429"/>
      <c r="M7" s="1"/>
      <c r="N7" s="1"/>
      <c r="R7" s="3"/>
    </row>
    <row r="8" spans="1:22" ht="15.6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7001.87</v>
      </c>
      <c r="L8" s="429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669.52</v>
      </c>
      <c r="L9" s="429"/>
      <c r="M9" s="1"/>
      <c r="N9" s="1"/>
      <c r="R9" s="3"/>
    </row>
    <row r="10" spans="1:22" ht="15.6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6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f>160+155</f>
        <v>315</v>
      </c>
      <c r="L11" s="429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25229.379999999997</v>
      </c>
      <c r="L19" s="435"/>
      <c r="M19" s="1"/>
      <c r="N19" s="1"/>
      <c r="R19" s="3"/>
    </row>
    <row r="20" spans="1:18" ht="16.2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2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6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198">
        <v>2592.42</v>
      </c>
      <c r="M25" s="1"/>
      <c r="R25" s="3"/>
    </row>
    <row r="26" spans="1:18" ht="15.6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6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6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314</v>
      </c>
      <c r="K30" s="409"/>
      <c r="L30" s="198">
        <v>80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319</v>
      </c>
      <c r="K31" s="411"/>
      <c r="L31" s="199">
        <v>379.17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199">
        <v>181.09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6"/>
      <c r="J33" s="410" t="s">
        <v>314</v>
      </c>
      <c r="K33" s="411"/>
      <c r="L33" s="199">
        <v>120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 t="s">
        <v>359</v>
      </c>
      <c r="K35" s="409"/>
      <c r="L35" s="198">
        <v>107.38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2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2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6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160</v>
      </c>
      <c r="K45" s="409"/>
      <c r="L45" s="198">
        <v>600.04</v>
      </c>
      <c r="M45" s="1"/>
      <c r="R45" s="3"/>
    </row>
    <row r="46" spans="1:18" ht="15.6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6"/>
      <c r="J46" s="410"/>
      <c r="K46" s="411"/>
      <c r="L46" s="19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6"/>
      <c r="J47" s="410"/>
      <c r="K47" s="411"/>
      <c r="L47" s="199"/>
      <c r="M47" s="1"/>
      <c r="R47" s="3"/>
    </row>
    <row r="48" spans="1:18" ht="15.6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6"/>
      <c r="J48" s="410"/>
      <c r="K48" s="411"/>
      <c r="L48" s="199"/>
      <c r="M48" s="1"/>
      <c r="R48" s="3"/>
    </row>
    <row r="49" spans="1:18" ht="15.6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5" t="str">
        <f>AÑO!A13</f>
        <v>Gubernamental</v>
      </c>
      <c r="J50" s="408" t="s">
        <v>259</v>
      </c>
      <c r="K50" s="409"/>
      <c r="L50" s="198">
        <v>95.8</v>
      </c>
      <c r="M50" s="1"/>
      <c r="R50" s="3"/>
    </row>
    <row r="51" spans="1:18" ht="15.6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6"/>
      <c r="J51" s="410"/>
      <c r="K51" s="411"/>
      <c r="L51" s="199"/>
      <c r="M51" s="1"/>
      <c r="R51" s="3"/>
    </row>
    <row r="52" spans="1:18" ht="15.6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6"/>
      <c r="J52" s="410"/>
      <c r="K52" s="411"/>
      <c r="L52" s="199"/>
      <c r="M52" s="1"/>
      <c r="R52" s="3"/>
    </row>
    <row r="53" spans="1:18" ht="15.6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6"/>
      <c r="J53" s="410"/>
      <c r="K53" s="411"/>
      <c r="L53" s="199"/>
      <c r="M53" s="1"/>
      <c r="R53" s="3"/>
    </row>
    <row r="54" spans="1:18" ht="15.6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5" t="str">
        <f>AÑO!A15</f>
        <v>Alquiler Cartama</v>
      </c>
      <c r="J60" s="408" t="s">
        <v>315</v>
      </c>
      <c r="K60" s="409"/>
      <c r="L60" s="198">
        <v>665.77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2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6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6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6"/>
      <c r="J66" s="410"/>
      <c r="K66" s="411"/>
      <c r="L66" s="199"/>
      <c r="M66" s="1"/>
      <c r="R66" s="3"/>
    </row>
    <row r="67" spans="1:18" ht="15.6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6"/>
      <c r="J67" s="410"/>
      <c r="K67" s="411"/>
      <c r="L67" s="199"/>
      <c r="M67" s="1"/>
      <c r="R67" s="3"/>
    </row>
    <row r="68" spans="1:18" ht="15.6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6"/>
      <c r="J68" s="410"/>
      <c r="K68" s="411"/>
      <c r="L68" s="199"/>
      <c r="M68" s="1"/>
      <c r="R68" s="3"/>
    </row>
    <row r="69" spans="1:18" ht="16.2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7"/>
      <c r="J69" s="412"/>
      <c r="K69" s="413"/>
      <c r="L69" s="200"/>
      <c r="M69" s="1"/>
      <c r="R69" s="3"/>
    </row>
    <row r="70" spans="1:18" ht="15.6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2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6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6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6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6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2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6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2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6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2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6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" thickBot="1"/>
    <row r="322" spans="2:7" ht="14.4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</row>
    <row r="422" spans="1:8" ht="14.4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8" ht="15" customHeight="1" thickBot="1">
      <c r="B423" s="438"/>
      <c r="C423" s="439"/>
      <c r="D423" s="439"/>
      <c r="E423" s="439"/>
      <c r="F423" s="439"/>
      <c r="G423" s="440"/>
    </row>
    <row r="424" spans="1:8">
      <c r="B424" s="431" t="s">
        <v>8</v>
      </c>
      <c r="C424" s="432"/>
      <c r="D424" s="433" t="s">
        <v>9</v>
      </c>
      <c r="E424" s="433"/>
      <c r="F424" s="433"/>
      <c r="G424" s="43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6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6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6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2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6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1559.34</v>
      </c>
      <c r="L5" s="427"/>
      <c r="M5" s="1"/>
      <c r="N5" s="1"/>
      <c r="R5" s="3"/>
    </row>
    <row r="6" spans="1:22" ht="15.6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6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8">
        <v>8577.0300000000007</v>
      </c>
      <c r="L7" s="429"/>
      <c r="M7" s="1"/>
      <c r="N7" s="1"/>
      <c r="R7" s="3"/>
    </row>
    <row r="8" spans="1:22" ht="15.6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3501.87</v>
      </c>
      <c r="L8" s="429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8">
        <v>4167.34</v>
      </c>
      <c r="L9" s="429"/>
      <c r="M9" s="1"/>
      <c r="N9" s="1"/>
      <c r="R9" s="3"/>
    </row>
    <row r="10" spans="1:22" ht="15.6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6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255</v>
      </c>
      <c r="L11" s="429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6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25574.760000000002</v>
      </c>
      <c r="L19" s="435"/>
      <c r="M19" s="1"/>
      <c r="N19" s="1"/>
      <c r="R19" s="3"/>
    </row>
    <row r="20" spans="1:18" ht="16.2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2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6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198">
        <v>2526.87</v>
      </c>
      <c r="M25" s="1"/>
      <c r="R25" s="3"/>
    </row>
    <row r="26" spans="1:18" ht="15.6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6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6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363</v>
      </c>
      <c r="K30" s="409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238</v>
      </c>
      <c r="K31" s="411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2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2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6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380</v>
      </c>
      <c r="K45" s="409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06"/>
      <c r="J46" s="410" t="s">
        <v>160</v>
      </c>
      <c r="K46" s="411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06"/>
      <c r="J47" s="410"/>
      <c r="K47" s="411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06"/>
      <c r="J48" s="410"/>
      <c r="K48" s="411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05" t="str">
        <f>AÑO!A13</f>
        <v>Gubernamental</v>
      </c>
      <c r="J50" s="408" t="s">
        <v>259</v>
      </c>
      <c r="K50" s="409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06"/>
      <c r="J51" s="410" t="s">
        <v>418</v>
      </c>
      <c r="K51" s="411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06"/>
      <c r="J52" s="410"/>
      <c r="K52" s="411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06"/>
      <c r="J53" s="410"/>
      <c r="K53" s="411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05" t="str">
        <f>AÑO!A14</f>
        <v>Mutualite/DKV</v>
      </c>
      <c r="J55" s="441" t="str">
        <f>G306</f>
        <v>12/03 Chirec</v>
      </c>
      <c r="K55" s="409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367</v>
      </c>
      <c r="K60" s="409"/>
      <c r="L60" s="198">
        <v>682.39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2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6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6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06"/>
      <c r="J66" s="410"/>
      <c r="K66" s="411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06"/>
      <c r="J67" s="410"/>
      <c r="K67" s="411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06"/>
      <c r="J68" s="410"/>
      <c r="K68" s="411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07"/>
      <c r="J69" s="412"/>
      <c r="K69" s="413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2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2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6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2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6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2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6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2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6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" thickBot="1">
      <c r="B241" s="5"/>
      <c r="C241" s="3"/>
      <c r="D241" s="5"/>
      <c r="E241" s="5"/>
    </row>
    <row r="242" spans="1:8" ht="14.4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8" ht="15" customHeight="1" thickBot="1">
      <c r="B243" s="421"/>
      <c r="C243" s="422"/>
      <c r="D243" s="422"/>
      <c r="E243" s="422"/>
      <c r="F243" s="422"/>
      <c r="G243" s="423"/>
    </row>
    <row r="244" spans="1:8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2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7" ht="15" customHeight="1" thickBot="1">
      <c r="B263" s="421"/>
      <c r="C263" s="422"/>
      <c r="D263" s="422"/>
      <c r="E263" s="422"/>
      <c r="F263" s="422"/>
      <c r="G263" s="423"/>
    </row>
    <row r="264" spans="1:7">
      <c r="B264" s="431" t="s">
        <v>8</v>
      </c>
      <c r="C264" s="432"/>
      <c r="D264" s="433" t="s">
        <v>9</v>
      </c>
      <c r="E264" s="433"/>
      <c r="F264" s="433"/>
      <c r="G264" s="43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" thickBot="1"/>
    <row r="322" spans="2:7" ht="14.4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6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6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6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" thickBot="1">
      <c r="B479" s="135"/>
      <c r="C479" s="17"/>
      <c r="D479" s="135"/>
      <c r="E479" s="139"/>
      <c r="F479" s="139"/>
      <c r="G479" s="17"/>
    </row>
    <row r="480" spans="1:9" ht="1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75" workbookViewId="0">
      <selection activeCell="B282" sqref="B282:G300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2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6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861.84</v>
      </c>
      <c r="L5" s="427"/>
      <c r="M5" s="1"/>
      <c r="N5" s="1"/>
      <c r="R5" s="3"/>
    </row>
    <row r="6" spans="1:22" ht="15.6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6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10075.709999999999</v>
      </c>
      <c r="L7" s="429"/>
      <c r="M7" s="1"/>
      <c r="N7" s="1"/>
      <c r="R7" s="3"/>
    </row>
    <row r="8" spans="1:22" ht="15.6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3501.87</v>
      </c>
      <c r="L8" s="429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35.96</v>
      </c>
      <c r="L9" s="429"/>
      <c r="M9" s="1"/>
      <c r="N9" s="1"/>
      <c r="R9" s="3"/>
    </row>
    <row r="10" spans="1:22" ht="15.6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6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370</v>
      </c>
      <c r="L11" s="429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5092.08+4084.2</f>
        <v>9176.2799999999988</v>
      </c>
      <c r="L12" s="429"/>
      <c r="M12" s="92"/>
      <c r="N12" s="1"/>
      <c r="R12" s="3"/>
    </row>
    <row r="13" spans="1:22" ht="15.6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26443.759999999998</v>
      </c>
      <c r="L19" s="444"/>
      <c r="M19" s="1"/>
      <c r="N19" s="1"/>
      <c r="R19" s="3"/>
    </row>
    <row r="20" spans="1:18" ht="16.2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2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6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231">
        <v>2570.56</v>
      </c>
      <c r="M25" s="1">
        <f>16*1.09</f>
        <v>17.440000000000001</v>
      </c>
      <c r="R25" s="3"/>
    </row>
    <row r="26" spans="1:18" ht="15.6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6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6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363</v>
      </c>
      <c r="K30" s="409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431</v>
      </c>
      <c r="K31" s="411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>
        <v>204.23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2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425</v>
      </c>
      <c r="K40" s="409"/>
      <c r="L40" s="231">
        <v>3.75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6"/>
      <c r="J41" s="410" t="s">
        <v>445</v>
      </c>
      <c r="K41" s="411"/>
      <c r="L41" s="229">
        <v>352.82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 t="s">
        <v>60</v>
      </c>
      <c r="K42" s="411"/>
      <c r="L42" s="229">
        <v>0.02</v>
      </c>
      <c r="M42" s="1"/>
      <c r="R42" s="3"/>
    </row>
    <row r="43" spans="1:18" ht="16.2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6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6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06"/>
      <c r="J46" s="410"/>
      <c r="K46" s="411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06"/>
      <c r="J47" s="410"/>
      <c r="K47" s="411"/>
      <c r="L47" s="229"/>
      <c r="M47" s="1"/>
      <c r="R47" s="3"/>
    </row>
    <row r="48" spans="1:18" ht="15.6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06"/>
      <c r="J48" s="410"/>
      <c r="K48" s="411"/>
      <c r="L48" s="229"/>
      <c r="M48" s="1"/>
      <c r="R48" s="3"/>
    </row>
    <row r="49" spans="1:18" ht="15.6">
      <c r="A49" s="1"/>
      <c r="B49" s="134"/>
      <c r="C49" s="16" t="s">
        <v>462</v>
      </c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05" t="str">
        <f>AÑO!A13</f>
        <v>Gubernamental</v>
      </c>
      <c r="J50" s="408" t="s">
        <v>434</v>
      </c>
      <c r="K50" s="409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41" t="str">
        <f>'03'!G307</f>
        <v>22/03 Chirec</v>
      </c>
      <c r="K55" s="409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6"/>
      <c r="J56" s="442" t="str">
        <f>'03'!G309</f>
        <v>26/03 Ginecologa</v>
      </c>
      <c r="K56" s="411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6"/>
      <c r="J57" s="410" t="s">
        <v>449</v>
      </c>
      <c r="K57" s="411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2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6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6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06"/>
      <c r="J66" s="410"/>
      <c r="K66" s="411"/>
      <c r="L66" s="229"/>
      <c r="M66" s="1"/>
      <c r="R66" s="3"/>
    </row>
    <row r="67" spans="1:18" ht="15.6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06"/>
      <c r="J67" s="410"/>
      <c r="K67" s="411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2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6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6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2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6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6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6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2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6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2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6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6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2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7" ht="15" customHeight="1" thickBot="1">
      <c r="B263" s="421"/>
      <c r="C263" s="422"/>
      <c r="D263" s="422"/>
      <c r="E263" s="422"/>
      <c r="F263" s="422"/>
      <c r="G263" s="423"/>
    </row>
    <row r="264" spans="1:7">
      <c r="B264" s="431" t="s">
        <v>8</v>
      </c>
      <c r="C264" s="432"/>
      <c r="D264" s="431" t="s">
        <v>9</v>
      </c>
      <c r="E264" s="433"/>
      <c r="F264" s="433"/>
      <c r="G264" s="43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6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5" workbookViewId="0">
      <selection activeCell="B42" sqref="B42:G4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2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6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1773.93</v>
      </c>
      <c r="L5" s="427"/>
      <c r="M5" s="1"/>
      <c r="N5" s="1"/>
      <c r="R5" s="3"/>
    </row>
    <row r="6" spans="1:22" ht="15.6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6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7144.52</v>
      </c>
      <c r="L7" s="429"/>
      <c r="M7" s="1"/>
      <c r="N7" s="1"/>
      <c r="R7" s="3"/>
    </row>
    <row r="8" spans="1:22" ht="15.6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10005.620000000001</v>
      </c>
      <c r="L8" s="429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514.82000000000005</v>
      </c>
      <c r="L9" s="429"/>
      <c r="M9" s="1"/>
      <c r="N9" s="1"/>
      <c r="R9" s="3"/>
    </row>
    <row r="10" spans="1:22" ht="15.6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6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f>210</f>
        <v>210</v>
      </c>
      <c r="L11" s="429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6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27163.090000000004</v>
      </c>
      <c r="L19" s="444"/>
      <c r="M19" s="1"/>
      <c r="N19" s="1"/>
      <c r="R19" s="3"/>
    </row>
    <row r="20" spans="1:18" ht="16.2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2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6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231">
        <v>4448.8500000000004</v>
      </c>
      <c r="M25" s="1"/>
      <c r="R25" s="3"/>
    </row>
    <row r="26" spans="1:18" ht="15.6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6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6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6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431</v>
      </c>
      <c r="K30" s="409"/>
      <c r="L30" s="231">
        <v>358.14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363</v>
      </c>
      <c r="K31" s="411"/>
      <c r="L31" s="229">
        <v>40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180.03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>
        <v>119.85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2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473</v>
      </c>
      <c r="K40" s="409"/>
      <c r="L40" s="231">
        <v>45.86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2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6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6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06"/>
      <c r="J46" s="410"/>
      <c r="K46" s="411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06"/>
      <c r="J47" s="410"/>
      <c r="K47" s="411"/>
      <c r="L47" s="229"/>
      <c r="M47" s="1"/>
      <c r="R47" s="3"/>
    </row>
    <row r="48" spans="1:18" ht="15.6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06"/>
      <c r="J48" s="410"/>
      <c r="K48" s="411"/>
      <c r="L48" s="229"/>
      <c r="M48" s="1"/>
      <c r="R48" s="3"/>
    </row>
    <row r="49" spans="1:18" ht="15.6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490</v>
      </c>
      <c r="H50" s="1"/>
      <c r="I50" s="405" t="str">
        <f>AÑO!A13</f>
        <v>Gubernamental</v>
      </c>
      <c r="J50" s="408" t="s">
        <v>484</v>
      </c>
      <c r="K50" s="409"/>
      <c r="L50" s="231">
        <v>95.8</v>
      </c>
      <c r="M50" s="1"/>
      <c r="R50" s="3"/>
    </row>
    <row r="51" spans="1:18" ht="15.6">
      <c r="A51" s="1"/>
      <c r="B51" s="134"/>
      <c r="C51" s="16"/>
      <c r="D51" s="137">
        <f>83.74-D246</f>
        <v>68.739999999999995</v>
      </c>
      <c r="E51" s="138"/>
      <c r="F51" s="138"/>
      <c r="G51" s="16" t="s">
        <v>491</v>
      </c>
      <c r="H51" s="1"/>
      <c r="I51" s="406"/>
      <c r="J51" s="410"/>
      <c r="K51" s="411"/>
      <c r="L51" s="229"/>
      <c r="M51" s="1"/>
      <c r="R51" s="3"/>
    </row>
    <row r="52" spans="1:18" ht="15.6">
      <c r="A52" s="1"/>
      <c r="B52" s="134"/>
      <c r="C52" s="16"/>
      <c r="D52" s="137">
        <v>17.45</v>
      </c>
      <c r="E52" s="138"/>
      <c r="F52" s="138"/>
      <c r="G52" s="16" t="s">
        <v>495</v>
      </c>
      <c r="H52" s="1"/>
      <c r="I52" s="406"/>
      <c r="J52" s="410"/>
      <c r="K52" s="411"/>
      <c r="L52" s="229"/>
      <c r="M52" s="1"/>
      <c r="R52" s="3"/>
    </row>
    <row r="53" spans="1:18" ht="15.6">
      <c r="A53" s="1"/>
      <c r="B53" s="134"/>
      <c r="C53" s="16"/>
      <c r="D53" s="137">
        <v>68.010000000000005</v>
      </c>
      <c r="E53" s="138"/>
      <c r="F53" s="138"/>
      <c r="G53" s="16" t="s">
        <v>498</v>
      </c>
      <c r="H53" s="1"/>
      <c r="I53" s="406"/>
      <c r="J53" s="410"/>
      <c r="K53" s="411"/>
      <c r="L53" s="229"/>
      <c r="M53" s="1"/>
      <c r="R53" s="3"/>
    </row>
    <row r="54" spans="1:18" ht="15.6">
      <c r="A54" s="1"/>
      <c r="B54" s="134"/>
      <c r="C54" s="16"/>
      <c r="D54" s="137">
        <v>57.23</v>
      </c>
      <c r="E54" s="138"/>
      <c r="F54" s="138"/>
      <c r="G54" s="16" t="s">
        <v>607</v>
      </c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608</v>
      </c>
      <c r="H55" s="1"/>
      <c r="I55" s="405" t="str">
        <f>AÑO!A14</f>
        <v>Mutualite/DKV</v>
      </c>
      <c r="J55" s="408" t="s">
        <v>478</v>
      </c>
      <c r="K55" s="409"/>
      <c r="L55" s="231">
        <v>17.350000000000001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>
        <v>652.44000000000005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2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6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6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06"/>
      <c r="J66" s="410"/>
      <c r="K66" s="411"/>
      <c r="L66" s="229"/>
      <c r="M66" s="1"/>
      <c r="R66" s="3"/>
    </row>
    <row r="67" spans="1:18" ht="15.6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06"/>
      <c r="J67" s="410"/>
      <c r="K67" s="411"/>
      <c r="L67" s="229"/>
      <c r="M67" s="1"/>
      <c r="R67" s="3"/>
    </row>
    <row r="68" spans="1:18" ht="15.6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06"/>
      <c r="J68" s="410"/>
      <c r="K68" s="411"/>
      <c r="L68" s="229"/>
      <c r="M68" s="1"/>
      <c r="R68" s="3"/>
    </row>
    <row r="69" spans="1:18" ht="16.2" thickBot="1">
      <c r="A69" s="1"/>
      <c r="B69" s="134"/>
      <c r="C69" s="16"/>
      <c r="D69" s="137">
        <v>16</v>
      </c>
      <c r="E69" s="138"/>
      <c r="F69" s="138"/>
      <c r="G69" s="16" t="s">
        <v>488</v>
      </c>
      <c r="H69" s="1"/>
      <c r="I69" s="407"/>
      <c r="J69" s="412"/>
      <c r="K69" s="413"/>
      <c r="L69" s="232"/>
      <c r="M69" s="1"/>
      <c r="R69" s="3"/>
    </row>
    <row r="70" spans="1:18" ht="15.6">
      <c r="A70" s="1"/>
      <c r="B70" s="134"/>
      <c r="C70" s="16"/>
      <c r="D70" s="137">
        <v>48.8</v>
      </c>
      <c r="E70" s="138"/>
      <c r="F70" s="138"/>
      <c r="G70" s="16" t="s">
        <v>489</v>
      </c>
      <c r="H70" s="1"/>
      <c r="M70" s="1"/>
      <c r="R70" s="3"/>
    </row>
    <row r="71" spans="1:18" ht="15.6">
      <c r="A71" s="1"/>
      <c r="B71" s="134"/>
      <c r="C71" s="16"/>
      <c r="D71" s="137">
        <v>33.75</v>
      </c>
      <c r="E71" s="138"/>
      <c r="F71" s="138"/>
      <c r="G71" s="16" t="s">
        <v>496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>
        <v>22</v>
      </c>
      <c r="G72" s="16" t="s">
        <v>609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2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6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6">
      <c r="A87" s="1"/>
      <c r="B87" s="134"/>
      <c r="C87" s="16"/>
      <c r="D87" s="137">
        <v>53.64</v>
      </c>
      <c r="E87" s="138"/>
      <c r="F87" s="138"/>
      <c r="G87" s="16" t="s">
        <v>492</v>
      </c>
      <c r="H87" s="1"/>
      <c r="M87" s="1"/>
      <c r="R87" s="3"/>
    </row>
    <row r="88" spans="1:18" ht="15.6">
      <c r="A88" s="1"/>
      <c r="B88" s="134"/>
      <c r="C88" s="16"/>
      <c r="D88" s="137">
        <v>7.6</v>
      </c>
      <c r="E88" s="138"/>
      <c r="F88" s="138"/>
      <c r="G88" s="16" t="s">
        <v>501</v>
      </c>
      <c r="H88" s="1"/>
      <c r="M88" s="1"/>
      <c r="R88" s="3"/>
    </row>
    <row r="89" spans="1:18" ht="15.6">
      <c r="A89" s="1"/>
      <c r="B89" s="134"/>
      <c r="C89" s="16"/>
      <c r="D89" s="137">
        <v>58.63</v>
      </c>
      <c r="E89" s="138"/>
      <c r="F89" s="138"/>
      <c r="G89" s="16" t="s">
        <v>610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2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6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'04'!A109+(B109+B110-SUM(D109:F109))</f>
        <v>2470.0600000000004</v>
      </c>
      <c r="B109" s="134">
        <f>67.53+120</f>
        <v>187.53</v>
      </c>
      <c r="C109" s="18" t="s">
        <v>615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2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6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2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6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6">
      <c r="A147" s="1"/>
      <c r="B147" s="134"/>
      <c r="C147" s="16"/>
      <c r="D147" s="137">
        <v>24.87</v>
      </c>
      <c r="E147" s="138"/>
      <c r="F147" s="138"/>
      <c r="G147" s="16" t="s">
        <v>494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850</v>
      </c>
      <c r="C167" s="16" t="s">
        <v>568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493</v>
      </c>
    </row>
    <row r="207" spans="2:12">
      <c r="B207" s="134">
        <v>15</v>
      </c>
      <c r="C207" s="16" t="s">
        <v>568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499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6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613</v>
      </c>
      <c r="H257" s="113"/>
    </row>
    <row r="258" spans="1:8" ht="15.6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2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2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  <c r="F261" s="237"/>
      <c r="G261" s="238"/>
    </row>
    <row r="262" spans="1:8" ht="14.4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  <c r="F281" s="237"/>
      <c r="G281" s="238"/>
    </row>
    <row r="282" spans="2:8" ht="14.4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486</v>
      </c>
    </row>
    <row r="287" spans="2:8">
      <c r="B287" s="134">
        <v>35</v>
      </c>
      <c r="C287" s="16" t="s">
        <v>614</v>
      </c>
      <c r="D287" s="137">
        <v>54.8</v>
      </c>
      <c r="E287" s="138"/>
      <c r="F287" s="138"/>
      <c r="G287" s="16" t="s">
        <v>616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634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  <c r="F301" s="237"/>
      <c r="G301" s="238"/>
    </row>
    <row r="302" spans="2:8" ht="14.4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487</v>
      </c>
      <c r="D308" s="137">
        <f>51.89+44.67</f>
        <v>96.56</v>
      </c>
      <c r="E308" s="138"/>
      <c r="F308" s="138"/>
      <c r="G308" s="16" t="s">
        <v>606</v>
      </c>
    </row>
    <row r="309" spans="2:7">
      <c r="B309" s="134">
        <v>170</v>
      </c>
      <c r="C309" s="16" t="s">
        <v>568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" thickBot="1">
      <c r="B321" s="237"/>
      <c r="C321" s="238"/>
      <c r="D321" s="237"/>
      <c r="E321" s="237"/>
      <c r="F321" s="237"/>
      <c r="G321" s="238"/>
    </row>
    <row r="322" spans="2:7" ht="14.4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  <c r="F341" s="237"/>
      <c r="G341" s="238"/>
    </row>
    <row r="342" spans="2:7" ht="14.4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  <c r="F361" s="237"/>
      <c r="G361" s="238"/>
    </row>
    <row r="362" spans="2:7" ht="14.4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" thickBot="1">
      <c r="B381" s="5"/>
      <c r="C381" s="3"/>
      <c r="D381" s="5"/>
      <c r="E381" s="5"/>
      <c r="F381" s="237"/>
      <c r="G381" s="238"/>
    </row>
    <row r="382" spans="2:7" ht="14.4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  <c r="F401" s="237"/>
      <c r="G401" s="238"/>
    </row>
    <row r="402" spans="2:7" ht="14.4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500</v>
      </c>
    </row>
    <row r="409" spans="2:7">
      <c r="B409" s="134">
        <f>29.29+20</f>
        <v>49.29</v>
      </c>
      <c r="C409" s="16" t="s">
        <v>568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  <c r="F421" s="237"/>
      <c r="G421" s="238"/>
    </row>
    <row r="422" spans="1:8" ht="14.4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8" ht="15" customHeight="1" thickBot="1">
      <c r="B423" s="438"/>
      <c r="C423" s="439"/>
      <c r="D423" s="439"/>
      <c r="E423" s="439"/>
      <c r="F423" s="439"/>
      <c r="G423" s="440"/>
    </row>
    <row r="424" spans="1:8">
      <c r="B424" s="431" t="s">
        <v>8</v>
      </c>
      <c r="C424" s="432"/>
      <c r="D424" s="431" t="s">
        <v>9</v>
      </c>
      <c r="E424" s="433"/>
      <c r="F424" s="433"/>
      <c r="G424" s="432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6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6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6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40" zoomScaleNormal="100" workbookViewId="0">
      <selection activeCell="J50" sqref="J50:K50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2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6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M5+2156.93</f>
        <v>1614.1099999999997</v>
      </c>
      <c r="L5" s="427"/>
      <c r="M5" s="1">
        <f>-542.82</f>
        <v>-542.82000000000005</v>
      </c>
      <c r="N5" s="1" t="s">
        <v>612</v>
      </c>
      <c r="R5" s="3"/>
    </row>
    <row r="6" spans="1:22" ht="15.6">
      <c r="A6" s="112">
        <f>'05'!A6+(B6-SUM(D6:F6))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6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f>9234.42-58.2</f>
        <v>9176.2199999999993</v>
      </c>
      <c r="L7" s="429"/>
      <c r="M7" s="1"/>
      <c r="N7" s="1"/>
      <c r="R7" s="3"/>
    </row>
    <row r="8" spans="1:22" ht="15.6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6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8">
        <v>169.67</v>
      </c>
      <c r="L9" s="429"/>
      <c r="M9" s="1"/>
      <c r="N9" s="1"/>
      <c r="R9" s="3"/>
    </row>
    <row r="10" spans="1:22" ht="15.6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6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190</v>
      </c>
      <c r="L11" s="429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6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29014.079999999998</v>
      </c>
      <c r="L19" s="444"/>
      <c r="M19" s="1"/>
      <c r="N19" s="1"/>
      <c r="R19" s="3"/>
    </row>
    <row r="20" spans="1:18" ht="16.2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2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6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402</v>
      </c>
      <c r="K25" s="409"/>
      <c r="L25" s="231">
        <v>2574.61</v>
      </c>
      <c r="M25" s="1"/>
      <c r="R25" s="3"/>
    </row>
    <row r="26" spans="1:18" ht="15.6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6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6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6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627</v>
      </c>
      <c r="K30" s="409"/>
      <c r="L30" s="231">
        <v>160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431</v>
      </c>
      <c r="K31" s="411"/>
      <c r="L31" s="229">
        <v>305.41000000000003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148.26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 t="s">
        <v>359</v>
      </c>
      <c r="K35" s="409"/>
      <c r="L35" s="231">
        <v>55.09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2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2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6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160</v>
      </c>
      <c r="K45" s="409"/>
      <c r="L45" s="231">
        <v>242.41</v>
      </c>
      <c r="M45" s="1"/>
      <c r="R45" s="3"/>
    </row>
    <row r="46" spans="1:18" ht="15.6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619</v>
      </c>
      <c r="H46" s="1"/>
      <c r="I46" s="406"/>
      <c r="J46" s="410"/>
      <c r="K46" s="411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631</v>
      </c>
      <c r="H47" s="1"/>
      <c r="I47" s="406"/>
      <c r="J47" s="410"/>
      <c r="K47" s="411"/>
      <c r="L47" s="229"/>
      <c r="M47" s="1"/>
      <c r="R47" s="3"/>
    </row>
    <row r="48" spans="1:18" ht="15.6">
      <c r="A48" s="1"/>
      <c r="B48" s="134"/>
      <c r="C48" s="16" t="s">
        <v>620</v>
      </c>
      <c r="D48" s="137">
        <v>27.2</v>
      </c>
      <c r="E48" s="138"/>
      <c r="F48" s="138"/>
      <c r="G48" s="16" t="s">
        <v>644</v>
      </c>
      <c r="H48" s="1"/>
      <c r="I48" s="406"/>
      <c r="J48" s="410"/>
      <c r="K48" s="411"/>
      <c r="L48" s="229"/>
      <c r="M48" s="1"/>
      <c r="R48" s="3"/>
    </row>
    <row r="49" spans="1:18" ht="15.6">
      <c r="A49" s="1"/>
      <c r="B49" s="134"/>
      <c r="C49" s="16"/>
      <c r="D49" s="137">
        <v>41.97</v>
      </c>
      <c r="E49" s="138"/>
      <c r="F49" s="138"/>
      <c r="G49" s="16" t="s">
        <v>645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649</v>
      </c>
      <c r="H50" s="1"/>
      <c r="I50" s="405" t="str">
        <f>AÑO!A13</f>
        <v>Gubernamental</v>
      </c>
      <c r="J50" s="408" t="s">
        <v>640</v>
      </c>
      <c r="K50" s="409"/>
      <c r="L50" s="231">
        <v>95.8</v>
      </c>
      <c r="M50" s="1"/>
      <c r="R50" s="3"/>
    </row>
    <row r="51" spans="1:18" ht="15.6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657</v>
      </c>
      <c r="H51" s="1"/>
      <c r="I51" s="406"/>
      <c r="J51" s="410"/>
      <c r="K51" s="411"/>
      <c r="L51" s="229"/>
      <c r="M51" s="1"/>
      <c r="R51" s="3"/>
    </row>
    <row r="52" spans="1:18" ht="15.6">
      <c r="A52" s="1"/>
      <c r="B52" s="134"/>
      <c r="C52" s="16"/>
      <c r="D52" s="137">
        <v>4.8</v>
      </c>
      <c r="E52" s="138"/>
      <c r="F52" s="138"/>
      <c r="G52" s="16" t="s">
        <v>659</v>
      </c>
      <c r="H52" s="1"/>
      <c r="I52" s="406"/>
      <c r="J52" s="410"/>
      <c r="K52" s="411"/>
      <c r="L52" s="229"/>
      <c r="M52" s="1"/>
      <c r="R52" s="3"/>
    </row>
    <row r="53" spans="1:18" ht="15.6">
      <c r="A53" s="1"/>
      <c r="B53" s="134"/>
      <c r="C53" s="16"/>
      <c r="D53" s="137">
        <v>52.62</v>
      </c>
      <c r="E53" s="138"/>
      <c r="F53" s="138"/>
      <c r="G53" s="16" t="s">
        <v>665</v>
      </c>
      <c r="H53" s="1"/>
      <c r="I53" s="406"/>
      <c r="J53" s="410"/>
      <c r="K53" s="411"/>
      <c r="L53" s="229"/>
      <c r="M53" s="1"/>
      <c r="R53" s="3"/>
    </row>
    <row r="54" spans="1:18" ht="15.6">
      <c r="A54" s="1"/>
      <c r="B54" s="134"/>
      <c r="C54" s="16"/>
      <c r="D54" s="137">
        <v>7</v>
      </c>
      <c r="E54" s="138"/>
      <c r="F54" s="138"/>
      <c r="G54" s="16" t="s">
        <v>670</v>
      </c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678</v>
      </c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628</v>
      </c>
      <c r="K60" s="409"/>
      <c r="L60" s="231">
        <v>511.74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2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6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6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641</v>
      </c>
      <c r="H66" s="1"/>
      <c r="I66" s="406"/>
      <c r="J66" s="410"/>
      <c r="K66" s="411"/>
      <c r="L66" s="229"/>
      <c r="M66" s="1"/>
      <c r="R66" s="3"/>
    </row>
    <row r="67" spans="1:18" ht="15.6">
      <c r="A67" s="1"/>
      <c r="B67" s="134">
        <v>-35</v>
      </c>
      <c r="C67" s="16" t="s">
        <v>629</v>
      </c>
      <c r="D67" s="137">
        <v>36.049999999999997</v>
      </c>
      <c r="E67" s="138"/>
      <c r="F67" s="138"/>
      <c r="G67" s="31" t="s">
        <v>652</v>
      </c>
      <c r="H67" s="1"/>
      <c r="I67" s="406"/>
      <c r="J67" s="410"/>
      <c r="K67" s="411"/>
      <c r="L67" s="229"/>
      <c r="M67" s="1"/>
      <c r="R67" s="3"/>
    </row>
    <row r="68" spans="1:18" ht="15.6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654</v>
      </c>
      <c r="H68" s="1"/>
      <c r="I68" s="406"/>
      <c r="J68" s="410"/>
      <c r="K68" s="411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4.5</v>
      </c>
      <c r="G69" s="16" t="s">
        <v>656</v>
      </c>
      <c r="H69" s="1"/>
      <c r="I69" s="407"/>
      <c r="J69" s="412"/>
      <c r="K69" s="413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8</v>
      </c>
      <c r="G70" s="16" t="s">
        <v>660</v>
      </c>
      <c r="H70" s="1"/>
      <c r="M70" s="1"/>
      <c r="R70" s="3"/>
    </row>
    <row r="71" spans="1:18" ht="15.6">
      <c r="A71" s="1"/>
      <c r="B71" s="134"/>
      <c r="C71" s="16"/>
      <c r="D71" s="137">
        <v>9</v>
      </c>
      <c r="E71" s="138"/>
      <c r="F71" s="138"/>
      <c r="G71" s="16" t="s">
        <v>661</v>
      </c>
      <c r="H71" s="1"/>
      <c r="M71" s="1"/>
      <c r="R71" s="3"/>
    </row>
    <row r="72" spans="1:18" ht="15.6">
      <c r="A72" s="1"/>
      <c r="B72" s="134"/>
      <c r="C72" s="16"/>
      <c r="D72" s="137">
        <v>27</v>
      </c>
      <c r="E72" s="138"/>
      <c r="F72" s="138"/>
      <c r="G72" s="16" t="s">
        <v>668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2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6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623</v>
      </c>
      <c r="H86" s="1"/>
      <c r="M86" s="1"/>
      <c r="R86" s="3"/>
    </row>
    <row r="87" spans="1:18" ht="15.6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625</v>
      </c>
      <c r="H87" s="1"/>
      <c r="M87" s="1"/>
      <c r="R87" s="3"/>
    </row>
    <row r="88" spans="1:18" ht="15.6">
      <c r="A88" s="1"/>
      <c r="B88" s="134"/>
      <c r="C88" s="16"/>
      <c r="D88" s="137">
        <v>46.26</v>
      </c>
      <c r="E88" s="138"/>
      <c r="F88" s="138"/>
      <c r="G88" s="16" t="s">
        <v>642</v>
      </c>
      <c r="H88" s="1"/>
      <c r="M88" s="1"/>
      <c r="R88" s="3"/>
    </row>
    <row r="89" spans="1:18" ht="15.6">
      <c r="A89" s="1"/>
      <c r="B89" s="134"/>
      <c r="C89" s="16"/>
      <c r="D89" s="137">
        <f>7.6+3.8+3.8</f>
        <v>15.2</v>
      </c>
      <c r="E89" s="138"/>
      <c r="F89" s="138"/>
      <c r="G89" s="16" t="s">
        <v>643</v>
      </c>
      <c r="H89" s="1"/>
      <c r="M89" s="1"/>
      <c r="R89" s="3"/>
    </row>
    <row r="90" spans="1:18" ht="15.6">
      <c r="A90" s="1"/>
      <c r="B90" s="134"/>
      <c r="C90" s="16"/>
      <c r="D90" s="137">
        <v>6</v>
      </c>
      <c r="E90" s="138"/>
      <c r="F90" s="138"/>
      <c r="G90" s="16" t="s">
        <v>664</v>
      </c>
      <c r="H90" s="1"/>
      <c r="M90" s="1"/>
      <c r="R90" s="3"/>
    </row>
    <row r="91" spans="1:18" ht="15.6">
      <c r="A91" s="1"/>
      <c r="B91" s="134"/>
      <c r="C91" s="16"/>
      <c r="D91" s="137">
        <v>44.64</v>
      </c>
      <c r="E91" s="138"/>
      <c r="F91" s="138"/>
      <c r="G91" s="16" t="s">
        <v>666</v>
      </c>
      <c r="H91" s="1"/>
      <c r="M91" s="1"/>
      <c r="R91" s="3"/>
    </row>
    <row r="92" spans="1:18" ht="15.6">
      <c r="A92" s="1"/>
      <c r="B92" s="134"/>
      <c r="C92" s="16"/>
      <c r="D92" s="137">
        <v>1.25</v>
      </c>
      <c r="E92" s="138"/>
      <c r="F92" s="138"/>
      <c r="G92" s="16" t="s">
        <v>667</v>
      </c>
      <c r="H92" s="1"/>
      <c r="M92" s="1"/>
      <c r="R92" s="3"/>
    </row>
    <row r="93" spans="1:18" ht="15.6">
      <c r="A93" s="1"/>
      <c r="B93" s="134"/>
      <c r="C93" s="16"/>
      <c r="D93" s="137">
        <v>50.9</v>
      </c>
      <c r="E93" s="138"/>
      <c r="F93" s="138"/>
      <c r="G93" s="16" t="s">
        <v>676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2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6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2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6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2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6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677</v>
      </c>
      <c r="H146" s="1"/>
      <c r="M146" s="1"/>
      <c r="R146" s="3"/>
    </row>
    <row r="147" spans="1:22" ht="15.6">
      <c r="A147" s="1"/>
      <c r="B147" s="134">
        <v>-60</v>
      </c>
      <c r="C147" s="16" t="s">
        <v>621</v>
      </c>
      <c r="D147" s="137"/>
      <c r="E147" s="138"/>
      <c r="F147" s="138"/>
      <c r="G147" s="16" t="s">
        <v>622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>
        <v>23.88</v>
      </c>
      <c r="E187" s="138"/>
      <c r="F187" s="138"/>
      <c r="G187" s="16" t="s">
        <v>650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>
        <v>35</v>
      </c>
      <c r="G188" s="16" t="s">
        <v>655</v>
      </c>
      <c r="I188" s="1"/>
      <c r="J188" s="1"/>
      <c r="K188" s="1"/>
      <c r="L188" s="1"/>
    </row>
    <row r="189" spans="1:22" ht="15.6">
      <c r="B189" s="134"/>
      <c r="C189" s="16"/>
      <c r="D189" s="137">
        <v>15</v>
      </c>
      <c r="E189" s="138"/>
      <c r="F189" s="138"/>
      <c r="G189" s="16" t="s">
        <v>657</v>
      </c>
      <c r="I189" s="1"/>
      <c r="J189" s="1"/>
      <c r="K189" s="1"/>
      <c r="L189" s="1"/>
    </row>
    <row r="190" spans="1:22" ht="15.6">
      <c r="B190" s="134"/>
      <c r="C190" s="16"/>
      <c r="D190" s="137">
        <v>23.94</v>
      </c>
      <c r="E190" s="138"/>
      <c r="F190" s="138"/>
      <c r="G190" s="16" t="s">
        <v>658</v>
      </c>
      <c r="I190" s="1"/>
      <c r="J190" s="1"/>
      <c r="K190" s="1"/>
      <c r="L190" s="1"/>
    </row>
    <row r="191" spans="1:22" ht="15.6">
      <c r="B191" s="134"/>
      <c r="C191" s="16"/>
      <c r="D191" s="137">
        <v>26.98</v>
      </c>
      <c r="E191" s="138"/>
      <c r="F191" s="138"/>
      <c r="G191" s="16" t="s">
        <v>679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403</v>
      </c>
      <c r="D246" s="137"/>
      <c r="E246" s="138">
        <v>21.08</v>
      </c>
      <c r="F246" s="138"/>
      <c r="G246" s="16" t="s">
        <v>648</v>
      </c>
    </row>
    <row r="247" spans="1:7" ht="15" customHeight="1">
      <c r="A247" s="112"/>
      <c r="B247" s="134">
        <f>-10</f>
        <v>-10</v>
      </c>
      <c r="C247" s="16" t="s">
        <v>681</v>
      </c>
      <c r="D247" s="137">
        <v>12.99</v>
      </c>
      <c r="E247" s="138"/>
      <c r="F247" s="138"/>
      <c r="G247" s="16" t="s">
        <v>657</v>
      </c>
    </row>
    <row r="248" spans="1:7" ht="15.6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670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6">
      <c r="A257" s="112">
        <f>'05'!A257+(B257-SUM(D257:F257))</f>
        <v>631.79000000000008</v>
      </c>
      <c r="B257" s="134">
        <v>25</v>
      </c>
      <c r="C257" s="16" t="s">
        <v>432</v>
      </c>
      <c r="D257" s="137"/>
      <c r="E257" s="138">
        <v>100.67</v>
      </c>
      <c r="F257" s="138"/>
      <c r="G257" s="16" t="s">
        <v>406</v>
      </c>
    </row>
    <row r="258" spans="1:8" ht="15.6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633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663</v>
      </c>
      <c r="H267" s="89" t="s">
        <v>662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" thickBot="1">
      <c r="B279" s="135"/>
      <c r="C279" s="17"/>
      <c r="D279" s="135"/>
      <c r="E279" s="139"/>
      <c r="F279" s="139"/>
      <c r="G279" s="17"/>
    </row>
    <row r="280" spans="2:9" ht="1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" thickBot="1">
      <c r="B281" s="5"/>
      <c r="C281" s="3"/>
      <c r="D281" s="5"/>
      <c r="E281" s="5"/>
    </row>
    <row r="282" spans="2:9" ht="14.4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9" ht="15" customHeight="1" thickBot="1">
      <c r="B283" s="421"/>
      <c r="C283" s="422"/>
      <c r="D283" s="422"/>
      <c r="E283" s="422"/>
      <c r="F283" s="422"/>
      <c r="G283" s="423"/>
    </row>
    <row r="284" spans="2:9">
      <c r="B284" s="431" t="s">
        <v>8</v>
      </c>
      <c r="C284" s="432"/>
      <c r="D284" s="431" t="s">
        <v>9</v>
      </c>
      <c r="E284" s="433"/>
      <c r="F284" s="433"/>
      <c r="G284" s="432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636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647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617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626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638</v>
      </c>
    </row>
    <row r="308" spans="2:7">
      <c r="B308" s="134"/>
      <c r="C308" s="27"/>
      <c r="D308" s="137"/>
      <c r="E308" s="138"/>
      <c r="F308" s="138">
        <v>50</v>
      </c>
      <c r="G308" s="16" t="s">
        <v>639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" thickBot="1"/>
    <row r="322" spans="2:7" ht="14.4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>
        <v>35</v>
      </c>
      <c r="C348" s="16" t="s">
        <v>630</v>
      </c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2:7">
      <c r="B367" s="134"/>
      <c r="C367" s="16"/>
      <c r="D367" s="137">
        <f>4.1+5.9</f>
        <v>10</v>
      </c>
      <c r="E367" s="138"/>
      <c r="F367" s="138"/>
      <c r="G367" s="31" t="s">
        <v>651</v>
      </c>
    </row>
    <row r="368" spans="2:7">
      <c r="B368" s="134"/>
      <c r="C368" s="16"/>
      <c r="D368" s="137">
        <f>8.85+6.75</f>
        <v>15.6</v>
      </c>
      <c r="E368" s="138"/>
      <c r="F368" s="138"/>
      <c r="G368" s="16" t="s">
        <v>670</v>
      </c>
    </row>
    <row r="369" spans="2:7">
      <c r="B369" s="134"/>
      <c r="C369" s="16"/>
      <c r="D369" s="137">
        <v>11</v>
      </c>
      <c r="E369" s="138"/>
      <c r="F369" s="138"/>
      <c r="G369" s="16" t="s">
        <v>671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6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624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abSelected="1" topLeftCell="A302" workbookViewId="0">
      <selection activeCell="B302" sqref="B302:G320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2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6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2939.95</f>
        <v>2939.95</v>
      </c>
      <c r="L5" s="427"/>
      <c r="M5" s="1"/>
      <c r="N5" s="1"/>
      <c r="R5" s="3"/>
    </row>
    <row r="6" spans="1:22" ht="15.6">
      <c r="A6" s="112">
        <f>'06'!A6+(B6-SUM(D6:F6))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6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8049.26</v>
      </c>
      <c r="L7" s="429"/>
      <c r="M7" s="1"/>
      <c r="N7" s="1"/>
      <c r="R7" s="3"/>
    </row>
    <row r="8" spans="1:22" ht="15.6">
      <c r="A8" s="112">
        <f>'06'!A8+(B8-SUM(D8:F8))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169.67</v>
      </c>
      <c r="L9" s="429"/>
      <c r="M9" s="1"/>
      <c r="N9" s="1"/>
      <c r="R9" s="3"/>
    </row>
    <row r="10" spans="1:22" ht="15.6">
      <c r="A10" s="112">
        <f>'06'!A10+(B10-SUM(D10:F10))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6">
      <c r="A11" s="112">
        <f>'06'!A11+(B11-SUM(D11:F11))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>
        <v>260</v>
      </c>
      <c r="L11" s="429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6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29282.959999999999</v>
      </c>
      <c r="L19" s="444"/>
      <c r="M19" s="1"/>
      <c r="N19" s="1"/>
      <c r="R19" s="3"/>
    </row>
    <row r="20" spans="1:18" ht="16.2" thickBot="1">
      <c r="A20" s="112">
        <f>SUM(A6:A15)</f>
        <v>778.34999999999991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2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6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231"/>
      <c r="M25" s="1"/>
      <c r="R25" s="3"/>
    </row>
    <row r="26" spans="1:18" ht="15.6">
      <c r="A26" s="112">
        <f>'06'!A26+(B26-SUM(D26:F26))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6">
      <c r="A27" s="112">
        <f>'06'!A27+(B27-SUM(D27:F27))</f>
        <v>220.02999999999997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6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6">
      <c r="A29" s="112">
        <f>'06'!A29+(B29-SUM(D29:F29))</f>
        <v>19.480000000000004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431</v>
      </c>
      <c r="K30" s="409"/>
      <c r="L30" s="231">
        <v>846.9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627</v>
      </c>
      <c r="K31" s="411"/>
      <c r="L31" s="229">
        <v>110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694</v>
      </c>
      <c r="K32" s="411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2" thickBot="1">
      <c r="A40" s="112">
        <f>SUM(A26:A35)</f>
        <v>1484.09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680</v>
      </c>
      <c r="K40" s="409"/>
      <c r="L40" s="231">
        <v>1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2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6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6">
      <c r="A46" s="1"/>
      <c r="B46" s="133">
        <v>300</v>
      </c>
      <c r="C46" s="19"/>
      <c r="D46" s="137">
        <v>15.8</v>
      </c>
      <c r="E46" s="138"/>
      <c r="F46" s="138"/>
      <c r="G46" s="30" t="s">
        <v>685</v>
      </c>
      <c r="H46" s="1"/>
      <c r="I46" s="406"/>
      <c r="J46" s="410"/>
      <c r="K46" s="411"/>
      <c r="L46" s="229"/>
      <c r="M46" s="1"/>
      <c r="R46" s="3"/>
    </row>
    <row r="47" spans="1:18" ht="15.6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691</v>
      </c>
      <c r="H47" s="1"/>
      <c r="I47" s="406"/>
      <c r="J47" s="410"/>
      <c r="K47" s="411"/>
      <c r="L47" s="229"/>
      <c r="M47" s="1"/>
      <c r="R47" s="3"/>
    </row>
    <row r="48" spans="1:18" ht="15.6">
      <c r="A48" s="1"/>
      <c r="B48" s="134"/>
      <c r="C48" s="16" t="s">
        <v>620</v>
      </c>
      <c r="D48" s="137"/>
      <c r="E48" s="138"/>
      <c r="F48" s="138"/>
      <c r="G48" s="16"/>
      <c r="H48" s="1"/>
      <c r="I48" s="406"/>
      <c r="J48" s="410"/>
      <c r="K48" s="411"/>
      <c r="L48" s="229"/>
      <c r="M48" s="1"/>
      <c r="R48" s="3"/>
    </row>
    <row r="49" spans="1:18" ht="15.6">
      <c r="A49" s="1"/>
      <c r="B49" s="134">
        <f>-10</f>
        <v>-10</v>
      </c>
      <c r="C49" s="16" t="s">
        <v>688</v>
      </c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 t="s">
        <v>640</v>
      </c>
      <c r="K50" s="409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 t="s">
        <v>695</v>
      </c>
      <c r="K55" s="409"/>
      <c r="L55" s="231">
        <f>14.27</f>
        <v>14.27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6"/>
      <c r="J56" s="410" t="s">
        <v>695</v>
      </c>
      <c r="K56" s="411"/>
      <c r="L56" s="229">
        <v>23.22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290</v>
      </c>
      <c r="C60" s="17" t="s">
        <v>53</v>
      </c>
      <c r="D60" s="135">
        <f>SUM(D46:D59)</f>
        <v>22.45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>
        <v>649.1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2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6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6">
      <c r="A66" s="112">
        <f>'06'!A66+(B66-SUM(D66:F78))+B67</f>
        <v>119.68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686</v>
      </c>
      <c r="H66" s="1"/>
      <c r="I66" s="406"/>
      <c r="J66" s="410"/>
      <c r="K66" s="411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209.68</v>
      </c>
      <c r="B80" s="233">
        <f>SUM(B66:B79)</f>
        <v>170</v>
      </c>
      <c r="C80" s="17" t="s">
        <v>53</v>
      </c>
      <c r="D80" s="135">
        <f>SUM(D66:D79)</f>
        <v>42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2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6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2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6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70.930000000000035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554.03</v>
      </c>
      <c r="B120" s="135">
        <f>SUM(B106:B119)</f>
        <v>445</v>
      </c>
      <c r="C120" s="17" t="s">
        <v>53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2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6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'06'!A126+(B126-SUM(D126:F126))</f>
        <v>37.5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'06'!A127+(B127-SUM(D127:F128))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'06'!A129+(B129-SUM(D129:F129))</f>
        <v>8.0299999999999994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60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2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6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14.63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12</v>
      </c>
      <c r="E187" s="138"/>
      <c r="F187" s="138"/>
      <c r="G187" s="16" t="s">
        <v>691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47.94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48.519999999999996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</f>
        <v>71.5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'06'!A256+(B256-SUM(D256:F256))</f>
        <v>30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6">
      <c r="A257" s="112">
        <f>'06'!A257+(B257-SUM(D257:F257))</f>
        <v>656.79000000000008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7" ht="15.6">
      <c r="A258" s="112">
        <f>'06'!A258+(B258-SUM(D258:F258))</f>
        <v>-174</v>
      </c>
      <c r="B258" s="134">
        <f>25+10</f>
        <v>35</v>
      </c>
      <c r="C258" s="16" t="s">
        <v>404</v>
      </c>
      <c r="D258" s="137">
        <v>349</v>
      </c>
      <c r="E258" s="138"/>
      <c r="F258" s="138"/>
      <c r="G258" s="16" t="s">
        <v>689</v>
      </c>
    </row>
    <row r="259" spans="1:7" ht="16.2" thickBot="1">
      <c r="A259" s="112"/>
      <c r="B259" s="135"/>
      <c r="C259" s="17"/>
      <c r="D259" s="135"/>
      <c r="E259" s="139"/>
      <c r="F259" s="139"/>
      <c r="G259" s="17"/>
    </row>
    <row r="260" spans="1:7" ht="16.2" thickBot="1">
      <c r="A260" s="112">
        <f>SUM(A246:A259)</f>
        <v>584.29000000000008</v>
      </c>
      <c r="B260" s="135">
        <f>SUM(B246:B259)</f>
        <v>110</v>
      </c>
      <c r="C260" s="17" t="s">
        <v>53</v>
      </c>
      <c r="D260" s="135">
        <f>SUM(D246:D259)</f>
        <v>349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7" ht="15" customHeight="1" thickBot="1">
      <c r="B263" s="421"/>
      <c r="C263" s="422"/>
      <c r="D263" s="422"/>
      <c r="E263" s="422"/>
      <c r="F263" s="422"/>
      <c r="G263" s="423"/>
    </row>
    <row r="264" spans="1:7">
      <c r="B264" s="431" t="s">
        <v>8</v>
      </c>
      <c r="C264" s="432"/>
      <c r="D264" s="431" t="s">
        <v>9</v>
      </c>
      <c r="E264" s="433"/>
      <c r="F264" s="433"/>
      <c r="G264" s="43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691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25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682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684</v>
      </c>
    </row>
    <row r="308" spans="2:7">
      <c r="B308" s="134">
        <v>37.49</v>
      </c>
      <c r="C308" s="27" t="s">
        <v>695</v>
      </c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167.49</v>
      </c>
      <c r="C320" s="17" t="s">
        <v>53</v>
      </c>
      <c r="D320" s="135">
        <f>SUM(D306:D319)</f>
        <v>27.5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4+4.5</f>
        <v>8.5</v>
      </c>
      <c r="G366" s="31" t="s">
        <v>67</v>
      </c>
    </row>
    <row r="367" spans="2:7">
      <c r="B367" s="134"/>
      <c r="C367" s="16"/>
      <c r="D367" s="137">
        <v>5.6</v>
      </c>
      <c r="E367" s="138"/>
      <c r="F367" s="138"/>
      <c r="G367" s="31" t="s">
        <v>687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5.6</v>
      </c>
      <c r="E380" s="135">
        <f>SUM(E366:E379)</f>
        <v>0</v>
      </c>
      <c r="F380" s="135">
        <f>SUM(F366:F379)</f>
        <v>8.5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683</v>
      </c>
    </row>
    <row r="407" spans="2:7">
      <c r="B407" s="134">
        <v>1</v>
      </c>
      <c r="C407" s="16" t="s">
        <v>680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51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AÑO!AA17</f>
        <v>1930.9099999999999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-2007.58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37.49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-2007.58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6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0" workbookViewId="0">
      <selection activeCell="A109" sqref="A109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2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6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2939.95</f>
        <v>2939.95</v>
      </c>
      <c r="L5" s="427"/>
      <c r="M5" s="1"/>
      <c r="N5" s="1"/>
      <c r="R5" s="3"/>
    </row>
    <row r="6" spans="1:22" ht="15.6">
      <c r="A6" s="112">
        <f>'07'!A6+(B6-SUM(D6:F6))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6">
      <c r="A7" s="112">
        <f>'07'!A7+(B7-SUM(D7:F7))</f>
        <v>237.20999999999998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8049.26</v>
      </c>
      <c r="L7" s="429"/>
      <c r="M7" s="1"/>
      <c r="N7" s="1"/>
      <c r="R7" s="3"/>
    </row>
    <row r="8" spans="1:22" ht="15.6">
      <c r="A8" s="112">
        <f>'07'!A8+(B8-SUM(D8:F8))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169.67</v>
      </c>
      <c r="L9" s="429"/>
      <c r="M9" s="1"/>
      <c r="N9" s="1"/>
      <c r="R9" s="3"/>
    </row>
    <row r="10" spans="1:22" ht="15.6">
      <c r="A10" s="112">
        <f>'07'!A10+(B10-SUM(D10:F10))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6">
      <c r="A11" s="112">
        <f>'07'!A11+(B11-SUM(D11:F11))</f>
        <v>60.45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>
        <v>260</v>
      </c>
      <c r="L11" s="429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6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29282.959999999999</v>
      </c>
      <c r="L19" s="444"/>
      <c r="M19" s="1"/>
      <c r="N19" s="1"/>
      <c r="R19" s="3"/>
    </row>
    <row r="20" spans="1:18" ht="16.2" thickBot="1">
      <c r="A20" s="112">
        <f>SUM(A6:A15)</f>
        <v>1322.35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2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6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231"/>
      <c r="M25" s="1"/>
      <c r="R25" s="3"/>
    </row>
    <row r="26" spans="1:18" ht="15.6">
      <c r="A26" s="112">
        <f>'07'!A26+(B26-SUM(D26:F26))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6">
      <c r="A27" s="112">
        <f>'07'!A27+(B27-SUM(D27:F27))</f>
        <v>410.03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6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6">
      <c r="A29" s="112">
        <f>'07'!A29+(B29-SUM(D29:F29))</f>
        <v>37.480000000000004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2" thickBot="1">
      <c r="A40" s="112">
        <f>SUM(A26:A35)</f>
        <v>2632.09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2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6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6">
      <c r="A46" s="1"/>
      <c r="B46" s="133">
        <v>300</v>
      </c>
      <c r="C46" s="19"/>
      <c r="D46" s="137"/>
      <c r="E46" s="138"/>
      <c r="F46" s="138"/>
      <c r="G46" s="30"/>
      <c r="H46" s="1"/>
      <c r="I46" s="406"/>
      <c r="J46" s="410"/>
      <c r="K46" s="411"/>
      <c r="L46" s="229"/>
      <c r="M46" s="1"/>
      <c r="R46" s="3"/>
    </row>
    <row r="47" spans="1:18" ht="15.6">
      <c r="A47" s="1"/>
      <c r="B47" s="134"/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229"/>
      <c r="M47" s="1"/>
      <c r="R47" s="3"/>
    </row>
    <row r="48" spans="1:18" ht="15.6">
      <c r="A48" s="1"/>
      <c r="B48" s="134"/>
      <c r="C48" s="16" t="s">
        <v>620</v>
      </c>
      <c r="D48" s="137"/>
      <c r="E48" s="138"/>
      <c r="F48" s="138"/>
      <c r="G48" s="16"/>
      <c r="H48" s="1"/>
      <c r="I48" s="406"/>
      <c r="J48" s="410"/>
      <c r="K48" s="411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2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6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6">
      <c r="A66" s="112">
        <f>'07'!A66+(B66-SUM(D66:F78))+B67</f>
        <v>279.68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379.68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2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6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2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6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139.93000000000004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</f>
        <v>2672.650000000001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931.5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2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6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2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6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45</v>
      </c>
      <c r="C246" s="27" t="s">
        <v>403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410</v>
      </c>
      <c r="D256" s="137"/>
      <c r="E256" s="138"/>
      <c r="F256" s="138"/>
      <c r="G256" s="16"/>
    </row>
    <row r="257" spans="2:7">
      <c r="B257" s="134">
        <v>25</v>
      </c>
      <c r="C257" s="16" t="s">
        <v>432</v>
      </c>
      <c r="D257" s="137"/>
      <c r="E257" s="138"/>
      <c r="F257" s="138"/>
      <c r="G257" s="16"/>
    </row>
    <row r="258" spans="2:7">
      <c r="B258" s="134">
        <v>25</v>
      </c>
      <c r="C258" s="16" t="s">
        <v>404</v>
      </c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1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618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'07'!A467+(B467-SUM(D467:F467))</f>
        <v>525.23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6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708.63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A4:AD5" display="SALDO REAL" xr:uid="{D06507F8-F5BC-49C5-BD40-684A3F3EBFAB}"/>
    <hyperlink ref="I22" location="Trimestre!C39:F40" display="TELÉFONO" xr:uid="{48D75FAF-009D-4718-8A65-00BBF81456E5}"/>
    <hyperlink ref="I22:L23" location="AÑO!AA7:AD17" display="INGRESOS" xr:uid="{8CF46B9E-FF85-475E-887B-7815FD645C67}"/>
    <hyperlink ref="B2" location="Trimestre!C25:F26" display="HIPOTECA" xr:uid="{0D3F6DAC-494C-48CC-8617-FFCD7E208AA0}"/>
    <hyperlink ref="B2:G3" location="AÑO!AA20:AD20" display="AÑO!AA20:AD20" xr:uid="{D2A3883D-7443-42C6-9C2D-ADC1D0607761}"/>
    <hyperlink ref="B22" location="Trimestre!C25:F26" display="HIPOTECA" xr:uid="{73986B72-FB1E-4FE5-9DE2-895BDC1EAA17}"/>
    <hyperlink ref="B22:G23" location="AÑO!AA21:AD21" display="AÑO!AA21:AD21" xr:uid="{23887E4D-C5A1-4BA5-8279-3C04DB54A113}"/>
    <hyperlink ref="B42" location="Trimestre!C25:F26" display="HIPOTECA" xr:uid="{CF8CDB12-24E3-46CF-829D-5D16215615C3}"/>
    <hyperlink ref="B42:G43" location="AÑO!AA22:AD22" display="AÑO!AA22:AD22" xr:uid="{EB2F77AF-7C3A-4364-9507-ACC51DCF2B57}"/>
    <hyperlink ref="B62" location="Trimestre!C25:F26" display="HIPOTECA" xr:uid="{91648149-7544-422C-9B1A-5B0BE59AAF2B}"/>
    <hyperlink ref="B62:G63" location="AÑO!AA23:AD23" display="AÑO!AA23:AD23" xr:uid="{B6DFA8D8-8579-4F56-8092-0F49B15D7A05}"/>
    <hyperlink ref="B82" location="Trimestre!C25:F26" display="HIPOTECA" xr:uid="{0851ECF5-FF71-4E7F-8298-411B1670F9B6}"/>
    <hyperlink ref="B82:G83" location="AÑO!AA24:AD24" display="AÑO!AA24:AD24" xr:uid="{C480D7B0-C21B-4EA7-ABD5-D0692A92E052}"/>
    <hyperlink ref="B102" location="Trimestre!C25:F26" display="HIPOTECA" xr:uid="{F8812EAD-03A1-4397-AF5F-38D2E8C0B57C}"/>
    <hyperlink ref="B102:G103" location="AÑO!AA25:AD25" display="AÑO!AA25:AD25" xr:uid="{65497E89-749C-4602-95D9-8F716A72DF6E}"/>
    <hyperlink ref="B122" location="Trimestre!C25:F26" display="HIPOTECA" xr:uid="{F9EAFA77-E240-4615-8290-ACBB27A72C52}"/>
    <hyperlink ref="B122:G123" location="AÑO!AA26:AD26" display="AÑO!AA26:AD26" xr:uid="{643E0580-B644-41F3-A043-DB16397B7A73}"/>
    <hyperlink ref="B142" location="Trimestre!C25:F26" display="HIPOTECA" xr:uid="{651811A0-17CA-4233-A455-6C4BD6EF1F7E}"/>
    <hyperlink ref="B142:G143" location="AÑO!AA27:AD27" display="AÑO!AA27:AD27" xr:uid="{B0995BF4-42BC-4276-BFD8-8C9B7D5499BE}"/>
    <hyperlink ref="B162" location="Trimestre!C25:F26" display="HIPOTECA" xr:uid="{A329CBCD-6E7B-4CD2-93C3-8D1EA7FC67C4}"/>
    <hyperlink ref="B162:G163" location="AÑO!AA28:AD28" display="AÑO!AA28:AD28" xr:uid="{FEE67257-A452-4791-AF3E-0867F8D8E6A2}"/>
    <hyperlink ref="B182" location="Trimestre!C25:F26" display="HIPOTECA" xr:uid="{0048AE46-8B1C-4E58-9CE3-87D388766360}"/>
    <hyperlink ref="B182:G183" location="AÑO!AA29:AD29" display="AÑO!AA29:AD29" xr:uid="{34E4C4F2-C5BE-4549-A224-E9AE303F8023}"/>
    <hyperlink ref="B202" location="Trimestre!C25:F26" display="HIPOTECA" xr:uid="{053CC7BD-938E-42F5-83EC-E4CBD34A45A8}"/>
    <hyperlink ref="B202:G203" location="AÑO!AA30:AD30" display="AÑO!AA30:AD30" xr:uid="{8C9F7837-C04F-4BA0-94D2-2006B7856F05}"/>
    <hyperlink ref="B222" location="Trimestre!C25:F26" display="HIPOTECA" xr:uid="{C67B716D-D87E-4225-A0DF-FA1FAEA6665B}"/>
    <hyperlink ref="B222:G223" location="AÑO!AA31:AD31" display="AÑO!AA31:AD31" xr:uid="{50E91530-1497-4AA8-8091-64311C0F1EA2}"/>
    <hyperlink ref="B242" location="Trimestre!C25:F26" display="HIPOTECA" xr:uid="{8597E469-7EE1-4ACE-BCFF-7F3234BB0FED}"/>
    <hyperlink ref="B242:G243" location="AÑO!AA32:AD32" display="AÑO!AA32:AD32" xr:uid="{143A92D9-7A37-4FFC-B531-F578ABD1F804}"/>
    <hyperlink ref="B262" location="Trimestre!C25:F26" display="HIPOTECA" xr:uid="{00569E18-A111-4540-A31C-0995625496BC}"/>
    <hyperlink ref="B262:G263" location="AÑO!AA33:AD33" display="AÑO!AA33:AD33" xr:uid="{9464E9A9-7460-4182-B6E5-50DCCFA7D971}"/>
    <hyperlink ref="B282" location="Trimestre!C25:F26" display="HIPOTECA" xr:uid="{0A227465-7216-4622-8BCA-73A1E7D848B3}"/>
    <hyperlink ref="B282:G283" location="AÑO!AA34:AD34" display="AÑO!AA34:AD34" xr:uid="{76436B7E-4B40-4476-9CE6-51FAF7CE7F09}"/>
    <hyperlink ref="B302" location="Trimestre!C25:F26" display="HIPOTECA" xr:uid="{4E1F72DF-F0BF-48D1-BBCF-6903E9142E3F}"/>
    <hyperlink ref="B302:G303" location="AÑO!AA35:AD35" display="AÑO!AA35:AD35" xr:uid="{BFBCBDE2-FB6C-4EC9-9702-505BB4D94450}"/>
    <hyperlink ref="B322" location="Trimestre!C25:F26" display="HIPOTECA" xr:uid="{882A6476-D682-47ED-B1AC-DB33B57BAB7E}"/>
    <hyperlink ref="B322:G323" location="AÑO!AA36:AD36" display="AÑO!AA36:AD36" xr:uid="{5A51FB34-A735-4684-828B-A1C5A9F553E5}"/>
    <hyperlink ref="B342" location="Trimestre!C25:F26" display="HIPOTECA" xr:uid="{59F9533F-4BAC-408C-A56E-C02AB3A1E843}"/>
    <hyperlink ref="B342:G343" location="AÑO!AA37:AD37" display="AÑO!AA37:AD37" xr:uid="{378D1EE7-703E-4F1E-97A9-6E6E13AFC46D}"/>
    <hyperlink ref="B362" location="Trimestre!C25:F26" display="HIPOTECA" xr:uid="{D75E4C53-9159-476A-A0D0-37DAF29B14E8}"/>
    <hyperlink ref="B362:G363" location="AÑO!AA38:AD38" display="AÑO!AA38:AD38" xr:uid="{75ACA36B-2C89-4EAA-9411-E2261A935683}"/>
    <hyperlink ref="B382" location="Trimestre!C25:F26" display="HIPOTECA" xr:uid="{95D69DC8-ABA0-4B4A-8EAF-06D1E8727EA0}"/>
    <hyperlink ref="B382:G383" location="AÑO!AA39:AD39" display="AÑO!AA39:AD39" xr:uid="{F91A68B0-FB80-4AA3-A612-D0073137E017}"/>
    <hyperlink ref="B402" location="Trimestre!C25:F26" display="HIPOTECA" xr:uid="{25A8193D-4925-4466-ACCE-737AB2562BE3}"/>
    <hyperlink ref="B402:G403" location="AÑO!AA40:AD40" display="AÑO!AA40:AD40" xr:uid="{AF17FBF1-B98C-4DFA-8654-1ACB895D8994}"/>
    <hyperlink ref="B422" location="Trimestre!C25:F26" display="HIPOTECA" xr:uid="{C2F1147F-1D3B-4F57-8455-A7961B449592}"/>
    <hyperlink ref="B422:G423" location="AÑO!AA41:AD41" display="AÑO!AA41:AD41" xr:uid="{5BFFA817-4742-4653-90B7-088D36C48735}"/>
    <hyperlink ref="B442" location="Trimestre!C25:F26" display="HIPOTECA" xr:uid="{DFC42081-7932-4D54-880A-4DFBD9E0EC21}"/>
    <hyperlink ref="B442:G443" location="AÑO!AA42:AD42" display="AÑO!AA42:AD42" xr:uid="{FF8CC689-70B3-4BCE-A192-E2F983A30D0C}"/>
    <hyperlink ref="B462" location="Trimestre!C25:F26" display="HIPOTECA" xr:uid="{4AC228CF-13D1-4949-8D5B-10C3F21FB47A}"/>
    <hyperlink ref="B462:G463" location="AÑO!AA43:AD43" display="AÑO!AA43:AD43" xr:uid="{C508228D-3DF9-48FE-B791-5D292ECDF883}"/>
    <hyperlink ref="B482" location="Trimestre!C25:F26" display="HIPOTECA" xr:uid="{615C788D-2BCB-4DA4-AC73-450C45236667}"/>
    <hyperlink ref="B482:G483" location="AÑO!AA44:AD44" display="AÑO!AA44:AD44" xr:uid="{B26533B9-21C8-41F3-8667-1C647DEAB0CA}"/>
    <hyperlink ref="B502" location="Trimestre!C25:F26" display="HIPOTECA" xr:uid="{284A8D82-789A-4D77-9F69-CD253B7A72B9}"/>
    <hyperlink ref="B502:G503" location="AÑO!AA45:AD45" display="AÑO!AA45:AD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2019-07-11T07:23:34Z</dcterms:modified>
</cp:coreProperties>
</file>