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8E7BDD2-373B-468F-BE63-006D7AABC1E9}" xr6:coauthVersionLast="41" xr6:coauthVersionMax="41" xr10:uidLastSave="{00000000-0000-0000-0000-000000000000}"/>
  <bookViews>
    <workbookView xWindow="-108" yWindow="12852" windowWidth="2216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8" i="10" l="1"/>
  <c r="H328" i="10"/>
  <c r="H189" i="10"/>
  <c r="F366" i="10"/>
  <c r="K7" i="11"/>
  <c r="A428" i="10" l="1"/>
  <c r="M60" i="10"/>
  <c r="L25" i="15" l="1"/>
  <c r="M25" i="15" s="1"/>
  <c r="J25" i="15"/>
  <c r="A468" i="11" l="1"/>
  <c r="A467" i="11"/>
  <c r="A466" i="11"/>
  <c r="A359" i="11"/>
  <c r="A358" i="11"/>
  <c r="A346" i="11"/>
  <c r="A299" i="11"/>
  <c r="A257" i="11"/>
  <c r="A256" i="11"/>
  <c r="H257" i="11"/>
  <c r="A127" i="11"/>
  <c r="A126" i="11"/>
  <c r="A140" i="11" s="1"/>
  <c r="A108" i="11"/>
  <c r="A109" i="11"/>
  <c r="A79" i="11"/>
  <c r="A28" i="11"/>
  <c r="A30" i="11"/>
  <c r="A7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A246" i="11" s="1"/>
  <c r="E257" i="10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A286" i="11"/>
  <c r="A300" i="11" s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B467" i="2"/>
  <c r="A80" i="10" l="1"/>
  <c r="A66" i="11"/>
  <c r="A80" i="11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20" i="11" l="1"/>
  <c r="A468" i="7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<sst xmlns="http://schemas.openxmlformats.org/spreadsheetml/2006/main" count="5663" uniqueCount="821">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</sst>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3" zoomScaleNormal="100" workbookViewId="0">
      <pane xSplit="1" topLeftCell="B1" activePane="topRight" state="frozen"/>
      <selection pane="topRight" activeCell="C76" sqref="C7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29258.260000000002</v>
      </c>
      <c r="AJ5" s="358"/>
      <c r="AK5" s="358"/>
      <c r="AL5" s="359"/>
      <c r="AM5" s="364">
        <f>'10'!K19</f>
        <v>17864.099999999999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2571.5500000000002</v>
      </c>
      <c r="AF8" s="343"/>
      <c r="AG8" s="343"/>
      <c r="AH8" s="344"/>
      <c r="AI8" s="342">
        <f>SUM('09'!L25:'09'!L29)</f>
        <v>2573.7399999999998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25020.6</v>
      </c>
      <c r="BA8" s="112">
        <f t="shared" ref="BA8:BA16" ca="1" si="0">AZ8/BC$17</f>
        <v>2780.0666666666666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291.60000000000002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5362.3900000000012</v>
      </c>
      <c r="BA9" s="112">
        <f t="shared" ca="1" si="0"/>
        <v>595.82111111111124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164.91</v>
      </c>
      <c r="AF10" s="349"/>
      <c r="AG10" s="349"/>
      <c r="AH10" s="350"/>
      <c r="AI10" s="348">
        <f>SUM('09'!L35:'09'!L39)</f>
        <v>48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1036.56</v>
      </c>
      <c r="BA10" s="112">
        <f t="shared" ca="1" si="0"/>
        <v>115.17333333333333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222.98</v>
      </c>
      <c r="AF12" s="349"/>
      <c r="AG12" s="349"/>
      <c r="AH12" s="350"/>
      <c r="AI12" s="348">
        <f>SUM('09'!L45:'09'!L49)</f>
        <v>100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1072.33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6281.9000000000005</v>
      </c>
      <c r="BA13" s="112">
        <f t="shared" ca="1" si="0"/>
        <v>697.98888888888894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27.42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676.35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4937.7900000000009</v>
      </c>
      <c r="BA15" s="112">
        <f t="shared" ca="1" si="0"/>
        <v>548.64333333333343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3945.4900000000002</v>
      </c>
      <c r="AF17" s="366"/>
      <c r="AG17" s="366"/>
      <c r="AH17" s="367"/>
      <c r="AI17" s="365">
        <f>SUM(AI8:AI16)</f>
        <v>4762.0199999999995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44957.96</v>
      </c>
      <c r="BA17" s="112">
        <f ca="1">AZ17/BC$17</f>
        <v>4995.3288888888892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59943.94666666667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64.820000000000007</v>
      </c>
      <c r="AL20" s="145">
        <f t="shared" ref="AL20:AL45" si="10">AH20+AJ20-AK20</f>
        <v>1020.4999999999999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1564.5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2108.5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2652.5</v>
      </c>
      <c r="AZ20" s="123">
        <f t="shared" ref="AZ20:AZ27" si="14">E20+I20+M20+Q20+U20+Y20+AC20+AG20+AK20+AO20+AS20+AW20</f>
        <v>4749.5600000000004</v>
      </c>
      <c r="BA20" s="21">
        <f t="shared" ref="BA20:BA45" si="15">AZ20/AZ$46</f>
        <v>0.11781787043447565</v>
      </c>
      <c r="BB20" s="22">
        <f>_xlfn.RANK.EQ(BA20,$BA$20:$BA$45,)</f>
        <v>2</v>
      </c>
      <c r="BC20" s="22">
        <f t="shared" ref="BC20:BC45" ca="1" si="16">AZ20/BC$17</f>
        <v>527.72888888888895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5321.2800000000007</v>
      </c>
      <c r="BF20" s="21">
        <f t="shared" ref="BF20:BF45" ca="1" si="18">BE20/BE$46</f>
        <v>0.11836124236953807</v>
      </c>
      <c r="BG20" s="22">
        <f ca="1">_xlfn.RANK.EQ(BF20,$BF$20:$BF$45,)</f>
        <v>2</v>
      </c>
      <c r="BH20" s="22">
        <f t="shared" ref="BH20:BH45" ca="1" si="19">BE20/BC$17</f>
        <v>591.25333333333344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571.72000000000025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2640.079999999999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3768.079999999999</v>
      </c>
      <c r="AZ21" s="152">
        <f t="shared" si="14"/>
        <v>10645.78</v>
      </c>
      <c r="BA21" s="21">
        <f t="shared" si="15"/>
        <v>0.26407985765290515</v>
      </c>
      <c r="BB21" s="22">
        <f t="shared" ref="BB21:BB45" si="20">_xlfn.RANK.EQ(BA21,$BA$20:$BA$45,)</f>
        <v>1</v>
      </c>
      <c r="BC21" s="22">
        <f t="shared" ca="1" si="16"/>
        <v>1182.8644444444444</v>
      </c>
      <c r="BE21" s="224">
        <f t="shared" ca="1" si="17"/>
        <v>10357</v>
      </c>
      <c r="BF21" s="21">
        <f t="shared" ca="1" si="18"/>
        <v>0.2303707730510903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-288.78000000000043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218.77</v>
      </c>
      <c r="AL22" s="156">
        <f t="shared" si="10"/>
        <v>570.91000000000008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870.91000000000008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1360.91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1850.91</v>
      </c>
      <c r="AZ22" s="157">
        <f t="shared" si="14"/>
        <v>2561.39</v>
      </c>
      <c r="BA22" s="21">
        <f t="shared" si="15"/>
        <v>6.3537994077801224E-2</v>
      </c>
      <c r="BB22" s="22">
        <f t="shared" si="20"/>
        <v>6</v>
      </c>
      <c r="BC22" s="22">
        <f t="shared" ca="1" si="16"/>
        <v>284.59888888888889</v>
      </c>
      <c r="BE22" s="225">
        <f t="shared" ca="1" si="17"/>
        <v>2886.23</v>
      </c>
      <c r="BF22" s="21">
        <f t="shared" ca="1" si="18"/>
        <v>6.4198420035072742E-2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324.83999999999992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119.35</v>
      </c>
      <c r="AL23" s="151">
        <f t="shared" si="10"/>
        <v>183.4800000000001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363.48000000000013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513.48000000000013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663.48000000000013</v>
      </c>
      <c r="AZ23" s="152">
        <f t="shared" si="14"/>
        <v>1483.6499999999996</v>
      </c>
      <c r="BA23" s="21">
        <f t="shared" si="15"/>
        <v>3.6803510950511154E-2</v>
      </c>
      <c r="BB23" s="22">
        <f t="shared" si="20"/>
        <v>7</v>
      </c>
      <c r="BC23" s="22">
        <f t="shared" ca="1" si="16"/>
        <v>164.84999999999997</v>
      </c>
      <c r="BE23" s="224">
        <f t="shared" ca="1" si="17"/>
        <v>1625</v>
      </c>
      <c r="BF23" s="21">
        <f t="shared" ca="1" si="18"/>
        <v>3.6144878459787748E-2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141.35000000000008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94.68</v>
      </c>
      <c r="AL24" s="156">
        <f t="shared" si="10"/>
        <v>266.40999999999997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416.40999999999997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576.41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736.41</v>
      </c>
      <c r="AZ24" s="157">
        <f t="shared" si="14"/>
        <v>1193.5900000000001</v>
      </c>
      <c r="BA24" s="21">
        <f t="shared" si="15"/>
        <v>2.9608265180750597E-2</v>
      </c>
      <c r="BB24" s="22">
        <f t="shared" si="20"/>
        <v>12</v>
      </c>
      <c r="BC24" s="22">
        <f t="shared" ca="1" si="16"/>
        <v>132.62111111111113</v>
      </c>
      <c r="BE24" s="225">
        <f t="shared" ca="1" si="17"/>
        <v>1460</v>
      </c>
      <c r="BF24" s="21">
        <f t="shared" ca="1" si="18"/>
        <v>3.2474783108486227E-2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266.40999999999997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4520.4799999999977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4925.4799999999977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5330.4799999999977</v>
      </c>
      <c r="AZ25" s="152">
        <f t="shared" si="14"/>
        <v>3010.4200000000005</v>
      </c>
      <c r="BA25" s="21">
        <f t="shared" si="15"/>
        <v>7.4676659209138158E-2</v>
      </c>
      <c r="BB25" s="22">
        <f t="shared" si="20"/>
        <v>5</v>
      </c>
      <c r="BC25" s="22">
        <f t="shared" ca="1" si="16"/>
        <v>334.49111111111119</v>
      </c>
      <c r="BE25" s="224">
        <f t="shared" ca="1" si="17"/>
        <v>3923.35</v>
      </c>
      <c r="BF25" s="21">
        <f t="shared" ca="1" si="18"/>
        <v>8.726708240320509E-2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912.92999999999938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7.99</v>
      </c>
      <c r="AL26" s="156">
        <f t="shared" si="10"/>
        <v>70.059999999999988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123.05999999999999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171.06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219.06</v>
      </c>
      <c r="AZ26" s="157">
        <f t="shared" si="14"/>
        <v>421.93000000000006</v>
      </c>
      <c r="BA26" s="21">
        <f t="shared" si="15"/>
        <v>1.046642090476135E-2</v>
      </c>
      <c r="BB26" s="22">
        <f t="shared" si="20"/>
        <v>17</v>
      </c>
      <c r="BC26" s="22">
        <f t="shared" ca="1" si="16"/>
        <v>46.881111111111117</v>
      </c>
      <c r="BE26" s="225">
        <f t="shared" ca="1" si="17"/>
        <v>472.45</v>
      </c>
      <c r="BF26" s="21">
        <f t="shared" ca="1" si="18"/>
        <v>1.0508706355893366E-2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50.520000000000039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8.7242913094697366E-3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8.6747708303490604E-3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8.4342836617614339E-2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7.7406537129353692E-2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261.38</v>
      </c>
      <c r="AL29" s="160">
        <f t="shared" si="10"/>
        <v>-157.59999999999991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-87.599999999999909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-17.599999999999909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52.400000000000091</v>
      </c>
      <c r="AZ29" s="152">
        <f t="shared" si="23"/>
        <v>724.93000000000006</v>
      </c>
      <c r="BA29" s="21">
        <f t="shared" si="15"/>
        <v>1.7982657091196751E-2</v>
      </c>
      <c r="BB29" s="22">
        <f t="shared" si="20"/>
        <v>13</v>
      </c>
      <c r="BC29" s="22">
        <f t="shared" ca="1" si="16"/>
        <v>80.547777777777782</v>
      </c>
      <c r="BE29" s="224">
        <f t="shared" ca="1" si="17"/>
        <v>614</v>
      </c>
      <c r="BF29" s="21">
        <f t="shared" ca="1" si="18"/>
        <v>1.3657203307267494E-2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-110.92999999999998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6.0216710701557546E-3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7.8962657558305539E-3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4.4239127441877534E-3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4.0037403832380277E-3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409.73</v>
      </c>
      <c r="AL32" s="161">
        <f t="shared" si="10"/>
        <v>316.38999999999987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411.38999999999987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461.38999999999987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511.38999999999987</v>
      </c>
      <c r="AZ32" s="157">
        <f t="shared" si="23"/>
        <v>1468.6100000000001</v>
      </c>
      <c r="BA32" s="21">
        <f t="shared" si="15"/>
        <v>3.6430427807791731E-2</v>
      </c>
      <c r="BB32" s="22">
        <f t="shared" si="20"/>
        <v>8</v>
      </c>
      <c r="BC32" s="22">
        <f t="shared" ca="1" si="16"/>
        <v>163.17888888888891</v>
      </c>
      <c r="BE32" s="225">
        <f t="shared" ca="1" si="17"/>
        <v>1799.25</v>
      </c>
      <c r="BF32" s="21">
        <f t="shared" ca="1" si="18"/>
        <v>4.0020721580783451E-2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330.63999999999987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0.11068091890576501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0.10035909102637215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47</v>
      </c>
      <c r="AL34" s="161">
        <f t="shared" si="10"/>
        <v>108.35999999999981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198.35999999999981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288.35999999999979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378.35999999999979</v>
      </c>
      <c r="AZ34" s="152">
        <f t="shared" si="23"/>
        <v>1227.6500000000001</v>
      </c>
      <c r="BA34" s="21">
        <f t="shared" si="15"/>
        <v>3.0453159585073997E-2</v>
      </c>
      <c r="BB34" s="22">
        <f t="shared" si="20"/>
        <v>9</v>
      </c>
      <c r="BC34" s="22">
        <f t="shared" ca="1" si="16"/>
        <v>136.40555555555557</v>
      </c>
      <c r="BE34" s="225">
        <f t="shared" ca="1" si="17"/>
        <v>1234.4099999999999</v>
      </c>
      <c r="BF34" s="21">
        <f t="shared" ca="1" si="18"/>
        <v>2.7456984258182517E-2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6.7599999999999056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136.51</v>
      </c>
      <c r="AL35" s="187">
        <f t="shared" si="10"/>
        <v>1810.2800000000004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1940.2800000000004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2055.2800000000007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2170.2800000000007</v>
      </c>
      <c r="AZ35" s="188">
        <f t="shared" si="23"/>
        <v>1218.75</v>
      </c>
      <c r="BA35" s="21">
        <f t="shared" si="15"/>
        <v>3.0232385650884964E-2</v>
      </c>
      <c r="BB35" s="22">
        <f t="shared" si="20"/>
        <v>10</v>
      </c>
      <c r="BC35" s="22">
        <f t="shared" ca="1" si="16"/>
        <v>135.41666666666666</v>
      </c>
      <c r="BE35" s="224">
        <f t="shared" ca="1" si="17"/>
        <v>1539.43</v>
      </c>
      <c r="BF35" s="21">
        <f t="shared" ca="1" si="18"/>
        <v>3.4241544767600648E-2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320.68000000000006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40.870000000000005</v>
      </c>
      <c r="AL36" s="156">
        <f t="shared" si="10"/>
        <v>206.50000000000011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296.50000000000011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386.50000000000011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476.50000000000011</v>
      </c>
      <c r="AZ36" s="182">
        <f t="shared" si="23"/>
        <v>1207.4899999999998</v>
      </c>
      <c r="BA36" s="21">
        <f t="shared" si="15"/>
        <v>2.9953069415045809E-2</v>
      </c>
      <c r="BB36" s="22">
        <f t="shared" si="20"/>
        <v>11</v>
      </c>
      <c r="BC36" s="22">
        <f t="shared" ca="1" si="16"/>
        <v>134.16555555555553</v>
      </c>
      <c r="BE36" s="223">
        <f t="shared" ca="1" si="17"/>
        <v>1313</v>
      </c>
      <c r="BF36" s="21">
        <f t="shared" ca="1" si="18"/>
        <v>2.92050617955085E-2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105.51000000000005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1.0714977626174163E-2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1.0661070920477704E-2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39.5</v>
      </c>
      <c r="AL38" s="156">
        <f t="shared" si="10"/>
        <v>122.23000000000008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187.23000000000008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257.23000000000008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327.23000000000008</v>
      </c>
      <c r="AZ38" s="157">
        <f t="shared" si="23"/>
        <v>571.97</v>
      </c>
      <c r="BA38" s="21">
        <f t="shared" si="15"/>
        <v>1.4188322150348041E-2</v>
      </c>
      <c r="BB38" s="22">
        <f t="shared" si="20"/>
        <v>14</v>
      </c>
      <c r="BC38" s="22">
        <f t="shared" ca="1" si="16"/>
        <v>63.552222222222227</v>
      </c>
      <c r="BE38" s="225">
        <f t="shared" ca="1" si="17"/>
        <v>655</v>
      </c>
      <c r="BF38" s="21">
        <f t="shared" ca="1" si="18"/>
        <v>1.4569166394560601E-2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83.030000000000044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-2.5662641276428012E-2</v>
      </c>
      <c r="BG39" s="22">
        <f t="shared" ca="1" si="21"/>
        <v>26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4.1505499627537013E-3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-1.2510576547512382E-2</v>
      </c>
      <c r="BG40" s="22">
        <f t="shared" ca="1" si="21"/>
        <v>25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635.75999999999931</v>
      </c>
      <c r="AK41" s="165">
        <f>SUM('09'!D440:F440)</f>
        <v>0</v>
      </c>
      <c r="AL41" s="151">
        <f t="shared" si="10"/>
        <v>8800.6000000000022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4900.6000000000022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1000.6000000000022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-2899.3999999999978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250.60000000000275</v>
      </c>
      <c r="BF41" s="21">
        <f t="shared" ca="1" si="18"/>
        <v>5.5740963335525594E-3</v>
      </c>
      <c r="BG41" s="22">
        <f t="shared" ca="1" si="21"/>
        <v>20</v>
      </c>
      <c r="BH41" s="22">
        <f t="shared" ca="1" si="19"/>
        <v>27.844444444444751</v>
      </c>
      <c r="BJ41" s="224">
        <f t="shared" ca="1" si="22"/>
        <v>250.600000000004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9.000052493485021E-2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1.2403030010619473E-2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-5.3243074196427029E-3</v>
      </c>
      <c r="BG43" s="22">
        <f t="shared" ca="1" si="21"/>
        <v>24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2.3072116425754343E-3</v>
      </c>
      <c r="BB45" s="22">
        <f t="shared" si="20"/>
        <v>22</v>
      </c>
      <c r="BC45" s="22">
        <f t="shared" ca="1" si="16"/>
        <v>10.334444444444443</v>
      </c>
      <c r="BE45" s="226">
        <f t="shared" ca="1" si="17"/>
        <v>20</v>
      </c>
      <c r="BF45" s="21">
        <f t="shared" ca="1" si="18"/>
        <v>4.4486004258200307E-4</v>
      </c>
      <c r="BG45" s="22">
        <f t="shared" ca="1" si="21"/>
        <v>22</v>
      </c>
      <c r="BH45" s="22">
        <f t="shared" ca="1" si="19"/>
        <v>2.2222222222222223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4762.0199999999995</v>
      </c>
      <c r="AK46" s="219">
        <f>SUM(AK20:AK45)</f>
        <v>2991.51</v>
      </c>
      <c r="AL46" s="220">
        <f>SUM(AL20:AL45)</f>
        <v>31028.770000000004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31028.77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31028.77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31028.77</v>
      </c>
      <c r="AZ46" s="227">
        <f>SUM(AZ20:AZ45)</f>
        <v>40312.730000000003</v>
      </c>
      <c r="BA46" s="1"/>
      <c r="BB46" s="1"/>
      <c r="BC46" s="124">
        <f ca="1">SUM(BC20:BC45)</f>
        <v>4479.1922222222229</v>
      </c>
      <c r="BE46" s="227">
        <f ca="1">SUM(BE20:BE45)</f>
        <v>44957.960000000021</v>
      </c>
      <c r="BF46" s="1"/>
      <c r="BG46" s="1"/>
      <c r="BH46" s="124">
        <f ca="1">SUM(BH20:BH45)</f>
        <v>4995.3288888888892</v>
      </c>
      <c r="BJ46" s="227">
        <f ca="1">SUM(BJ20:BJ45)</f>
        <v>4645.2300000000041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1770.5099999999993</v>
      </c>
      <c r="AL47" s="125"/>
      <c r="AM47" s="125">
        <f>AM5-AL46</f>
        <v>-13164.670000000006</v>
      </c>
      <c r="AN47" s="125">
        <f>AM17-AN46</f>
        <v>0</v>
      </c>
      <c r="AO47" s="125">
        <f>AM17-AO46</f>
        <v>0</v>
      </c>
      <c r="AP47" s="125"/>
      <c r="AQ47" s="125">
        <f>AQ5-AP46</f>
        <v>-15926.88</v>
      </c>
      <c r="AR47" s="125">
        <f>AQ17-AR46</f>
        <v>0</v>
      </c>
      <c r="AS47" s="125">
        <f>AQ17-AS46</f>
        <v>0</v>
      </c>
      <c r="AT47" s="140"/>
      <c r="AU47" s="125">
        <f>AU5-AT46</f>
        <v>-15926.88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53750.306666666671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218.77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87" t="s">
        <v>476</v>
      </c>
      <c r="AG54" s="388"/>
      <c r="AH54" s="239">
        <v>14</v>
      </c>
      <c r="AI54" s="95"/>
      <c r="AJ54" s="387" t="s">
        <v>476</v>
      </c>
      <c r="AK54" s="388"/>
      <c r="AL54" s="239">
        <v>14</v>
      </c>
      <c r="AM54" s="95"/>
      <c r="AN54" s="399"/>
      <c r="AO54" s="400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>
        <v>43711</v>
      </c>
      <c r="AJ55" s="378" t="s">
        <v>323</v>
      </c>
      <c r="AK55" s="379"/>
      <c r="AL55" s="100" t="s">
        <v>780</v>
      </c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>
        <v>43703</v>
      </c>
      <c r="AF56" s="378" t="s">
        <v>151</v>
      </c>
      <c r="AG56" s="379"/>
      <c r="AH56" s="100">
        <v>10</v>
      </c>
      <c r="AI56" s="96">
        <v>43498</v>
      </c>
      <c r="AJ56" s="389" t="s">
        <v>235</v>
      </c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75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23</v>
      </c>
      <c r="D75">
        <f>C75*D74</f>
        <v>76.666666666666671</v>
      </c>
      <c r="Z75" s="111"/>
    </row>
    <row r="76" spans="1:50">
      <c r="D76">
        <f>D75-D73</f>
        <v>1.6666666666666714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51" workbookViewId="0">
      <selection activeCell="H263" sqref="H2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3839.35</v>
      </c>
      <c r="L5" s="432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7236.18</v>
      </c>
      <c r="L7" s="41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105+50</f>
        <v>155</v>
      </c>
      <c r="L11" s="4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1032.5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64.820000000000007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328</v>
      </c>
      <c r="K30" s="42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800</v>
      </c>
      <c r="K35" s="424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790</v>
      </c>
      <c r="K45" s="424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20" t="str">
        <f>AÑO!A13</f>
        <v>Gubernamental</v>
      </c>
      <c r="J50" s="423" t="s">
        <v>798</v>
      </c>
      <c r="K50" s="424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218.77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799</v>
      </c>
      <c r="K60" s="424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'08'!A66+(B66-SUM(D66:F78))+B67</f>
        <v>58.480000000000054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163.48000000000005</v>
      </c>
      <c r="B80" s="233">
        <f>SUM(B66:B79)</f>
        <v>180</v>
      </c>
      <c r="C80" s="17" t="s">
        <v>53</v>
      </c>
      <c r="D80" s="135">
        <f>SUM(D66:D79)</f>
        <v>39.299999999999997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94.68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240.39999999999998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9" ht="15" customHeight="1" thickBot="1">
      <c r="B243" s="412"/>
      <c r="C243" s="413"/>
      <c r="D243" s="413"/>
      <c r="E243" s="413"/>
      <c r="F243" s="413"/>
      <c r="G243" s="414"/>
    </row>
    <row r="244" spans="1:9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</f>
        <v>-259.06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/>
      <c r="C247" s="16"/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/>
      <c r="E248" s="138"/>
      <c r="F248" s="138"/>
      <c r="G248" s="16"/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/>
      <c r="F249" s="138"/>
      <c r="G249" s="16"/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736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326.39000000000016</v>
      </c>
      <c r="B260" s="135">
        <f>SUM(B246:B259)</f>
        <v>95</v>
      </c>
      <c r="C260" s="17" t="s">
        <v>53</v>
      </c>
      <c r="D260" s="135">
        <f>SUM(D246:D259)</f>
        <v>309.06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48.359999999999808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108.35999999999981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9" ht="15.75" thickBot="1"/>
    <row r="322" spans="2:9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9" ht="15" customHeight="1" thickBot="1">
      <c r="B323" s="406"/>
      <c r="C323" s="407"/>
      <c r="D323" s="407"/>
      <c r="E323" s="407"/>
      <c r="F323" s="407"/>
      <c r="G323" s="408"/>
    </row>
    <row r="324" spans="2:9">
      <c r="B324" s="401" t="s">
        <v>8</v>
      </c>
      <c r="C324" s="402"/>
      <c r="D324" s="401" t="s">
        <v>9</v>
      </c>
      <c r="E324" s="409"/>
      <c r="F324" s="409"/>
      <c r="G324" s="402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/>
      <c r="C328" s="16"/>
      <c r="D328" s="137"/>
      <c r="E328" s="138"/>
      <c r="F328" s="138"/>
      <c r="G328" s="16"/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40.870000000000005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</f>
        <v>39.5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39.5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AÑO!AI17</f>
        <v>4762.0199999999995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635.75999999999931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635.75999999999931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" workbookViewId="0">
      <selection activeCell="K8" sqref="K8:L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f>0</f>
        <v>0</v>
      </c>
      <c r="L7" s="4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/>
      <c r="L9" s="416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17864.099999999999</v>
      </c>
      <c r="L19" s="441"/>
      <c r="M19" s="1"/>
      <c r="N19" s="1"/>
      <c r="R19" s="3"/>
    </row>
    <row r="20" spans="1:18" ht="16.5" thickBot="1">
      <c r="A20" s="112">
        <f>SUM(A6:A15)</f>
        <v>1576.5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'09'!A66+(B66-SUM(D66:F78))+B67</f>
        <v>233.48000000000005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343.48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-209.06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421.39000000000016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98.359999999999815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198.35999999999981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'10'!A11+(B11-SUM(D11:F11))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2120.5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'10'!A27+(B27-SUM(D27:F27))</f>
        <v>402.05999999999995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2640.08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142.20000000000005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1342.24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2664.5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'11'!A27+(B27-SUM(D27:F27))</f>
        <v>572.05999999999995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3768.08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213.20000000000005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1721.71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J22" sqref="J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0" workbookViewId="0">
      <selection activeCell="F23" sqref="F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v>0</v>
      </c>
      <c r="L25" s="127">
        <f t="shared" si="8"/>
        <v>-149357.61999999997</v>
      </c>
      <c r="M25" s="72">
        <f t="shared" si="10"/>
        <v>-22721.829999999973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-6493.8095652173897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6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1523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43732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127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43732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/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578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43732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/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3.739445114595899E-2</v>
      </c>
      <c r="X13" s="119">
        <f ca="1">W13*E13</f>
        <v>150.29835639324489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3.3172496984318456E-2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8.4439083232810616E-3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0.52412545235223162</v>
      </c>
      <c r="X19" s="119">
        <f t="shared" ca="1" si="2"/>
        <v>2318.4164840048256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0.38118214716525933</v>
      </c>
      <c r="X20" s="119">
        <f t="shared" ca="1" si="2"/>
        <v>228.93799758745476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0.17370325693606756</v>
      </c>
      <c r="X25" s="119">
        <f t="shared" ca="1" si="2"/>
        <v>105.6051924535585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578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43732</v>
      </c>
      <c r="L28" s="302">
        <v>27.5</v>
      </c>
      <c r="M28" s="264">
        <f>(H28*L28)</f>
        <v>5390</v>
      </c>
      <c r="N28" s="264">
        <f>-(IF((M28*0.0075)&lt;30,30,(M28*0.0075)) + (M28*0.0035))</f>
        <v>-59.29</v>
      </c>
      <c r="O28" s="272">
        <f>J28+N28</f>
        <v>-115.30287999999999</v>
      </c>
      <c r="P28" s="273">
        <f ca="1">IF(K28=0,0,M28-E28+N28)</f>
        <v>182.61711999999986</v>
      </c>
      <c r="Q28" s="274">
        <f ca="1">P28/E28</f>
        <v>3.5472771035164358E-2</v>
      </c>
      <c r="R28" s="275" t="s">
        <v>517</v>
      </c>
      <c r="S28" s="59">
        <f ca="1">Q28+Q29+Q30+Q34</f>
        <v>5.987792512399269E-2</v>
      </c>
      <c r="T28" s="59">
        <f>(L28/L5)-1</f>
        <v>-8.333333333333337E-2</v>
      </c>
      <c r="W28" s="39">
        <f t="shared" ca="1" si="0"/>
        <v>0.3486127864897467</v>
      </c>
      <c r="X28" s="119">
        <f t="shared" ca="1" si="2"/>
        <v>1794.6910040048251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1.3268998793727383E-2</v>
      </c>
      <c r="X33" s="119">
        <f t="shared" ca="1" si="2"/>
        <v>54.789370566948129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127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43732</v>
      </c>
      <c r="L35" s="302">
        <v>63</v>
      </c>
      <c r="M35" s="264">
        <f>(H35*L35)</f>
        <v>3906</v>
      </c>
      <c r="N35" s="264">
        <f>-(IF((M35*0.0075)&lt;30,30,(M35*0.0075)) + (M35*0.0035))</f>
        <v>-43.670999999999999</v>
      </c>
      <c r="O35" s="272">
        <f>J35+N35</f>
        <v>-88.157859999999999</v>
      </c>
      <c r="P35" s="273">
        <f ca="1">IF(K35=0,0,M35-E35+N35)</f>
        <v>-226.41786000000019</v>
      </c>
      <c r="Q35" s="274">
        <f ca="1">P35/E35</f>
        <v>-5.5375856650612058E-2</v>
      </c>
      <c r="R35" s="275" t="s">
        <v>412</v>
      </c>
      <c r="T35" s="59">
        <f>(L35/L4)-1</f>
        <v>-6.7081297201243895E-2</v>
      </c>
      <c r="W35" s="39">
        <f t="shared" ca="1" si="0"/>
        <v>7.6598311218335338E-2</v>
      </c>
      <c r="X35" s="119">
        <f t="shared" ca="1" si="2"/>
        <v>313.1911044752714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2647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-373.542259</v>
      </c>
      <c r="O42" s="315">
        <f>SUM(O13:O41)</f>
        <v>-559.74039699999992</v>
      </c>
      <c r="P42" s="315">
        <f ca="1">SUM(P13:P41)</f>
        <v>3604.8179830000004</v>
      </c>
      <c r="Q42" s="326">
        <f ca="1">SUM(Q13:Q41)</f>
        <v>3.9034626205456227</v>
      </c>
      <c r="R42" s="317"/>
      <c r="W42" s="327">
        <f ca="1">SUM(W13:W41)</f>
        <v>1.5965018094089265</v>
      </c>
      <c r="X42" s="328">
        <f ca="1">SUM(X13:X41)</f>
        <v>4965.9295094861291</v>
      </c>
      <c r="Y42" s="329">
        <f ca="1">P42/X42</f>
        <v>0.72591001868107963</v>
      </c>
      <c r="Z42" s="329">
        <f ca="1">Y42/(D$43/365)</f>
        <v>0.15980528155524371</v>
      </c>
    </row>
    <row r="43" spans="1:26">
      <c r="C43" s="119" t="s">
        <v>568</v>
      </c>
      <c r="D43" s="46">
        <f ca="1">_xlfn.DAYS(TODAY(),F13)</f>
        <v>1658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-69.659884993447548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-78.378987503276306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-61.58349018114567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-16.79549732213064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-226.41786000000019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>
        <v>2018</v>
      </c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1">
        <v>2901.68</v>
      </c>
      <c r="L5" s="4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5">
        <v>620.05999999999995</v>
      </c>
      <c r="L6" s="41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5">
        <v>8035.29</v>
      </c>
      <c r="L7" s="4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5">
        <v>659.39</v>
      </c>
      <c r="L9" s="4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5">
        <f>240+35</f>
        <v>275</v>
      </c>
      <c r="L11" s="4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7">
        <f>SUM(K5:K18)</f>
        <v>26383.54</v>
      </c>
      <c r="L19" s="4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12"/>
      <c r="I22" s="419" t="s">
        <v>6</v>
      </c>
      <c r="J22" s="410"/>
      <c r="K22" s="410"/>
      <c r="L22" s="4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12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12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0" t="str">
        <f>AÑO!A8</f>
        <v>Manolo Salario</v>
      </c>
      <c r="J25" s="423" t="s">
        <v>291</v>
      </c>
      <c r="K25" s="4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1"/>
      <c r="J26" s="425"/>
      <c r="K26" s="4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1"/>
      <c r="J27" s="425"/>
      <c r="K27" s="4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1"/>
      <c r="J28" s="425"/>
      <c r="K28" s="4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2"/>
      <c r="J29" s="427"/>
      <c r="K29" s="4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0" t="str">
        <f>AÑO!A9</f>
        <v>Rocío Salario</v>
      </c>
      <c r="J30" s="423" t="s">
        <v>238</v>
      </c>
      <c r="K30" s="4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1"/>
      <c r="J31" s="425" t="s">
        <v>256</v>
      </c>
      <c r="K31" s="4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1"/>
      <c r="J32" s="433" t="s">
        <v>267</v>
      </c>
      <c r="K32" s="4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0" t="s">
        <v>218</v>
      </c>
      <c r="J35" s="423" t="s">
        <v>306</v>
      </c>
      <c r="K35" s="4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0" t="str">
        <f>AÑO!A11</f>
        <v>Finanazas</v>
      </c>
      <c r="J40" s="423" t="s">
        <v>239</v>
      </c>
      <c r="K40" s="4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1"/>
      <c r="J41" s="425" t="s">
        <v>240</v>
      </c>
      <c r="K41" s="426"/>
      <c r="L41" s="229">
        <v>1.87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12"/>
      <c r="I42" s="421"/>
      <c r="J42" s="425" t="s">
        <v>269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12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12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0" t="str">
        <f>AÑO!A12</f>
        <v>Regalos</v>
      </c>
      <c r="J45" s="423" t="s">
        <v>299</v>
      </c>
      <c r="K45" s="4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2"/>
      <c r="J49" s="427"/>
      <c r="K49" s="4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0" t="str">
        <f>AÑO!A13</f>
        <v>Gubernamental</v>
      </c>
      <c r="J50" s="423" t="s">
        <v>259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2"/>
      <c r="J54" s="427"/>
      <c r="K54" s="4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2"/>
      <c r="J59" s="427"/>
      <c r="K59" s="4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12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12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12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0" t="str">
        <f>AÑO!A16</f>
        <v>Otros</v>
      </c>
      <c r="J65" s="423" t="s">
        <v>296</v>
      </c>
      <c r="K65" s="4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1"/>
      <c r="J66" s="425"/>
      <c r="K66" s="4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1"/>
      <c r="J67" s="425"/>
      <c r="K67" s="4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1"/>
      <c r="J68" s="425"/>
      <c r="K68" s="4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12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12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12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12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12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12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12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12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  <c r="H202" s="112"/>
    </row>
    <row r="203" spans="2:12" ht="15" customHeight="1" thickBot="1">
      <c r="B203" s="412"/>
      <c r="C203" s="413"/>
      <c r="D203" s="413"/>
      <c r="E203" s="413"/>
      <c r="F203" s="413"/>
      <c r="G203" s="414"/>
      <c r="H203" s="112"/>
    </row>
    <row r="204" spans="2:12" ht="15.75">
      <c r="B204" s="401" t="s">
        <v>8</v>
      </c>
      <c r="C204" s="402"/>
      <c r="D204" s="409" t="s">
        <v>9</v>
      </c>
      <c r="E204" s="409"/>
      <c r="F204" s="409"/>
      <c r="G204" s="4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3" t="str">
        <f>AÑO!A31</f>
        <v>Deportes</v>
      </c>
      <c r="C222" s="410"/>
      <c r="D222" s="410"/>
      <c r="E222" s="410"/>
      <c r="F222" s="410"/>
      <c r="G222" s="411"/>
      <c r="H222" s="112"/>
    </row>
    <row r="223" spans="2:8" ht="15" customHeight="1" thickBot="1">
      <c r="B223" s="412"/>
      <c r="C223" s="413"/>
      <c r="D223" s="413"/>
      <c r="E223" s="413"/>
      <c r="F223" s="413"/>
      <c r="G223" s="414"/>
      <c r="H223" s="112"/>
    </row>
    <row r="224" spans="2:8" ht="15.75">
      <c r="B224" s="401" t="s">
        <v>8</v>
      </c>
      <c r="C224" s="402"/>
      <c r="D224" s="409" t="s">
        <v>9</v>
      </c>
      <c r="E224" s="409"/>
      <c r="F224" s="409"/>
      <c r="G224" s="4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3" t="str">
        <f>AÑO!A32</f>
        <v>Hogar</v>
      </c>
      <c r="C242" s="410"/>
      <c r="D242" s="410"/>
      <c r="E242" s="410"/>
      <c r="F242" s="410"/>
      <c r="G242" s="411"/>
      <c r="H242" s="112"/>
    </row>
    <row r="243" spans="2:8" ht="15" customHeight="1" thickBot="1">
      <c r="B243" s="412"/>
      <c r="C243" s="413"/>
      <c r="D243" s="413"/>
      <c r="E243" s="413"/>
      <c r="F243" s="413"/>
      <c r="G243" s="414"/>
      <c r="H243" s="112"/>
    </row>
    <row r="244" spans="2:8" ht="15" customHeight="1">
      <c r="B244" s="401" t="s">
        <v>8</v>
      </c>
      <c r="C244" s="402"/>
      <c r="D244" s="409" t="s">
        <v>9</v>
      </c>
      <c r="E244" s="409"/>
      <c r="F244" s="409"/>
      <c r="G244" s="4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3" t="str">
        <f>AÑO!A33</f>
        <v>Formación</v>
      </c>
      <c r="C262" s="410"/>
      <c r="D262" s="410"/>
      <c r="E262" s="410"/>
      <c r="F262" s="410"/>
      <c r="G262" s="411"/>
      <c r="H262" s="112"/>
    </row>
    <row r="263" spans="2:8" ht="15" customHeight="1" thickBot="1">
      <c r="B263" s="412"/>
      <c r="C263" s="413"/>
      <c r="D263" s="413"/>
      <c r="E263" s="413"/>
      <c r="F263" s="413"/>
      <c r="G263" s="414"/>
      <c r="H263" s="112"/>
    </row>
    <row r="264" spans="2:8" ht="15.75">
      <c r="B264" s="401" t="s">
        <v>8</v>
      </c>
      <c r="C264" s="402"/>
      <c r="D264" s="409" t="s">
        <v>9</v>
      </c>
      <c r="E264" s="409"/>
      <c r="F264" s="409"/>
      <c r="G264" s="4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  <c r="H282" s="112"/>
    </row>
    <row r="283" spans="2:8" ht="15" customHeight="1" thickBot="1">
      <c r="B283" s="412"/>
      <c r="C283" s="413"/>
      <c r="D283" s="413"/>
      <c r="E283" s="413"/>
      <c r="F283" s="413"/>
      <c r="G283" s="414"/>
      <c r="H283" s="112"/>
    </row>
    <row r="284" spans="2:8" ht="15.75">
      <c r="B284" s="401" t="s">
        <v>8</v>
      </c>
      <c r="C284" s="402"/>
      <c r="D284" s="409" t="s">
        <v>9</v>
      </c>
      <c r="E284" s="409"/>
      <c r="F284" s="409"/>
      <c r="G284" s="4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  <c r="H302" s="112"/>
    </row>
    <row r="303" spans="2:8" ht="15" customHeight="1" thickBot="1">
      <c r="B303" s="412"/>
      <c r="C303" s="413"/>
      <c r="D303" s="413"/>
      <c r="E303" s="413"/>
      <c r="F303" s="413"/>
      <c r="G303" s="414"/>
      <c r="H303" s="112"/>
    </row>
    <row r="304" spans="2:8" ht="15.75">
      <c r="B304" s="401" t="s">
        <v>8</v>
      </c>
      <c r="C304" s="402"/>
      <c r="D304" s="409" t="s">
        <v>9</v>
      </c>
      <c r="E304" s="409"/>
      <c r="F304" s="409"/>
      <c r="G304" s="4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3" t="str">
        <f>AÑO!A36</f>
        <v>Nenas</v>
      </c>
      <c r="C322" s="410"/>
      <c r="D322" s="410"/>
      <c r="E322" s="410"/>
      <c r="F322" s="410"/>
      <c r="G322" s="411"/>
      <c r="H322" s="112"/>
    </row>
    <row r="323" spans="2:8" ht="15" customHeight="1" thickBot="1">
      <c r="B323" s="412"/>
      <c r="C323" s="413"/>
      <c r="D323" s="413"/>
      <c r="E323" s="413"/>
      <c r="F323" s="413"/>
      <c r="G323" s="414"/>
      <c r="H323" s="112"/>
    </row>
    <row r="324" spans="2:8" ht="15.75">
      <c r="B324" s="401" t="s">
        <v>8</v>
      </c>
      <c r="C324" s="402"/>
      <c r="D324" s="409" t="s">
        <v>9</v>
      </c>
      <c r="E324" s="409"/>
      <c r="F324" s="409"/>
      <c r="G324" s="4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3" t="str">
        <f>AÑO!A37</f>
        <v>Impuestos</v>
      </c>
      <c r="C342" s="410"/>
      <c r="D342" s="410"/>
      <c r="E342" s="410"/>
      <c r="F342" s="410"/>
      <c r="G342" s="411"/>
      <c r="H342" s="112"/>
    </row>
    <row r="343" spans="2:8" ht="15" customHeight="1" thickBot="1">
      <c r="B343" s="412"/>
      <c r="C343" s="413"/>
      <c r="D343" s="413"/>
      <c r="E343" s="413"/>
      <c r="F343" s="413"/>
      <c r="G343" s="414"/>
      <c r="H343" s="112"/>
    </row>
    <row r="344" spans="2:8" ht="15.75">
      <c r="B344" s="401" t="s">
        <v>8</v>
      </c>
      <c r="C344" s="402"/>
      <c r="D344" s="409" t="s">
        <v>9</v>
      </c>
      <c r="E344" s="409"/>
      <c r="F344" s="409"/>
      <c r="G344" s="4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3" t="str">
        <f>AÑO!A38</f>
        <v>Gastos Curros</v>
      </c>
      <c r="C362" s="410"/>
      <c r="D362" s="410"/>
      <c r="E362" s="410"/>
      <c r="F362" s="410"/>
      <c r="G362" s="411"/>
      <c r="H362" s="112"/>
    </row>
    <row r="363" spans="2:8" ht="15" customHeight="1" thickBot="1">
      <c r="B363" s="412"/>
      <c r="C363" s="413"/>
      <c r="D363" s="413"/>
      <c r="E363" s="413"/>
      <c r="F363" s="413"/>
      <c r="G363" s="414"/>
      <c r="H363" s="112"/>
    </row>
    <row r="364" spans="2:8" ht="15.75">
      <c r="B364" s="401" t="s">
        <v>8</v>
      </c>
      <c r="C364" s="402"/>
      <c r="D364" s="409" t="s">
        <v>9</v>
      </c>
      <c r="E364" s="409"/>
      <c r="F364" s="409"/>
      <c r="G364" s="4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3" t="str">
        <f>AÑO!A39</f>
        <v>Dreamed Holidays</v>
      </c>
      <c r="C382" s="410"/>
      <c r="D382" s="410"/>
      <c r="E382" s="410"/>
      <c r="F382" s="410"/>
      <c r="G382" s="411"/>
      <c r="H382" s="112"/>
    </row>
    <row r="383" spans="2:8" ht="15" customHeight="1" thickBot="1">
      <c r="B383" s="412"/>
      <c r="C383" s="413"/>
      <c r="D383" s="413"/>
      <c r="E383" s="413"/>
      <c r="F383" s="413"/>
      <c r="G383" s="414"/>
      <c r="H383" s="112"/>
    </row>
    <row r="384" spans="2:8" ht="15.75">
      <c r="B384" s="401" t="s">
        <v>8</v>
      </c>
      <c r="C384" s="402"/>
      <c r="D384" s="409" t="s">
        <v>9</v>
      </c>
      <c r="E384" s="409"/>
      <c r="F384" s="409"/>
      <c r="G384" s="4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3" t="str">
        <f>AÑO!A40</f>
        <v>Financieros</v>
      </c>
      <c r="C402" s="410"/>
      <c r="D402" s="410"/>
      <c r="E402" s="410"/>
      <c r="F402" s="410"/>
      <c r="G402" s="411"/>
      <c r="H402" s="112"/>
    </row>
    <row r="403" spans="2:8" ht="15" customHeight="1" thickBot="1">
      <c r="B403" s="412"/>
      <c r="C403" s="413"/>
      <c r="D403" s="413"/>
      <c r="E403" s="413"/>
      <c r="F403" s="413"/>
      <c r="G403" s="414"/>
      <c r="H403" s="112"/>
    </row>
    <row r="404" spans="2:8" ht="15.75">
      <c r="B404" s="401" t="s">
        <v>8</v>
      </c>
      <c r="C404" s="402"/>
      <c r="D404" s="409" t="s">
        <v>9</v>
      </c>
      <c r="E404" s="409"/>
      <c r="F404" s="409"/>
      <c r="G404" s="4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  <c r="H422" s="112"/>
    </row>
    <row r="423" spans="1:8" ht="15" customHeight="1" thickBot="1">
      <c r="B423" s="406"/>
      <c r="C423" s="407"/>
      <c r="D423" s="407"/>
      <c r="E423" s="407"/>
      <c r="F423" s="407"/>
      <c r="G423" s="408"/>
      <c r="H423" s="112"/>
    </row>
    <row r="424" spans="1:8" ht="15.75">
      <c r="B424" s="401" t="s">
        <v>8</v>
      </c>
      <c r="C424" s="402"/>
      <c r="D424" s="409" t="s">
        <v>9</v>
      </c>
      <c r="E424" s="409"/>
      <c r="F424" s="409"/>
      <c r="G424" s="40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3" t="str">
        <f>AÑO!A42</f>
        <v>Dinero Bloqueado</v>
      </c>
      <c r="C442" s="404"/>
      <c r="D442" s="404"/>
      <c r="E442" s="404"/>
      <c r="F442" s="404"/>
      <c r="G442" s="405"/>
      <c r="H442" s="112"/>
    </row>
    <row r="443" spans="2:8" ht="15" customHeight="1" thickBot="1">
      <c r="B443" s="406"/>
      <c r="C443" s="407"/>
      <c r="D443" s="407"/>
      <c r="E443" s="407"/>
      <c r="F443" s="407"/>
      <c r="G443" s="408"/>
      <c r="H443" s="112"/>
    </row>
    <row r="444" spans="2:8" ht="15.75">
      <c r="B444" s="401" t="s">
        <v>8</v>
      </c>
      <c r="C444" s="402"/>
      <c r="D444" s="409" t="s">
        <v>9</v>
      </c>
      <c r="E444" s="409"/>
      <c r="F444" s="409"/>
      <c r="G444" s="4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3" t="str">
        <f>AÑO!A43</f>
        <v>Cartama Finanazas</v>
      </c>
      <c r="C462" s="404"/>
      <c r="D462" s="404"/>
      <c r="E462" s="404"/>
      <c r="F462" s="404"/>
      <c r="G462" s="405"/>
      <c r="H462" s="112"/>
    </row>
    <row r="463" spans="2:8" ht="15" customHeight="1" thickBot="1">
      <c r="B463" s="406"/>
      <c r="C463" s="407"/>
      <c r="D463" s="407"/>
      <c r="E463" s="407"/>
      <c r="F463" s="407"/>
      <c r="G463" s="408"/>
      <c r="H463" s="112"/>
    </row>
    <row r="464" spans="2:8" ht="15.75">
      <c r="B464" s="401" t="s">
        <v>8</v>
      </c>
      <c r="C464" s="402"/>
      <c r="D464" s="409" t="s">
        <v>9</v>
      </c>
      <c r="E464" s="409"/>
      <c r="F464" s="409"/>
      <c r="G464" s="40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3" t="str">
        <f>AÑO!A44</f>
        <v>NULO</v>
      </c>
      <c r="C482" s="404"/>
      <c r="D482" s="404"/>
      <c r="E482" s="404"/>
      <c r="F482" s="404"/>
      <c r="G482" s="405"/>
      <c r="H482" s="112"/>
    </row>
    <row r="483" spans="2:8" ht="15" customHeight="1" thickBot="1">
      <c r="B483" s="406"/>
      <c r="C483" s="407"/>
      <c r="D483" s="407"/>
      <c r="E483" s="407"/>
      <c r="F483" s="407"/>
      <c r="G483" s="408"/>
      <c r="H483" s="112"/>
    </row>
    <row r="484" spans="2:8" ht="15.75">
      <c r="B484" s="401" t="s">
        <v>8</v>
      </c>
      <c r="C484" s="402"/>
      <c r="D484" s="409" t="s">
        <v>9</v>
      </c>
      <c r="E484" s="409"/>
      <c r="F484" s="409"/>
      <c r="G484" s="4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3" t="str">
        <f>AÑO!A45</f>
        <v>OTROS</v>
      </c>
      <c r="C502" s="404"/>
      <c r="D502" s="404"/>
      <c r="E502" s="404"/>
      <c r="F502" s="404"/>
      <c r="G502" s="405"/>
      <c r="H502" s="112"/>
    </row>
    <row r="503" spans="2:8" ht="15" customHeight="1" thickBot="1">
      <c r="B503" s="406"/>
      <c r="C503" s="407"/>
      <c r="D503" s="407"/>
      <c r="E503" s="407"/>
      <c r="F503" s="407"/>
      <c r="G503" s="408"/>
      <c r="H503" s="112"/>
    </row>
    <row r="504" spans="2:8" ht="15.75">
      <c r="B504" s="401" t="s">
        <v>8</v>
      </c>
      <c r="C504" s="402"/>
      <c r="D504" s="409" t="s">
        <v>9</v>
      </c>
      <c r="E504" s="409"/>
      <c r="F504" s="409"/>
      <c r="G504" s="4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2397.48-4.45</f>
        <v>2393.0300000000002</v>
      </c>
      <c r="L5" s="4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>
        <f>7340.23-4.45</f>
        <v>7335.78</v>
      </c>
      <c r="L7" s="4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7001.87</v>
      </c>
      <c r="L8" s="4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669.52</v>
      </c>
      <c r="L9" s="4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160+155</f>
        <v>315</v>
      </c>
      <c r="L11" s="4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25229.379999999997</v>
      </c>
      <c r="L19" s="4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314</v>
      </c>
      <c r="K30" s="4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319</v>
      </c>
      <c r="K31" s="4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 t="s">
        <v>314</v>
      </c>
      <c r="K33" s="4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0" t="str">
        <f>AÑO!A15</f>
        <v>Alquiler Cartama</v>
      </c>
      <c r="J60" s="423" t="s">
        <v>315</v>
      </c>
      <c r="K60" s="4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1"/>
      <c r="J66" s="425"/>
      <c r="K66" s="4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1"/>
      <c r="J67" s="425"/>
      <c r="K67" s="4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9" t="s">
        <v>9</v>
      </c>
      <c r="E424" s="409"/>
      <c r="F424" s="409"/>
      <c r="G424" s="4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1559.34</v>
      </c>
      <c r="L5" s="4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5">
        <v>8577.0300000000007</v>
      </c>
      <c r="L7" s="4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5">
        <v>4167.34</v>
      </c>
      <c r="L9" s="4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255</v>
      </c>
      <c r="L11" s="4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25574.760000000002</v>
      </c>
      <c r="L19" s="4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238</v>
      </c>
      <c r="K31" s="4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379</v>
      </c>
      <c r="K45" s="4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1"/>
      <c r="J46" s="425" t="s">
        <v>160</v>
      </c>
      <c r="K46" s="4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1"/>
      <c r="J51" s="425" t="s">
        <v>417</v>
      </c>
      <c r="K51" s="4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0" t="str">
        <f>AÑO!A14</f>
        <v>Mutualite/DKV</v>
      </c>
      <c r="J55" s="439" t="str">
        <f>G306</f>
        <v>12/03 Chirec</v>
      </c>
      <c r="K55" s="4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366</v>
      </c>
      <c r="K60" s="4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8" ht="15" customHeight="1" thickBot="1">
      <c r="B243" s="412"/>
      <c r="C243" s="413"/>
      <c r="D243" s="413"/>
      <c r="E243" s="413"/>
      <c r="F243" s="413"/>
      <c r="G243" s="414"/>
    </row>
    <row r="244" spans="1:8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9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861.84</v>
      </c>
      <c r="L5" s="4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10075.709999999999</v>
      </c>
      <c r="L7" s="4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35.96</v>
      </c>
      <c r="L9" s="4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370</v>
      </c>
      <c r="L11" s="4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5092.08+4084.2</f>
        <v>9176.2799999999988</v>
      </c>
      <c r="L12" s="4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424</v>
      </c>
      <c r="K40" s="4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444</v>
      </c>
      <c r="K41" s="426"/>
      <c r="L41" s="229">
        <v>352.82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 t="s">
        <v>60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0" t="str">
        <f>AÑO!A13</f>
        <v>Gubernamental</v>
      </c>
      <c r="J50" s="423" t="s">
        <v>433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39" t="str">
        <f>'03'!G307</f>
        <v>22/03 Chirec</v>
      </c>
      <c r="K55" s="4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2" t="str">
        <f>'03'!G309</f>
        <v>26/03 Ginecologa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448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1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1773.93</v>
      </c>
      <c r="L5" s="432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7144.52</v>
      </c>
      <c r="L7" s="41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10005.620000000001</v>
      </c>
      <c r="L8" s="4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514.82000000000005</v>
      </c>
      <c r="L9" s="41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210</f>
        <v>210</v>
      </c>
      <c r="L11" s="4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362</v>
      </c>
      <c r="K31" s="4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472</v>
      </c>
      <c r="K40" s="4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0" t="str">
        <f>AÑO!A13</f>
        <v>Gubernamental</v>
      </c>
      <c r="J50" s="423" t="s">
        <v>483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0" t="str">
        <f>AÑO!A14</f>
        <v>Mutualite/DKV</v>
      </c>
      <c r="J55" s="423" t="s">
        <v>477</v>
      </c>
      <c r="K55" s="424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1" t="s">
        <v>9</v>
      </c>
      <c r="E424" s="409"/>
      <c r="F424" s="409"/>
      <c r="G424" s="40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M5+2156.93</f>
        <v>1614.1099999999997</v>
      </c>
      <c r="L5" s="432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f>9234.42-58.2</f>
        <v>9176.2199999999993</v>
      </c>
      <c r="L7" s="41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190</v>
      </c>
      <c r="L11" s="4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626</v>
      </c>
      <c r="K30" s="424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627</v>
      </c>
      <c r="K60" s="424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9" ht="15" customHeight="1" thickBot="1">
      <c r="B283" s="412"/>
      <c r="C283" s="413"/>
      <c r="D283" s="413"/>
      <c r="E283" s="413"/>
      <c r="F283" s="413"/>
      <c r="G283" s="414"/>
    </row>
    <row r="284" spans="2:9">
      <c r="B284" s="401" t="s">
        <v>8</v>
      </c>
      <c r="C284" s="402"/>
      <c r="D284" s="401" t="s">
        <v>9</v>
      </c>
      <c r="E284" s="409"/>
      <c r="F284" s="409"/>
      <c r="G284" s="40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4"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2939.95</f>
        <v>2939.95</v>
      </c>
      <c r="L5" s="432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8049.26</v>
      </c>
      <c r="L7" s="41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260</v>
      </c>
      <c r="L11" s="4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626</v>
      </c>
      <c r="K31" s="426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688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675</v>
      </c>
      <c r="K40" s="424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60</v>
      </c>
      <c r="K41" s="426"/>
      <c r="L41" s="229">
        <v>0.02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 t="s">
        <v>689</v>
      </c>
      <c r="K55" s="424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 t="s">
        <v>689</v>
      </c>
      <c r="K56" s="426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689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704</v>
      </c>
      <c r="K60" s="424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7490.36</v>
      </c>
      <c r="L7" s="41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328</v>
      </c>
      <c r="K30" s="42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397</v>
      </c>
      <c r="K35" s="424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776</v>
      </c>
      <c r="K45" s="424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21"/>
      <c r="J46" s="425" t="s">
        <v>777</v>
      </c>
      <c r="K46" s="426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21"/>
      <c r="J48" s="425"/>
      <c r="K48" s="426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20" t="str">
        <f>AÑO!A13</f>
        <v>Gubernamental</v>
      </c>
      <c r="J50" s="423" t="s">
        <v>639</v>
      </c>
      <c r="K50" s="424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43">
        <v>43692</v>
      </c>
      <c r="K55" s="424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4">
        <v>43696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39</v>
      </c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2019-09-24T12:01:40Z</dcterms:modified>
</cp:coreProperties>
</file>