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E3DA8706-FF5E-41DC-AF33-133025E14062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20" i="12"/>
  <c r="K19" i="12"/>
  <c r="B2" i="12"/>
  <c r="J22" i="15" l="1"/>
  <c r="I82" i="15" l="1"/>
  <c r="A82" i="15"/>
  <c r="F366" i="10"/>
  <c r="B4" i="14"/>
  <c r="J23" i="15"/>
  <c r="B5" i="14"/>
  <c r="B426" i="11" l="1"/>
  <c r="M27" i="10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0" i="1"/>
  <c r="AW26" i="1"/>
  <c r="AW34" i="1"/>
  <c r="AW43" i="1"/>
  <c r="AW22" i="1"/>
  <c r="AW50" i="1" s="1"/>
  <c r="AW23" i="1"/>
  <c r="A42" i="15" l="1"/>
  <c r="I41" i="15"/>
  <c r="AW46" i="1"/>
  <c r="AW47" i="1" s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AO46" i="1"/>
  <c r="B440" i="11"/>
  <c r="AN41" i="1" s="1"/>
  <c r="B426" i="9"/>
  <c r="B440" i="9" s="1"/>
  <c r="AF41" i="1" s="1"/>
  <c r="B440" i="10"/>
  <c r="B426" i="13"/>
  <c r="B440" i="13" s="1"/>
  <c r="AV41" i="1" s="1"/>
  <c r="AV46" i="1" s="1"/>
  <c r="AV47" i="1" s="1"/>
  <c r="AR41" i="1"/>
  <c r="B440" i="8"/>
  <c r="B440" i="7"/>
  <c r="AO21" i="1"/>
  <c r="AO22" i="1"/>
  <c r="AO50" i="1" s="1"/>
  <c r="AO42" i="1"/>
  <c r="AO23" i="1"/>
  <c r="A66" i="15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6" i="1"/>
  <c r="AS47" i="1" s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<sst xmlns="http://schemas.openxmlformats.org/spreadsheetml/2006/main" count="5210" uniqueCount="600">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</sst>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2" xfId="0" applyNumberFormat="1" applyBorder="1" applyAlignment="1">
      <alignment horizontal="left"/>
    </xf>
    <xf numFmtId="0" fontId="0" fillId="0" borderId="103" xfId="0" applyNumberForma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15" zoomScaleNormal="100" workbookViewId="0">
      <pane xSplit="1" topLeftCell="AC1" activePane="topRight" state="frozen"/>
      <selection pane="topRight" activeCell="AM28" sqref="AM28:AP2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567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20" t="s">
        <v>0</v>
      </c>
      <c r="D4" s="221"/>
      <c r="E4" s="221"/>
      <c r="F4" s="222"/>
      <c r="G4" s="220" t="s">
        <v>1</v>
      </c>
      <c r="H4" s="221"/>
      <c r="I4" s="221"/>
      <c r="J4" s="222"/>
      <c r="K4" s="220" t="s">
        <v>2</v>
      </c>
      <c r="L4" s="221"/>
      <c r="M4" s="221"/>
      <c r="N4" s="222"/>
      <c r="O4" s="220" t="s">
        <v>3</v>
      </c>
      <c r="P4" s="221"/>
      <c r="Q4" s="221"/>
      <c r="R4" s="222"/>
      <c r="S4" s="220" t="s">
        <v>99</v>
      </c>
      <c r="T4" s="221"/>
      <c r="U4" s="221"/>
      <c r="V4" s="222"/>
      <c r="W4" s="220" t="s">
        <v>95</v>
      </c>
      <c r="X4" s="221"/>
      <c r="Y4" s="221"/>
      <c r="Z4" s="222"/>
      <c r="AA4" s="220" t="s">
        <v>103</v>
      </c>
      <c r="AB4" s="221"/>
      <c r="AC4" s="221"/>
      <c r="AD4" s="222"/>
      <c r="AE4" s="220" t="s">
        <v>104</v>
      </c>
      <c r="AF4" s="221"/>
      <c r="AG4" s="221"/>
      <c r="AH4" s="222"/>
      <c r="AI4" s="220" t="s">
        <v>107</v>
      </c>
      <c r="AJ4" s="221"/>
      <c r="AK4" s="221"/>
      <c r="AL4" s="222"/>
      <c r="AM4" s="220" t="s">
        <v>109</v>
      </c>
      <c r="AN4" s="221"/>
      <c r="AO4" s="221"/>
      <c r="AP4" s="222"/>
      <c r="AQ4" s="220" t="s">
        <v>113</v>
      </c>
      <c r="AR4" s="221"/>
      <c r="AS4" s="221"/>
      <c r="AT4" s="222"/>
      <c r="AU4" s="220" t="s">
        <v>118</v>
      </c>
      <c r="AV4" s="221"/>
      <c r="AW4" s="221"/>
      <c r="AX4" s="222"/>
      <c r="AY4" s="1"/>
      <c r="AZ4" s="1"/>
      <c r="BA4" s="1"/>
      <c r="BB4" s="1"/>
    </row>
    <row r="5" spans="1:54" ht="16.5" thickBot="1">
      <c r="A5" s="6" t="s">
        <v>5</v>
      </c>
      <c r="B5" s="78"/>
      <c r="C5" s="223">
        <f>'01'!K19</f>
        <v>17336.68</v>
      </c>
      <c r="D5" s="224"/>
      <c r="E5" s="224"/>
      <c r="F5" s="225"/>
      <c r="G5" s="223">
        <f>'02'!K19</f>
        <v>20217</v>
      </c>
      <c r="H5" s="224"/>
      <c r="I5" s="224"/>
      <c r="J5" s="225"/>
      <c r="K5" s="232">
        <f>'03'!K19</f>
        <v>21214.57</v>
      </c>
      <c r="L5" s="224"/>
      <c r="M5" s="224"/>
      <c r="N5" s="225"/>
      <c r="O5" s="232">
        <f>'04'!K19</f>
        <v>20719.909999999996</v>
      </c>
      <c r="P5" s="224"/>
      <c r="Q5" s="224"/>
      <c r="R5" s="225"/>
      <c r="S5" s="232">
        <f>'05'!K19</f>
        <v>22905.86</v>
      </c>
      <c r="T5" s="224"/>
      <c r="U5" s="224"/>
      <c r="V5" s="225"/>
      <c r="W5" s="232">
        <f>'06'!K19</f>
        <v>23622.14</v>
      </c>
      <c r="X5" s="224"/>
      <c r="Y5" s="224"/>
      <c r="Z5" s="225"/>
      <c r="AA5" s="232">
        <f>'07'!K19</f>
        <v>24911.559999999998</v>
      </c>
      <c r="AB5" s="224"/>
      <c r="AC5" s="224"/>
      <c r="AD5" s="225"/>
      <c r="AE5" s="232">
        <f>'08'!K19</f>
        <v>24488.75</v>
      </c>
      <c r="AF5" s="224"/>
      <c r="AG5" s="224"/>
      <c r="AH5" s="225"/>
      <c r="AI5" s="232">
        <f>'09'!K19</f>
        <v>24613.260000000002</v>
      </c>
      <c r="AJ5" s="224"/>
      <c r="AK5" s="224"/>
      <c r="AL5" s="225"/>
      <c r="AM5" s="232">
        <f>'10'!K19</f>
        <v>14551.890000000001</v>
      </c>
      <c r="AN5" s="224"/>
      <c r="AO5" s="224"/>
      <c r="AP5" s="225"/>
      <c r="AQ5" s="232">
        <f>'11'!K19</f>
        <v>14551.890000000001</v>
      </c>
      <c r="AR5" s="224"/>
      <c r="AS5" s="224"/>
      <c r="AT5" s="225"/>
      <c r="AU5" s="232">
        <f>'12'!K19</f>
        <v>13551.890000000001</v>
      </c>
      <c r="AV5" s="224"/>
      <c r="AW5" s="224"/>
      <c r="AX5" s="225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26" t="s">
        <v>7</v>
      </c>
      <c r="D7" s="227"/>
      <c r="E7" s="227"/>
      <c r="F7" s="228"/>
      <c r="G7" s="226" t="s">
        <v>7</v>
      </c>
      <c r="H7" s="227"/>
      <c r="I7" s="227"/>
      <c r="J7" s="228"/>
      <c r="K7" s="226" t="s">
        <v>7</v>
      </c>
      <c r="L7" s="227"/>
      <c r="M7" s="227"/>
      <c r="N7" s="228"/>
      <c r="O7" s="226" t="s">
        <v>7</v>
      </c>
      <c r="P7" s="227"/>
      <c r="Q7" s="227"/>
      <c r="R7" s="228"/>
      <c r="S7" s="226" t="s">
        <v>7</v>
      </c>
      <c r="T7" s="227"/>
      <c r="U7" s="227"/>
      <c r="V7" s="228"/>
      <c r="W7" s="226" t="s">
        <v>7</v>
      </c>
      <c r="X7" s="227"/>
      <c r="Y7" s="227"/>
      <c r="Z7" s="228"/>
      <c r="AA7" s="226" t="s">
        <v>7</v>
      </c>
      <c r="AB7" s="227"/>
      <c r="AC7" s="227"/>
      <c r="AD7" s="228"/>
      <c r="AE7" s="226" t="s">
        <v>7</v>
      </c>
      <c r="AF7" s="227"/>
      <c r="AG7" s="227"/>
      <c r="AH7" s="228"/>
      <c r="AI7" s="226" t="s">
        <v>7</v>
      </c>
      <c r="AJ7" s="227"/>
      <c r="AK7" s="227"/>
      <c r="AL7" s="228"/>
      <c r="AM7" s="226" t="s">
        <v>7</v>
      </c>
      <c r="AN7" s="227"/>
      <c r="AO7" s="227"/>
      <c r="AP7" s="228"/>
      <c r="AQ7" s="226" t="s">
        <v>7</v>
      </c>
      <c r="AR7" s="227"/>
      <c r="AS7" s="227"/>
      <c r="AT7" s="228"/>
      <c r="AU7" s="226" t="s">
        <v>7</v>
      </c>
      <c r="AV7" s="227"/>
      <c r="AW7" s="227"/>
      <c r="AX7" s="228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9">
        <v>2317.46</v>
      </c>
      <c r="D8" s="230"/>
      <c r="E8" s="230"/>
      <c r="F8" s="231"/>
      <c r="G8" s="229">
        <f>2317.46+1638.24</f>
        <v>3955.7</v>
      </c>
      <c r="H8" s="230"/>
      <c r="I8" s="230"/>
      <c r="J8" s="231"/>
      <c r="K8" s="229">
        <v>2320.84</v>
      </c>
      <c r="L8" s="230"/>
      <c r="M8" s="230"/>
      <c r="N8" s="231"/>
      <c r="O8" s="229">
        <v>2325.9</v>
      </c>
      <c r="P8" s="230"/>
      <c r="Q8" s="230"/>
      <c r="R8" s="231"/>
      <c r="S8" s="229">
        <v>2321.1799999999998</v>
      </c>
      <c r="T8" s="230"/>
      <c r="U8" s="230"/>
      <c r="V8" s="231"/>
      <c r="W8" s="229">
        <v>3973.79</v>
      </c>
      <c r="X8" s="230"/>
      <c r="Y8" s="230"/>
      <c r="Z8" s="231"/>
      <c r="AA8" s="229">
        <v>2328.91</v>
      </c>
      <c r="AB8" s="230"/>
      <c r="AC8" s="230"/>
      <c r="AD8" s="231"/>
      <c r="AE8" s="229">
        <v>2318.6999999999998</v>
      </c>
      <c r="AF8" s="230"/>
      <c r="AG8" s="230"/>
      <c r="AH8" s="231"/>
      <c r="AI8" s="229"/>
      <c r="AJ8" s="230"/>
      <c r="AK8" s="230"/>
      <c r="AL8" s="231"/>
      <c r="AM8" s="229"/>
      <c r="AN8" s="230"/>
      <c r="AO8" s="230"/>
      <c r="AP8" s="231"/>
      <c r="AQ8" s="229"/>
      <c r="AR8" s="230"/>
      <c r="AS8" s="230"/>
      <c r="AT8" s="231"/>
      <c r="AU8" s="229"/>
      <c r="AV8" s="230"/>
      <c r="AW8" s="230"/>
      <c r="AX8" s="231"/>
      <c r="AY8" s="12">
        <f>SUM(C8:AU8)</f>
        <v>21862.48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17">
        <f>72.66+314.12</f>
        <v>386.78</v>
      </c>
      <c r="D9" s="218"/>
      <c r="E9" s="218"/>
      <c r="F9" s="219"/>
      <c r="G9" s="217">
        <f>176.46</f>
        <v>176.46</v>
      </c>
      <c r="H9" s="218"/>
      <c r="I9" s="218"/>
      <c r="J9" s="219"/>
      <c r="K9" s="217">
        <f>259.63+176.46</f>
        <v>436.09000000000003</v>
      </c>
      <c r="L9" s="218"/>
      <c r="M9" s="218"/>
      <c r="N9" s="219"/>
      <c r="O9" s="217">
        <f>249.22+197.22+325.64</f>
        <v>772.07999999999993</v>
      </c>
      <c r="P9" s="218"/>
      <c r="Q9" s="218"/>
      <c r="R9" s="219"/>
      <c r="S9" s="217">
        <f>155.7+267.29</f>
        <v>422.99</v>
      </c>
      <c r="T9" s="218"/>
      <c r="U9" s="218"/>
      <c r="V9" s="219"/>
      <c r="W9" s="217">
        <f>197.22</f>
        <v>197.22</v>
      </c>
      <c r="X9" s="218"/>
      <c r="Y9" s="218"/>
      <c r="Z9" s="219"/>
      <c r="AA9" s="217">
        <f>786.42+134.94+83.04</f>
        <v>1004.3999999999999</v>
      </c>
      <c r="AB9" s="218"/>
      <c r="AC9" s="218"/>
      <c r="AD9" s="219"/>
      <c r="AE9" s="217">
        <f>269.88</f>
        <v>269.88</v>
      </c>
      <c r="AF9" s="218"/>
      <c r="AG9" s="218"/>
      <c r="AH9" s="219"/>
      <c r="AI9" s="217">
        <v>280.26</v>
      </c>
      <c r="AJ9" s="218"/>
      <c r="AK9" s="218"/>
      <c r="AL9" s="219"/>
      <c r="AM9" s="217"/>
      <c r="AN9" s="218"/>
      <c r="AO9" s="218"/>
      <c r="AP9" s="219"/>
      <c r="AQ9" s="217"/>
      <c r="AR9" s="218"/>
      <c r="AS9" s="218"/>
      <c r="AT9" s="219"/>
      <c r="AU9" s="217"/>
      <c r="AV9" s="218"/>
      <c r="AW9" s="218"/>
      <c r="AX9" s="219"/>
      <c r="AY9" s="14">
        <f t="shared" ref="AY9:AY15" si="0">SUM(C9:AX9)</f>
        <v>3946.16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14">
        <v>90.43</v>
      </c>
      <c r="D10" s="215"/>
      <c r="E10" s="215"/>
      <c r="F10" s="216"/>
      <c r="G10" s="214">
        <f>1117.39-956.06</f>
        <v>161.33000000000015</v>
      </c>
      <c r="H10" s="215"/>
      <c r="I10" s="215"/>
      <c r="J10" s="216"/>
      <c r="K10" s="214">
        <v>285.58</v>
      </c>
      <c r="L10" s="215"/>
      <c r="M10" s="215"/>
      <c r="N10" s="216"/>
      <c r="O10" s="214">
        <f>275.29+42.8</f>
        <v>318.09000000000003</v>
      </c>
      <c r="P10" s="215"/>
      <c r="Q10" s="215"/>
      <c r="R10" s="216"/>
      <c r="S10" s="214">
        <f>421.56</f>
        <v>421.56</v>
      </c>
      <c r="T10" s="215"/>
      <c r="U10" s="215"/>
      <c r="V10" s="216"/>
      <c r="W10" s="214">
        <v>341.74</v>
      </c>
      <c r="X10" s="215"/>
      <c r="Y10" s="215"/>
      <c r="Z10" s="216"/>
      <c r="AA10" s="214">
        <v>234.71</v>
      </c>
      <c r="AB10" s="215"/>
      <c r="AC10" s="215"/>
      <c r="AD10" s="216"/>
      <c r="AE10" s="214">
        <v>83.23</v>
      </c>
      <c r="AF10" s="215"/>
      <c r="AG10" s="215"/>
      <c r="AH10" s="216"/>
      <c r="AI10" s="214">
        <v>300</v>
      </c>
      <c r="AJ10" s="215"/>
      <c r="AK10" s="215"/>
      <c r="AL10" s="216"/>
      <c r="AM10" s="214"/>
      <c r="AN10" s="215"/>
      <c r="AO10" s="215"/>
      <c r="AP10" s="216"/>
      <c r="AQ10" s="214"/>
      <c r="AR10" s="215"/>
      <c r="AS10" s="215"/>
      <c r="AT10" s="216"/>
      <c r="AU10" s="214"/>
      <c r="AV10" s="215"/>
      <c r="AW10" s="215"/>
      <c r="AX10" s="216"/>
      <c r="AY10" s="16">
        <f t="shared" si="0"/>
        <v>2236.67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17">
        <f>1.01+0.04+2831.41+0.05</f>
        <v>2832.51</v>
      </c>
      <c r="D11" s="218"/>
      <c r="E11" s="218"/>
      <c r="F11" s="219"/>
      <c r="G11" s="217"/>
      <c r="H11" s="218"/>
      <c r="I11" s="218"/>
      <c r="J11" s="219"/>
      <c r="K11" s="217"/>
      <c r="L11" s="218"/>
      <c r="M11" s="218"/>
      <c r="N11" s="219"/>
      <c r="O11" s="217">
        <v>0.03</v>
      </c>
      <c r="P11" s="218"/>
      <c r="Q11" s="218"/>
      <c r="R11" s="219"/>
      <c r="S11" s="217">
        <f>38.64</f>
        <v>38.64</v>
      </c>
      <c r="T11" s="218"/>
      <c r="U11" s="218"/>
      <c r="V11" s="219"/>
      <c r="W11" s="217"/>
      <c r="X11" s="218"/>
      <c r="Y11" s="218"/>
      <c r="Z11" s="219"/>
      <c r="AA11" s="217">
        <f>0.02</f>
        <v>0.02</v>
      </c>
      <c r="AB11" s="218"/>
      <c r="AC11" s="218"/>
      <c r="AD11" s="219"/>
      <c r="AE11" s="217"/>
      <c r="AF11" s="218"/>
      <c r="AG11" s="218"/>
      <c r="AH11" s="219"/>
      <c r="AI11" s="217"/>
      <c r="AJ11" s="218"/>
      <c r="AK11" s="218"/>
      <c r="AL11" s="219"/>
      <c r="AM11" s="217"/>
      <c r="AN11" s="218"/>
      <c r="AO11" s="218"/>
      <c r="AP11" s="219"/>
      <c r="AQ11" s="217"/>
      <c r="AR11" s="218"/>
      <c r="AS11" s="218"/>
      <c r="AT11" s="219"/>
      <c r="AU11" s="217"/>
      <c r="AV11" s="218"/>
      <c r="AW11" s="218"/>
      <c r="AX11" s="219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14">
        <f>700+50+449</f>
        <v>1199</v>
      </c>
      <c r="D12" s="215"/>
      <c r="E12" s="215"/>
      <c r="F12" s="216"/>
      <c r="G12" s="214">
        <v>447.43</v>
      </c>
      <c r="H12" s="215"/>
      <c r="I12" s="215"/>
      <c r="J12" s="216"/>
      <c r="K12" s="214"/>
      <c r="L12" s="215"/>
      <c r="M12" s="215"/>
      <c r="N12" s="216"/>
      <c r="O12" s="214">
        <f>80.1</f>
        <v>80.099999999999994</v>
      </c>
      <c r="P12" s="215"/>
      <c r="Q12" s="215"/>
      <c r="R12" s="216"/>
      <c r="S12" s="214"/>
      <c r="T12" s="215"/>
      <c r="U12" s="215"/>
      <c r="V12" s="216"/>
      <c r="W12" s="214">
        <f>200</f>
        <v>200</v>
      </c>
      <c r="X12" s="215"/>
      <c r="Y12" s="215"/>
      <c r="Z12" s="216"/>
      <c r="AA12" s="214">
        <f>106.3</f>
        <v>106.3</v>
      </c>
      <c r="AB12" s="215"/>
      <c r="AC12" s="215"/>
      <c r="AD12" s="216"/>
      <c r="AE12" s="214"/>
      <c r="AF12" s="215"/>
      <c r="AG12" s="215"/>
      <c r="AH12" s="216"/>
      <c r="AI12" s="214"/>
      <c r="AJ12" s="215"/>
      <c r="AK12" s="215"/>
      <c r="AL12" s="216"/>
      <c r="AM12" s="214"/>
      <c r="AN12" s="215"/>
      <c r="AO12" s="215"/>
      <c r="AP12" s="216"/>
      <c r="AQ12" s="214"/>
      <c r="AR12" s="215"/>
      <c r="AS12" s="215"/>
      <c r="AT12" s="216"/>
      <c r="AU12" s="214"/>
      <c r="AV12" s="215"/>
      <c r="AW12" s="215"/>
      <c r="AX12" s="216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17">
        <f>93.93</f>
        <v>93.93</v>
      </c>
      <c r="D13" s="218"/>
      <c r="E13" s="218"/>
      <c r="F13" s="219"/>
      <c r="G13" s="217">
        <f>93.93</f>
        <v>93.93</v>
      </c>
      <c r="H13" s="218"/>
      <c r="I13" s="218"/>
      <c r="J13" s="219"/>
      <c r="K13" s="217">
        <f>93.93</f>
        <v>93.93</v>
      </c>
      <c r="L13" s="218"/>
      <c r="M13" s="218"/>
      <c r="N13" s="219"/>
      <c r="O13" s="217">
        <f>93.93+2290.23</f>
        <v>2384.16</v>
      </c>
      <c r="P13" s="218"/>
      <c r="Q13" s="218"/>
      <c r="R13" s="219"/>
      <c r="S13" s="217">
        <f>93.93</f>
        <v>93.93</v>
      </c>
      <c r="T13" s="218"/>
      <c r="U13" s="218"/>
      <c r="V13" s="219"/>
      <c r="W13" s="217">
        <f>93.93</f>
        <v>93.93</v>
      </c>
      <c r="X13" s="218"/>
      <c r="Y13" s="218"/>
      <c r="Z13" s="219"/>
      <c r="AA13" s="217">
        <f>93.93</f>
        <v>93.93</v>
      </c>
      <c r="AB13" s="218"/>
      <c r="AC13" s="218"/>
      <c r="AD13" s="219"/>
      <c r="AE13" s="217">
        <v>114.74</v>
      </c>
      <c r="AF13" s="218"/>
      <c r="AG13" s="218"/>
      <c r="AH13" s="219"/>
      <c r="AI13" s="217">
        <v>93.93</v>
      </c>
      <c r="AJ13" s="218"/>
      <c r="AK13" s="218"/>
      <c r="AL13" s="219"/>
      <c r="AM13" s="217"/>
      <c r="AN13" s="218"/>
      <c r="AO13" s="218"/>
      <c r="AP13" s="219"/>
      <c r="AQ13" s="217"/>
      <c r="AR13" s="218"/>
      <c r="AS13" s="218"/>
      <c r="AT13" s="219"/>
      <c r="AU13" s="217"/>
      <c r="AV13" s="218"/>
      <c r="AW13" s="218"/>
      <c r="AX13" s="219"/>
      <c r="AY13" s="17">
        <f t="shared" si="0"/>
        <v>3156.4099999999989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14"/>
      <c r="D14" s="215"/>
      <c r="E14" s="215"/>
      <c r="F14" s="216"/>
      <c r="G14" s="214">
        <f>27.27+13.86+8.75+34.09</f>
        <v>83.97</v>
      </c>
      <c r="H14" s="215"/>
      <c r="I14" s="215"/>
      <c r="J14" s="216"/>
      <c r="K14" s="214"/>
      <c r="L14" s="215"/>
      <c r="M14" s="215"/>
      <c r="N14" s="216"/>
      <c r="O14" s="214">
        <f>25+27.27+16.9+26.12</f>
        <v>95.289999999999992</v>
      </c>
      <c r="P14" s="215"/>
      <c r="Q14" s="215"/>
      <c r="R14" s="216"/>
      <c r="S14" s="214">
        <f>22.09+27.27</f>
        <v>49.36</v>
      </c>
      <c r="T14" s="215"/>
      <c r="U14" s="215"/>
      <c r="V14" s="216"/>
      <c r="W14" s="214">
        <f>8.75+27.27+27.27</f>
        <v>63.289999999999992</v>
      </c>
      <c r="X14" s="215"/>
      <c r="Y14" s="215"/>
      <c r="Z14" s="216"/>
      <c r="AA14" s="214"/>
      <c r="AB14" s="215"/>
      <c r="AC14" s="215"/>
      <c r="AD14" s="216"/>
      <c r="AE14" s="214"/>
      <c r="AF14" s="215"/>
      <c r="AG14" s="215"/>
      <c r="AH14" s="216"/>
      <c r="AI14" s="214"/>
      <c r="AJ14" s="215"/>
      <c r="AK14" s="215"/>
      <c r="AL14" s="216"/>
      <c r="AM14" s="214"/>
      <c r="AN14" s="215"/>
      <c r="AO14" s="215"/>
      <c r="AP14" s="216"/>
      <c r="AQ14" s="214"/>
      <c r="AR14" s="215"/>
      <c r="AS14" s="215"/>
      <c r="AT14" s="216"/>
      <c r="AU14" s="214"/>
      <c r="AV14" s="215"/>
      <c r="AW14" s="215"/>
      <c r="AX14" s="216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17">
        <v>648.49</v>
      </c>
      <c r="D15" s="218"/>
      <c r="E15" s="218"/>
      <c r="F15" s="219"/>
      <c r="G15" s="217">
        <v>550</v>
      </c>
      <c r="H15" s="218"/>
      <c r="I15" s="218"/>
      <c r="J15" s="219"/>
      <c r="K15" s="217">
        <v>690</v>
      </c>
      <c r="L15" s="218"/>
      <c r="M15" s="218"/>
      <c r="N15" s="219"/>
      <c r="O15" s="217">
        <f>550</f>
        <v>550</v>
      </c>
      <c r="P15" s="218"/>
      <c r="Q15" s="218"/>
      <c r="R15" s="219"/>
      <c r="S15" s="217">
        <v>650.01</v>
      </c>
      <c r="T15" s="218"/>
      <c r="U15" s="218"/>
      <c r="V15" s="219"/>
      <c r="W15" s="217">
        <v>568.34</v>
      </c>
      <c r="X15" s="218"/>
      <c r="Y15" s="218"/>
      <c r="Z15" s="219"/>
      <c r="AA15" s="217">
        <v>632.86</v>
      </c>
      <c r="AB15" s="218"/>
      <c r="AC15" s="218"/>
      <c r="AD15" s="219"/>
      <c r="AE15" s="217">
        <v>550</v>
      </c>
      <c r="AF15" s="218"/>
      <c r="AG15" s="218"/>
      <c r="AH15" s="219"/>
      <c r="AI15" s="217">
        <v>586.85</v>
      </c>
      <c r="AJ15" s="218"/>
      <c r="AK15" s="218"/>
      <c r="AL15" s="219"/>
      <c r="AM15" s="217"/>
      <c r="AN15" s="218"/>
      <c r="AO15" s="218"/>
      <c r="AP15" s="219"/>
      <c r="AQ15" s="217"/>
      <c r="AR15" s="218"/>
      <c r="AS15" s="218"/>
      <c r="AT15" s="219"/>
      <c r="AU15" s="217"/>
      <c r="AV15" s="218"/>
      <c r="AW15" s="218"/>
      <c r="AX15" s="219"/>
      <c r="AY15" s="14">
        <f t="shared" si="0"/>
        <v>5426.55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33">
        <f>28.78+200.62+1566.27</f>
        <v>1795.67</v>
      </c>
      <c r="D16" s="234"/>
      <c r="E16" s="234"/>
      <c r="F16" s="235"/>
      <c r="G16" s="233">
        <f>47.52</f>
        <v>47.52</v>
      </c>
      <c r="H16" s="234"/>
      <c r="I16" s="234"/>
      <c r="J16" s="235"/>
      <c r="K16" s="233"/>
      <c r="L16" s="234"/>
      <c r="M16" s="234"/>
      <c r="N16" s="235"/>
      <c r="O16" s="233"/>
      <c r="P16" s="234"/>
      <c r="Q16" s="234"/>
      <c r="R16" s="235"/>
      <c r="S16" s="233"/>
      <c r="T16" s="234"/>
      <c r="U16" s="234"/>
      <c r="V16" s="235"/>
      <c r="W16" s="233"/>
      <c r="X16" s="234"/>
      <c r="Y16" s="234"/>
      <c r="Z16" s="235"/>
      <c r="AA16" s="233">
        <v>26.77</v>
      </c>
      <c r="AB16" s="234"/>
      <c r="AC16" s="234"/>
      <c r="AD16" s="235"/>
      <c r="AE16" s="233">
        <v>49</v>
      </c>
      <c r="AF16" s="234"/>
      <c r="AG16" s="234"/>
      <c r="AH16" s="235"/>
      <c r="AI16" s="233"/>
      <c r="AJ16" s="234"/>
      <c r="AK16" s="234"/>
      <c r="AL16" s="235"/>
      <c r="AM16" s="233"/>
      <c r="AN16" s="234"/>
      <c r="AO16" s="234"/>
      <c r="AP16" s="235"/>
      <c r="AQ16" s="233"/>
      <c r="AR16" s="234"/>
      <c r="AS16" s="234"/>
      <c r="AT16" s="235"/>
      <c r="AU16" s="233"/>
      <c r="AV16" s="234"/>
      <c r="AW16" s="234"/>
      <c r="AX16" s="235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6">
        <f>SUM(C8:C16)</f>
        <v>9364.27</v>
      </c>
      <c r="D17" s="237"/>
      <c r="E17" s="237"/>
      <c r="F17" s="238"/>
      <c r="G17" s="236">
        <f>SUM(G8:G16)</f>
        <v>5516.3400000000011</v>
      </c>
      <c r="H17" s="237"/>
      <c r="I17" s="237"/>
      <c r="J17" s="238"/>
      <c r="K17" s="236">
        <f>SUM(K8:K16)</f>
        <v>3826.44</v>
      </c>
      <c r="L17" s="237"/>
      <c r="M17" s="237"/>
      <c r="N17" s="238"/>
      <c r="O17" s="236">
        <f>SUM(O8:O16)</f>
        <v>6525.6500000000005</v>
      </c>
      <c r="P17" s="237"/>
      <c r="Q17" s="237"/>
      <c r="R17" s="238"/>
      <c r="S17" s="236">
        <f>SUM(S8:S16)</f>
        <v>3997.67</v>
      </c>
      <c r="T17" s="237"/>
      <c r="U17" s="237"/>
      <c r="V17" s="238"/>
      <c r="W17" s="236">
        <f>SUM(W8:W16)</f>
        <v>5438.31</v>
      </c>
      <c r="X17" s="237"/>
      <c r="Y17" s="237"/>
      <c r="Z17" s="238"/>
      <c r="AA17" s="236">
        <f>SUM(AA8:AA16)</f>
        <v>4427.8999999999996</v>
      </c>
      <c r="AB17" s="237"/>
      <c r="AC17" s="237"/>
      <c r="AD17" s="238"/>
      <c r="AE17" s="236">
        <f>SUM(AE8:AE16)</f>
        <v>3385.5499999999997</v>
      </c>
      <c r="AF17" s="237"/>
      <c r="AG17" s="237"/>
      <c r="AH17" s="238"/>
      <c r="AI17" s="236">
        <f>SUM(AI8:AI16)</f>
        <v>1261.04</v>
      </c>
      <c r="AJ17" s="237"/>
      <c r="AK17" s="237"/>
      <c r="AL17" s="238"/>
      <c r="AM17" s="236">
        <f>SUM(AM8:AM16)</f>
        <v>0</v>
      </c>
      <c r="AN17" s="237"/>
      <c r="AO17" s="237"/>
      <c r="AP17" s="238"/>
      <c r="AQ17" s="236">
        <f>SUM(AQ8:AQ16)</f>
        <v>0</v>
      </c>
      <c r="AR17" s="237"/>
      <c r="AS17" s="237"/>
      <c r="AT17" s="238"/>
      <c r="AU17" s="236">
        <f>SUM(AU8:AU16)</f>
        <v>0</v>
      </c>
      <c r="AV17" s="237"/>
      <c r="AW17" s="237"/>
      <c r="AX17" s="238"/>
      <c r="AY17" s="18">
        <f>SUM(AY8:AY16)</f>
        <v>43743.17</v>
      </c>
      <c r="AZ17" s="2">
        <f ca="1">AY17/BB$17</f>
        <v>4860.3522222222218</v>
      </c>
      <c r="BA17" s="1" t="s">
        <v>117</v>
      </c>
      <c r="BB17" s="1">
        <f ca="1">MONTH(TODAY())</f>
        <v>9</v>
      </c>
      <c r="BC17" s="123"/>
    </row>
    <row r="18" spans="1:55" ht="32.25" customHeight="1" thickTop="1" thickBot="1">
      <c r="A18" s="19"/>
      <c r="B18" s="1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 t="s">
        <v>480</v>
      </c>
      <c r="AV18" s="239"/>
      <c r="AW18" s="239"/>
      <c r="AX18" s="239"/>
      <c r="AY18" s="188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500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8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456.68</v>
      </c>
      <c r="AL20" s="83">
        <f t="shared" ref="AL20:AL45" si="9">AH20+AJ20-AK20</f>
        <v>670.9699999999998</v>
      </c>
      <c r="AM20" s="26" t="s">
        <v>109</v>
      </c>
      <c r="AN20" s="58">
        <f>'10'!B20</f>
        <v>562.14</v>
      </c>
      <c r="AO20" s="58">
        <f>SUM('10'!D20:F20)</f>
        <v>0</v>
      </c>
      <c r="AP20" s="83">
        <f t="shared" ref="AP20:AP45" si="10">AL20+AN20-AO20</f>
        <v>1233.1099999999997</v>
      </c>
      <c r="AQ20" s="26" t="s">
        <v>114</v>
      </c>
      <c r="AR20" s="58">
        <f>'11'!B20</f>
        <v>534</v>
      </c>
      <c r="AS20" s="58">
        <f>SUM('11'!D20:F20)</f>
        <v>0</v>
      </c>
      <c r="AT20" s="83">
        <f t="shared" ref="AT20:AT45" si="11">AP20+AR20-AS20</f>
        <v>1767.1099999999997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2036.1099999999997</v>
      </c>
      <c r="AY20" s="40">
        <f t="shared" ref="AY20:AY27" si="13">E20+I20+M20+Q20+U20+Y20+AC20+AG20+AK20+AO20+AS20+AW20</f>
        <v>6099.9</v>
      </c>
      <c r="AZ20" s="41">
        <f t="shared" ref="AZ20:AZ45" si="14">AY20/AY$46</f>
        <v>0.16222715471777596</v>
      </c>
      <c r="BA20" s="42">
        <f>_xlfn.RANK.EQ(AZ20,$AZ$20:$AZ$45,)</f>
        <v>2</v>
      </c>
      <c r="BB20" s="42">
        <f t="shared" ref="BB20:BB45" ca="1" si="15">AY20/BB$17</f>
        <v>677.76666666666665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8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5185.5599999999995</v>
      </c>
      <c r="AY21" s="45">
        <f t="shared" si="13"/>
        <v>8777.36</v>
      </c>
      <c r="AZ21" s="41">
        <f t="shared" si="14"/>
        <v>0.23343434133897573</v>
      </c>
      <c r="BA21" s="42">
        <f t="shared" ref="BA21:BA45" si="16">_xlfn.RANK.EQ(AZ21,$AZ$20:$AZ$45,)</f>
        <v>1</v>
      </c>
      <c r="BB21" s="42">
        <f t="shared" ca="1" si="15"/>
        <v>975.26222222222225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415.88999999999993</v>
      </c>
      <c r="AH22" s="85">
        <f t="shared" si="8"/>
        <v>95.840000000000146</v>
      </c>
      <c r="AI22" s="26" t="s">
        <v>108</v>
      </c>
      <c r="AJ22" s="59">
        <f>'09'!B60</f>
        <v>460</v>
      </c>
      <c r="AK22" s="59">
        <f>SUM('09'!D60:F60)</f>
        <v>173.57</v>
      </c>
      <c r="AL22" s="85">
        <f t="shared" si="9"/>
        <v>382.27000000000015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882.27000000000021</v>
      </c>
      <c r="AQ22" s="26" t="s">
        <v>114</v>
      </c>
      <c r="AR22" s="59">
        <f>'11'!B60</f>
        <v>500</v>
      </c>
      <c r="AS22" s="59">
        <f>SUM('11'!D60:F60)</f>
        <v>0</v>
      </c>
      <c r="AT22" s="85">
        <f t="shared" si="11"/>
        <v>1382.2700000000002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1892.2700000000002</v>
      </c>
      <c r="AY22" s="43">
        <f t="shared" si="13"/>
        <v>3687.19</v>
      </c>
      <c r="AZ22" s="41">
        <f t="shared" si="14"/>
        <v>9.8061007984366358E-2</v>
      </c>
      <c r="BA22" s="42">
        <f t="shared" si="16"/>
        <v>3</v>
      </c>
      <c r="BB22" s="42">
        <f t="shared" ca="1" si="15"/>
        <v>409.6877777777778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8"/>
        <v>-59.039999999999992</v>
      </c>
      <c r="AI23" s="27" t="s">
        <v>108</v>
      </c>
      <c r="AJ23" s="62">
        <f>'09'!B80</f>
        <v>150</v>
      </c>
      <c r="AK23" s="63">
        <f>SUM('09'!D80:F80)</f>
        <v>35.619999999999997</v>
      </c>
      <c r="AL23" s="84">
        <f t="shared" si="9"/>
        <v>55.340000000000011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205.34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355.34000000000003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505.34000000000003</v>
      </c>
      <c r="AY23" s="45">
        <f t="shared" si="13"/>
        <v>1687.7599999999998</v>
      </c>
      <c r="AZ23" s="41">
        <f t="shared" si="14"/>
        <v>4.4886064139817619E-2</v>
      </c>
      <c r="BA23" s="42">
        <f t="shared" si="16"/>
        <v>7</v>
      </c>
      <c r="BB23" s="42">
        <f t="shared" ca="1" si="15"/>
        <v>187.52888888888887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8"/>
        <v>23.150000000000034</v>
      </c>
      <c r="AI24" s="26" t="s">
        <v>108</v>
      </c>
      <c r="AJ24" s="59">
        <f>'09'!B100</f>
        <v>150</v>
      </c>
      <c r="AK24" s="59">
        <f>SUM('09'!D100:F100)</f>
        <v>55.97</v>
      </c>
      <c r="AL24" s="85">
        <f t="shared" si="9"/>
        <v>117.18000000000004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267.18000000000006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417.18000000000006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567.18000000000006</v>
      </c>
      <c r="AY24" s="43">
        <f t="shared" si="13"/>
        <v>1297.3800000000001</v>
      </c>
      <c r="AZ24" s="41">
        <f t="shared" si="14"/>
        <v>3.4503887930580533E-2</v>
      </c>
      <c r="BA24" s="42">
        <f t="shared" si="16"/>
        <v>9</v>
      </c>
      <c r="BB24" s="42">
        <f t="shared" ca="1" si="15"/>
        <v>144.15333333333334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328.82000000000005</v>
      </c>
      <c r="AL25" s="84">
        <f t="shared" si="9"/>
        <v>3715.4399999999982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4115.4399999999987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4515.4399999999987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4915.4399999999987</v>
      </c>
      <c r="AY25" s="45">
        <f t="shared" si="13"/>
        <v>2959.380000000001</v>
      </c>
      <c r="AZ25" s="41">
        <f t="shared" si="14"/>
        <v>7.8704863543450215E-2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7.99</v>
      </c>
      <c r="AL26" s="85">
        <f t="shared" si="9"/>
        <v>69.519999999999968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117.51999999999997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165.51999999999998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213.51999999999998</v>
      </c>
      <c r="AY26" s="43">
        <f t="shared" si="13"/>
        <v>387.95000000000005</v>
      </c>
      <c r="AZ26" s="41">
        <f t="shared" si="14"/>
        <v>1.0317550234063048E-2</v>
      </c>
      <c r="BA26" s="42">
        <f t="shared" si="16"/>
        <v>15</v>
      </c>
      <c r="BB26" s="42">
        <f t="shared" ca="1" si="15"/>
        <v>43.105555555555561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8.985404103829208E-3</v>
      </c>
      <c r="BA27" s="42">
        <f t="shared" si="16"/>
        <v>16</v>
      </c>
      <c r="BB27" s="42">
        <f t="shared" ca="1" si="15"/>
        <v>37.54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304.88</v>
      </c>
      <c r="AH28" s="87">
        <f t="shared" si="8"/>
        <v>379.78000000000009</v>
      </c>
      <c r="AI28" s="26" t="s">
        <v>108</v>
      </c>
      <c r="AJ28" s="59">
        <f>'09'!B180</f>
        <v>200</v>
      </c>
      <c r="AK28" s="59">
        <f>SUM('09'!D180:F180)</f>
        <v>1038.21</v>
      </c>
      <c r="AL28" s="87">
        <f t="shared" si="9"/>
        <v>-458.42999999999995</v>
      </c>
      <c r="AM28" s="26" t="s">
        <v>109</v>
      </c>
      <c r="AN28" s="59">
        <f>'10'!B180</f>
        <v>240</v>
      </c>
      <c r="AO28" s="59">
        <f>SUM('10'!D180:F180)</f>
        <v>0</v>
      </c>
      <c r="AP28" s="87">
        <f t="shared" si="10"/>
        <v>-218.42999999999995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-18.42999999999995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181.57000000000005</v>
      </c>
      <c r="AY28" s="40">
        <f t="shared" ref="AY28:AY45" si="17">E28+I28+M28+Q28+U28+Y28+AC28+AG28+AK28+AO28+AS28+AW28</f>
        <v>3498.32</v>
      </c>
      <c r="AZ28" s="41">
        <f t="shared" si="14"/>
        <v>9.3038000605303373E-2</v>
      </c>
      <c r="BA28" s="42">
        <f t="shared" si="16"/>
        <v>4</v>
      </c>
      <c r="BB28" s="42">
        <f t="shared" ca="1" si="15"/>
        <v>388.70222222222225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8"/>
        <v>45.000000000000057</v>
      </c>
      <c r="AI29" s="27" t="s">
        <v>108</v>
      </c>
      <c r="AJ29" s="62">
        <f>'09'!B200</f>
        <v>70</v>
      </c>
      <c r="AK29" s="63">
        <f>SUM('09'!D200:F200)</f>
        <v>33.799999999999997</v>
      </c>
      <c r="AL29" s="88">
        <f t="shared" si="9"/>
        <v>81.20000000000006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151.20000000000005</v>
      </c>
      <c r="AQ29" s="27" t="s">
        <v>114</v>
      </c>
      <c r="AR29" s="62">
        <f>'11'!B200</f>
        <v>70</v>
      </c>
      <c r="AS29" s="63">
        <f>SUM('11'!D200:F200)</f>
        <v>0</v>
      </c>
      <c r="AT29" s="88">
        <f t="shared" si="11"/>
        <v>221.20000000000005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281.20000000000005</v>
      </c>
      <c r="AY29" s="45">
        <f t="shared" si="17"/>
        <v>809.12999999999988</v>
      </c>
      <c r="AZ29" s="41">
        <f t="shared" si="14"/>
        <v>2.1518854029868365E-2</v>
      </c>
      <c r="BA29" s="42">
        <f t="shared" si="16"/>
        <v>11</v>
      </c>
      <c r="BB29" s="42">
        <f t="shared" ca="1" si="15"/>
        <v>89.903333333333322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8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137.66000000000003</v>
      </c>
      <c r="AY30" s="43">
        <f t="shared" si="17"/>
        <v>326.21000000000004</v>
      </c>
      <c r="AZ30" s="41">
        <f t="shared" si="14"/>
        <v>8.6755717537149307E-3</v>
      </c>
      <c r="BA30" s="42">
        <f t="shared" si="16"/>
        <v>17</v>
      </c>
      <c r="BB30" s="42">
        <f t="shared" ca="1" si="15"/>
        <v>36.245555555555562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20</v>
      </c>
      <c r="AK31" s="63">
        <f>SUM('09'!D240:F240)</f>
        <v>20</v>
      </c>
      <c r="AL31" s="88">
        <f t="shared" si="9"/>
        <v>97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0"/>
        <v>117</v>
      </c>
      <c r="AQ31" s="27" t="s">
        <v>114</v>
      </c>
      <c r="AR31" s="62">
        <f>'11'!B240</f>
        <v>20</v>
      </c>
      <c r="AS31" s="63">
        <f>SUM('11'!D240:F240)</f>
        <v>0</v>
      </c>
      <c r="AT31" s="88">
        <f t="shared" si="11"/>
        <v>137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162</v>
      </c>
      <c r="AY31" s="45">
        <f t="shared" si="17"/>
        <v>655</v>
      </c>
      <c r="AZ31" s="41">
        <f t="shared" si="14"/>
        <v>1.7419758740330703E-2</v>
      </c>
      <c r="BA31" s="42">
        <f t="shared" si="16"/>
        <v>13</v>
      </c>
      <c r="BB31" s="42">
        <f t="shared" ca="1" si="15"/>
        <v>72.777777777777771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10.4</v>
      </c>
      <c r="AL32" s="89">
        <f t="shared" si="9"/>
        <v>53.970000000000006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103.97</v>
      </c>
      <c r="AQ32" s="26" t="s">
        <v>114</v>
      </c>
      <c r="AR32" s="59">
        <f>'11'!B260</f>
        <v>50</v>
      </c>
      <c r="AS32" s="59">
        <f>SUM('11'!D260:F260)</f>
        <v>0</v>
      </c>
      <c r="AT32" s="89">
        <f t="shared" si="11"/>
        <v>153.97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233.97</v>
      </c>
      <c r="AY32" s="43">
        <f t="shared" si="17"/>
        <v>1092.6200000000003</v>
      </c>
      <c r="AZ32" s="41">
        <f t="shared" si="14"/>
        <v>2.9058285182992579E-2</v>
      </c>
      <c r="BA32" s="42">
        <f t="shared" si="16"/>
        <v>10</v>
      </c>
      <c r="BB32" s="42">
        <f t="shared" ca="1" si="15"/>
        <v>121.40222222222226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50</v>
      </c>
      <c r="AS33" s="63">
        <f>SUM('11'!D280:F280)</f>
        <v>0</v>
      </c>
      <c r="AT33" s="88">
        <f t="shared" si="11"/>
        <v>320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380</v>
      </c>
      <c r="AY33" s="45">
        <f t="shared" si="17"/>
        <v>31.54</v>
      </c>
      <c r="AZ33" s="41">
        <f t="shared" si="14"/>
        <v>8.3880792468706922E-4</v>
      </c>
      <c r="BA33" s="42">
        <f t="shared" si="16"/>
        <v>22</v>
      </c>
      <c r="BB33" s="42">
        <f t="shared" ca="1" si="15"/>
        <v>3.5044444444444443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100</v>
      </c>
      <c r="AK34" s="59">
        <f>SUM('09'!D300:F300)</f>
        <v>0</v>
      </c>
      <c r="AL34" s="89">
        <f t="shared" si="9"/>
        <v>549.42999999999995</v>
      </c>
      <c r="AM34" s="26" t="s">
        <v>109</v>
      </c>
      <c r="AN34" s="59">
        <f>'10'!B300</f>
        <v>60</v>
      </c>
      <c r="AO34" s="59">
        <f>SUM('10'!D300:F300)</f>
        <v>0</v>
      </c>
      <c r="AP34" s="89">
        <f t="shared" si="10"/>
        <v>609.42999999999995</v>
      </c>
      <c r="AQ34" s="26" t="s">
        <v>114</v>
      </c>
      <c r="AR34" s="59">
        <f>'11'!B300</f>
        <v>100</v>
      </c>
      <c r="AS34" s="59">
        <f>SUM('11'!D300:F300)</f>
        <v>0</v>
      </c>
      <c r="AT34" s="89">
        <f t="shared" si="11"/>
        <v>709.43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829.43</v>
      </c>
      <c r="AY34" s="43">
        <f>E34+I34+M34+Q34+U34+Y34+AC34+AG34+AK34+AO34+AS34+AW34+(E36+I36+M36)</f>
        <v>2591.75</v>
      </c>
      <c r="AZ34" s="41">
        <f t="shared" si="14"/>
        <v>6.8927724756110073E-2</v>
      </c>
      <c r="BA34" s="42">
        <f t="shared" si="16"/>
        <v>6</v>
      </c>
      <c r="BB34" s="42">
        <f t="shared" ca="1" si="15"/>
        <v>287.97222222222223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8"/>
        <v>1366.0000000000002</v>
      </c>
      <c r="AI35" s="27" t="s">
        <v>108</v>
      </c>
      <c r="AJ35" s="62">
        <f>'09'!B320</f>
        <v>110</v>
      </c>
      <c r="AK35" s="62">
        <f>SUM('09'!D320:F320)</f>
        <v>60.370000000000005</v>
      </c>
      <c r="AL35" s="86">
        <f t="shared" si="9"/>
        <v>1415.63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0"/>
        <v>1525.63</v>
      </c>
      <c r="AQ35" s="27" t="s">
        <v>114</v>
      </c>
      <c r="AR35" s="62">
        <f>'11'!B320</f>
        <v>110</v>
      </c>
      <c r="AS35" s="62">
        <f>SUM('11'!D320:F320)</f>
        <v>0</v>
      </c>
      <c r="AT35" s="86">
        <f t="shared" si="11"/>
        <v>1635.63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1735.63</v>
      </c>
      <c r="AY35" s="45">
        <f t="shared" si="17"/>
        <v>1573.4700000000003</v>
      </c>
      <c r="AZ35" s="41">
        <f t="shared" si="14"/>
        <v>4.1846515702516268E-2</v>
      </c>
      <c r="BA35" s="42">
        <f t="shared" si="16"/>
        <v>8</v>
      </c>
      <c r="BB35" s="42">
        <f t="shared" ca="1" si="15"/>
        <v>174.83000000000004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8"/>
        <v>85.670000000000044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175.67000000000004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265.67000000000007</v>
      </c>
      <c r="AQ36" s="26" t="s">
        <v>114</v>
      </c>
      <c r="AR36" s="64">
        <f>'11'!B340</f>
        <v>90</v>
      </c>
      <c r="AS36" s="64">
        <f>SUM('11'!D340:F340)</f>
        <v>0</v>
      </c>
      <c r="AT36" s="85">
        <f t="shared" si="11"/>
        <v>355.67000000000007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425.69000000000005</v>
      </c>
      <c r="AY36" s="40">
        <f>Q36+U36+Y36+AC36+AG36+AK36+AO36+AS36+AW36</f>
        <v>270.06000000000006</v>
      </c>
      <c r="AZ36" s="41">
        <f t="shared" si="14"/>
        <v>7.1822596113186423E-3</v>
      </c>
      <c r="BA36" s="42">
        <f t="shared" si="16"/>
        <v>18</v>
      </c>
      <c r="BB36" s="42">
        <f t="shared" ca="1" si="15"/>
        <v>30.006666666666675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60</v>
      </c>
      <c r="AK37" s="60">
        <f>SUM('09'!D360:F360)</f>
        <v>65</v>
      </c>
      <c r="AL37" s="84">
        <f t="shared" si="9"/>
        <v>211.38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0"/>
        <v>271.38</v>
      </c>
      <c r="AQ37" s="27" t="s">
        <v>114</v>
      </c>
      <c r="AR37" s="60">
        <f>'11'!B360</f>
        <v>40</v>
      </c>
      <c r="AS37" s="60">
        <f>SUM('11'!D360:F360)</f>
        <v>0</v>
      </c>
      <c r="AT37" s="84">
        <f t="shared" si="11"/>
        <v>311.38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361.38</v>
      </c>
      <c r="AY37" s="45">
        <f t="shared" si="17"/>
        <v>567.13</v>
      </c>
      <c r="AZ37" s="41">
        <f t="shared" si="14"/>
        <v>1.5082851563975192E-2</v>
      </c>
      <c r="BA37" s="42">
        <f t="shared" si="16"/>
        <v>14</v>
      </c>
      <c r="BB37" s="42">
        <f t="shared" ca="1" si="15"/>
        <v>63.014444444444443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139.63999999999999</v>
      </c>
      <c r="AH38" s="85">
        <f t="shared" si="8"/>
        <v>-69.989999999999966</v>
      </c>
      <c r="AI38" s="26" t="s">
        <v>108</v>
      </c>
      <c r="AJ38" s="61">
        <f>'09'!B380</f>
        <v>70</v>
      </c>
      <c r="AK38" s="61">
        <f>SUM('09'!D380:F380)</f>
        <v>10</v>
      </c>
      <c r="AL38" s="85">
        <f t="shared" si="9"/>
        <v>-9.9899999999999665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60.010000000000034</v>
      </c>
      <c r="AQ38" s="26" t="s">
        <v>114</v>
      </c>
      <c r="AR38" s="61">
        <f>'11'!B380</f>
        <v>70</v>
      </c>
      <c r="AS38" s="61">
        <f>SUM('11'!D380:F380)</f>
        <v>0</v>
      </c>
      <c r="AT38" s="85">
        <f t="shared" si="11"/>
        <v>130.01000000000005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190.01000000000005</v>
      </c>
      <c r="AY38" s="43">
        <f t="shared" si="17"/>
        <v>660.78</v>
      </c>
      <c r="AZ38" s="41">
        <f t="shared" si="14"/>
        <v>1.7573478138069802E-2</v>
      </c>
      <c r="BA38" s="42">
        <f t="shared" si="16"/>
        <v>12</v>
      </c>
      <c r="BB38" s="42">
        <f t="shared" ca="1" si="15"/>
        <v>73.42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23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30</v>
      </c>
      <c r="AS40" s="61">
        <f>SUM('11'!D420:F420)</f>
        <v>0</v>
      </c>
      <c r="AT40" s="85">
        <f t="shared" si="11"/>
        <v>758.89000000000044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758.89000000000044</v>
      </c>
      <c r="AY40" s="43">
        <f t="shared" si="17"/>
        <v>118.89</v>
      </c>
      <c r="AZ40" s="41">
        <f t="shared" si="14"/>
        <v>3.1618856742563622E-3</v>
      </c>
      <c r="BA40" s="42">
        <f t="shared" si="16"/>
        <v>19</v>
      </c>
      <c r="BB40" s="42">
        <f t="shared" ca="1" si="15"/>
        <v>13.21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-1589.8899999999999</v>
      </c>
      <c r="AG41" s="60">
        <f>SUM('08'!D440:F440)</f>
        <v>0</v>
      </c>
      <c r="AH41" s="84">
        <f t="shared" si="8"/>
        <v>7699.2799999999988</v>
      </c>
      <c r="AI41" s="27" t="s">
        <v>108</v>
      </c>
      <c r="AJ41" s="60">
        <f>'09'!B440</f>
        <v>-2747.67</v>
      </c>
      <c r="AK41" s="60">
        <f>SUM('09'!D440:F440)</f>
        <v>0</v>
      </c>
      <c r="AL41" s="84">
        <f t="shared" si="9"/>
        <v>4951.6099999999988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4951.6099999999988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1"/>
        <v>4951.6099999999988</v>
      </c>
      <c r="AU41" s="27" t="s">
        <v>118</v>
      </c>
      <c r="AV41" s="60">
        <f>'12'!B440</f>
        <v>3385.5499999999997</v>
      </c>
      <c r="AW41" s="60">
        <f>SUM('12'!D440:F440)</f>
        <v>0</v>
      </c>
      <c r="AX41" s="84">
        <f t="shared" si="12"/>
        <v>8337.159999999998</v>
      </c>
      <c r="AY41" s="45">
        <f t="shared" si="17"/>
        <v>0</v>
      </c>
      <c r="AZ41" s="41">
        <f t="shared" si="14"/>
        <v>0</v>
      </c>
      <c r="BA41" s="42">
        <f t="shared" si="16"/>
        <v>23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23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56</v>
      </c>
      <c r="AK43" s="62">
        <f>SUM('09'!D480:F480)</f>
        <v>100</v>
      </c>
      <c r="AL43" s="84">
        <f t="shared" si="9"/>
        <v>271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0"/>
        <v>326</v>
      </c>
      <c r="AQ43" s="27" t="s">
        <v>114</v>
      </c>
      <c r="AR43" s="62">
        <f>'11'!B480</f>
        <v>55</v>
      </c>
      <c r="AS43" s="62">
        <f>SUM('11'!D480:F480)</f>
        <v>0</v>
      </c>
      <c r="AT43" s="84">
        <f t="shared" si="11"/>
        <v>381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696</v>
      </c>
      <c r="AY43" s="45">
        <f t="shared" si="17"/>
        <v>100</v>
      </c>
      <c r="AZ43" s="41">
        <f t="shared" si="14"/>
        <v>2.659505151195527E-3</v>
      </c>
      <c r="BA43" s="42">
        <f t="shared" si="16"/>
        <v>20</v>
      </c>
      <c r="BB43" s="42">
        <f t="shared" ca="1" si="15"/>
        <v>11.111111111111111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23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1.8962271728024107E-3</v>
      </c>
      <c r="BA45" s="42">
        <f t="shared" si="16"/>
        <v>21</v>
      </c>
      <c r="BB45" s="42">
        <f t="shared" ca="1" si="15"/>
        <v>7.9222222222222216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3385.5500000000006</v>
      </c>
      <c r="AG46" s="115">
        <f>SUM(AG20:AG45)</f>
        <v>3261.04</v>
      </c>
      <c r="AH46" s="116">
        <f>SUM(AH20:AH45)</f>
        <v>24613.26</v>
      </c>
      <c r="AI46" s="114"/>
      <c r="AJ46" s="115">
        <f>SUM(AJ20:AJ45)</f>
        <v>1261.04</v>
      </c>
      <c r="AK46" s="115">
        <f>SUM(AK20:AK45)</f>
        <v>2396.4300000000003</v>
      </c>
      <c r="AL46" s="116">
        <f>SUM(AL20:AL45)</f>
        <v>23477.869999999995</v>
      </c>
      <c r="AM46" s="114"/>
      <c r="AN46" s="115">
        <f>SUM(AN20:AN45)</f>
        <v>3928.14</v>
      </c>
      <c r="AO46" s="115">
        <f>SUM(AO20:AO45)</f>
        <v>0</v>
      </c>
      <c r="AP46" s="116">
        <f>SUM(AP20:AP45)</f>
        <v>27406.01</v>
      </c>
      <c r="AQ46" s="114"/>
      <c r="AR46" s="115">
        <f>SUM(AR20:AR45)</f>
        <v>3900</v>
      </c>
      <c r="AS46" s="115">
        <f>SUM(AS20:AS45)-AS40</f>
        <v>0</v>
      </c>
      <c r="AT46" s="116">
        <f>SUM(AT20:AT45)</f>
        <v>31306.01</v>
      </c>
      <c r="AU46" s="114"/>
      <c r="AV46" s="115">
        <f>SUM(AV20:AV45)</f>
        <v>7285.57</v>
      </c>
      <c r="AW46" s="115">
        <f>SUM(AW20:AW45)-AW40</f>
        <v>0</v>
      </c>
      <c r="AX46" s="116">
        <f>SUM(AX20:AX45)</f>
        <v>38591.579999999994</v>
      </c>
      <c r="AY46" s="28">
        <f>SUM(AY20:AY45)</f>
        <v>37600.980000000003</v>
      </c>
      <c r="AZ46" s="1"/>
      <c r="BA46" s="1"/>
      <c r="BB46" s="29">
        <f ca="1">SUM(BB20:BB45)</f>
        <v>4177.8866666666672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124.50999999999976</v>
      </c>
      <c r="AH47" s="82"/>
      <c r="AI47" s="82">
        <f>AI5-AH46</f>
        <v>0</v>
      </c>
      <c r="AJ47" s="82">
        <f>AI17-AJ46</f>
        <v>0</v>
      </c>
      <c r="AK47" s="82">
        <f>AI17-AK46</f>
        <v>-1135.3900000000003</v>
      </c>
      <c r="AL47" s="82"/>
      <c r="AM47" s="82">
        <f>AM5-AL46</f>
        <v>-8925.9799999999941</v>
      </c>
      <c r="AN47" s="82">
        <f>AM17-AN46</f>
        <v>-3928.14</v>
      </c>
      <c r="AO47" s="82">
        <f>AM17-AO46</f>
        <v>0</v>
      </c>
      <c r="AP47" s="82"/>
      <c r="AQ47" s="82">
        <f>AQ5-AP46</f>
        <v>-12854.119999999997</v>
      </c>
      <c r="AR47" s="82">
        <f>AQ17-AR46</f>
        <v>-3900</v>
      </c>
      <c r="AS47" s="82">
        <f>AQ17-AS46</f>
        <v>0</v>
      </c>
      <c r="AT47" s="82"/>
      <c r="AU47" s="82">
        <f>AU5-AT46</f>
        <v>-17754.119999999995</v>
      </c>
      <c r="AV47" s="82">
        <f>AU17-AV46</f>
        <v>-7285.57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443.88999999999993</v>
      </c>
      <c r="AK50" s="122">
        <f>AK22+28</f>
        <v>201.57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40" t="s">
        <v>198</v>
      </c>
      <c r="D52" s="241"/>
      <c r="E52" s="241"/>
      <c r="F52" s="242"/>
      <c r="G52" s="240" t="s">
        <v>198</v>
      </c>
      <c r="H52" s="241"/>
      <c r="I52" s="241"/>
      <c r="J52" s="242"/>
      <c r="K52" s="240" t="s">
        <v>198</v>
      </c>
      <c r="L52" s="241"/>
      <c r="M52" s="241"/>
      <c r="N52" s="242"/>
      <c r="O52" s="240" t="s">
        <v>198</v>
      </c>
      <c r="P52" s="241"/>
      <c r="Q52" s="241"/>
      <c r="R52" s="242"/>
      <c r="S52" s="240" t="s">
        <v>198</v>
      </c>
      <c r="T52" s="241"/>
      <c r="U52" s="241"/>
      <c r="V52" s="242"/>
      <c r="W52" s="240" t="s">
        <v>198</v>
      </c>
      <c r="X52" s="241"/>
      <c r="Y52" s="241"/>
      <c r="Z52" s="242"/>
      <c r="AA52" s="240" t="s">
        <v>198</v>
      </c>
      <c r="AB52" s="241"/>
      <c r="AC52" s="241"/>
      <c r="AD52" s="242"/>
      <c r="AE52" s="240" t="s">
        <v>198</v>
      </c>
      <c r="AF52" s="241"/>
      <c r="AG52" s="241"/>
      <c r="AH52" s="242"/>
      <c r="AI52" s="240" t="s">
        <v>198</v>
      </c>
      <c r="AJ52" s="241"/>
      <c r="AK52" s="241"/>
      <c r="AL52" s="242"/>
      <c r="AM52" s="240" t="s">
        <v>198</v>
      </c>
      <c r="AN52" s="241"/>
      <c r="AO52" s="241"/>
      <c r="AP52" s="242"/>
      <c r="AQ52" s="240" t="s">
        <v>198</v>
      </c>
      <c r="AR52" s="241"/>
      <c r="AS52" s="241"/>
      <c r="AT52" s="242"/>
      <c r="AU52" s="240" t="s">
        <v>198</v>
      </c>
      <c r="AV52" s="241"/>
      <c r="AW52" s="241"/>
      <c r="AX52" s="242"/>
    </row>
    <row r="53" spans="1:51" ht="15.75" thickBot="1">
      <c r="C53" s="179" t="s">
        <v>199</v>
      </c>
      <c r="D53" s="243" t="s">
        <v>33</v>
      </c>
      <c r="E53" s="244"/>
      <c r="F53" s="180" t="s">
        <v>134</v>
      </c>
      <c r="G53" s="179" t="s">
        <v>199</v>
      </c>
      <c r="H53" s="243" t="s">
        <v>33</v>
      </c>
      <c r="I53" s="244"/>
      <c r="J53" s="180" t="s">
        <v>134</v>
      </c>
      <c r="K53" s="179" t="s">
        <v>199</v>
      </c>
      <c r="L53" s="243" t="s">
        <v>33</v>
      </c>
      <c r="M53" s="244"/>
      <c r="N53" s="180" t="s">
        <v>134</v>
      </c>
      <c r="O53" s="179" t="s">
        <v>199</v>
      </c>
      <c r="P53" s="243" t="s">
        <v>33</v>
      </c>
      <c r="Q53" s="244"/>
      <c r="R53" s="180" t="s">
        <v>134</v>
      </c>
      <c r="S53" s="179" t="s">
        <v>199</v>
      </c>
      <c r="T53" s="243" t="s">
        <v>33</v>
      </c>
      <c r="U53" s="244"/>
      <c r="V53" s="180" t="s">
        <v>134</v>
      </c>
      <c r="W53" s="179" t="s">
        <v>199</v>
      </c>
      <c r="X53" s="243" t="s">
        <v>33</v>
      </c>
      <c r="Y53" s="244"/>
      <c r="Z53" s="180" t="s">
        <v>134</v>
      </c>
      <c r="AA53" s="179" t="s">
        <v>199</v>
      </c>
      <c r="AB53" s="243" t="s">
        <v>33</v>
      </c>
      <c r="AC53" s="244"/>
      <c r="AD53" s="180" t="s">
        <v>134</v>
      </c>
      <c r="AE53" s="179" t="s">
        <v>199</v>
      </c>
      <c r="AF53" s="243" t="s">
        <v>33</v>
      </c>
      <c r="AG53" s="244"/>
      <c r="AH53" s="180" t="s">
        <v>134</v>
      </c>
      <c r="AI53" s="179" t="s">
        <v>199</v>
      </c>
      <c r="AJ53" s="243" t="s">
        <v>33</v>
      </c>
      <c r="AK53" s="244"/>
      <c r="AL53" s="180" t="s">
        <v>134</v>
      </c>
      <c r="AM53" s="179" t="s">
        <v>199</v>
      </c>
      <c r="AN53" s="243" t="s">
        <v>33</v>
      </c>
      <c r="AO53" s="244"/>
      <c r="AP53" s="180" t="s">
        <v>134</v>
      </c>
      <c r="AQ53" s="179" t="s">
        <v>199</v>
      </c>
      <c r="AR53" s="243" t="s">
        <v>33</v>
      </c>
      <c r="AS53" s="244"/>
      <c r="AT53" s="180" t="s">
        <v>134</v>
      </c>
      <c r="AU53" s="179" t="s">
        <v>199</v>
      </c>
      <c r="AV53" s="243" t="s">
        <v>33</v>
      </c>
      <c r="AW53" s="244"/>
      <c r="AX53" s="180" t="s">
        <v>134</v>
      </c>
    </row>
    <row r="54" spans="1:51">
      <c r="C54" s="181">
        <v>43112</v>
      </c>
      <c r="D54" s="245" t="s">
        <v>200</v>
      </c>
      <c r="E54" s="246"/>
      <c r="F54" s="184">
        <v>10</v>
      </c>
      <c r="G54" s="181">
        <v>43137</v>
      </c>
      <c r="H54" s="245" t="s">
        <v>221</v>
      </c>
      <c r="I54" s="246"/>
      <c r="J54" s="186">
        <v>10</v>
      </c>
      <c r="K54" s="181">
        <v>43166</v>
      </c>
      <c r="L54" s="251" t="s">
        <v>289</v>
      </c>
      <c r="M54" s="252"/>
      <c r="N54" s="186"/>
      <c r="O54" s="181">
        <v>43195</v>
      </c>
      <c r="P54" s="251" t="s">
        <v>221</v>
      </c>
      <c r="Q54" s="252"/>
      <c r="R54" s="192">
        <v>10</v>
      </c>
      <c r="S54" s="181">
        <v>43224</v>
      </c>
      <c r="T54" s="251" t="s">
        <v>289</v>
      </c>
      <c r="U54" s="252"/>
      <c r="V54" s="193"/>
      <c r="W54" s="182">
        <v>43264</v>
      </c>
      <c r="X54" s="255" t="s">
        <v>200</v>
      </c>
      <c r="Y54" s="256"/>
      <c r="Z54" s="194">
        <v>15</v>
      </c>
      <c r="AA54" s="181"/>
      <c r="AB54" s="265" t="s">
        <v>372</v>
      </c>
      <c r="AC54" s="266"/>
      <c r="AD54" s="186">
        <f>1452-580.8</f>
        <v>871.2</v>
      </c>
      <c r="AE54" s="181"/>
      <c r="AF54" s="267"/>
      <c r="AG54" s="268"/>
      <c r="AH54" s="186"/>
      <c r="AI54" s="181">
        <v>43370</v>
      </c>
      <c r="AJ54" s="269" t="s">
        <v>221</v>
      </c>
      <c r="AK54" s="270"/>
      <c r="AL54" s="186">
        <v>10</v>
      </c>
      <c r="AM54" s="181"/>
      <c r="AN54" s="267"/>
      <c r="AO54" s="268"/>
      <c r="AP54" s="186"/>
      <c r="AQ54" s="181"/>
      <c r="AR54" s="245"/>
      <c r="AS54" s="246"/>
      <c r="AT54" s="186"/>
      <c r="AU54" s="181"/>
      <c r="AV54" s="245"/>
      <c r="AW54" s="246"/>
      <c r="AX54" s="186"/>
    </row>
    <row r="55" spans="1:51">
      <c r="C55" s="182"/>
      <c r="D55" s="249"/>
      <c r="E55" s="250"/>
      <c r="F55" s="184"/>
      <c r="G55" s="182">
        <v>43146</v>
      </c>
      <c r="H55" s="249" t="s">
        <v>274</v>
      </c>
      <c r="I55" s="250"/>
      <c r="J55" s="186">
        <v>10</v>
      </c>
      <c r="K55" s="182">
        <v>43168</v>
      </c>
      <c r="L55" s="253" t="s">
        <v>274</v>
      </c>
      <c r="M55" s="254"/>
      <c r="N55" s="186">
        <v>15</v>
      </c>
      <c r="O55" s="182">
        <v>43209</v>
      </c>
      <c r="P55" s="255" t="s">
        <v>200</v>
      </c>
      <c r="Q55" s="256"/>
      <c r="R55" s="192">
        <v>15</v>
      </c>
      <c r="S55" s="182">
        <v>43238</v>
      </c>
      <c r="T55" s="255" t="s">
        <v>361</v>
      </c>
      <c r="U55" s="256"/>
      <c r="V55" s="186"/>
      <c r="W55" s="182">
        <v>43253</v>
      </c>
      <c r="X55" s="255" t="s">
        <v>221</v>
      </c>
      <c r="Y55" s="256"/>
      <c r="Z55" s="186">
        <v>10</v>
      </c>
      <c r="AA55" s="182"/>
      <c r="AB55" s="249" t="s">
        <v>373</v>
      </c>
      <c r="AC55" s="250"/>
      <c r="AD55" s="186">
        <f>200-43.62+(76.38*6)</f>
        <v>614.66</v>
      </c>
      <c r="AE55" s="182">
        <v>43318</v>
      </c>
      <c r="AF55" s="255" t="s">
        <v>200</v>
      </c>
      <c r="AG55" s="256"/>
      <c r="AH55" s="186">
        <v>15</v>
      </c>
      <c r="AI55" s="182">
        <v>43361</v>
      </c>
      <c r="AJ55" s="265" t="s">
        <v>200</v>
      </c>
      <c r="AK55" s="266"/>
      <c r="AL55" s="186">
        <v>15</v>
      </c>
      <c r="AM55" s="182"/>
      <c r="AN55" s="259"/>
      <c r="AO55" s="260"/>
      <c r="AP55" s="186"/>
      <c r="AQ55" s="182"/>
      <c r="AR55" s="249"/>
      <c r="AS55" s="250"/>
      <c r="AT55" s="186"/>
      <c r="AU55" s="182"/>
      <c r="AV55" s="249"/>
      <c r="AW55" s="250"/>
      <c r="AX55" s="186"/>
    </row>
    <row r="56" spans="1:51">
      <c r="C56" s="182">
        <v>43117</v>
      </c>
      <c r="D56" s="249" t="s">
        <v>201</v>
      </c>
      <c r="E56" s="250"/>
      <c r="F56" s="184"/>
      <c r="G56" s="182">
        <v>43147</v>
      </c>
      <c r="H56" s="249" t="s">
        <v>285</v>
      </c>
      <c r="I56" s="250"/>
      <c r="J56" s="186"/>
      <c r="K56" s="182">
        <v>43189</v>
      </c>
      <c r="L56" s="249" t="s">
        <v>294</v>
      </c>
      <c r="M56" s="250"/>
      <c r="N56" s="186"/>
      <c r="O56" s="182">
        <v>43193</v>
      </c>
      <c r="P56" s="255" t="s">
        <v>330</v>
      </c>
      <c r="Q56" s="256"/>
      <c r="R56" s="192">
        <v>258.52</v>
      </c>
      <c r="S56" s="182">
        <v>43249</v>
      </c>
      <c r="T56" s="249" t="s">
        <v>376</v>
      </c>
      <c r="U56" s="250"/>
      <c r="V56" s="186"/>
      <c r="W56" s="182">
        <v>43249</v>
      </c>
      <c r="X56" s="249" t="s">
        <v>381</v>
      </c>
      <c r="Y56" s="250"/>
      <c r="Z56" s="186"/>
      <c r="AA56" s="182"/>
      <c r="AB56" s="249" t="s">
        <v>374</v>
      </c>
      <c r="AC56" s="250"/>
      <c r="AD56" s="186">
        <f>AD54-AD55</f>
        <v>256.54000000000008</v>
      </c>
      <c r="AE56" s="182">
        <v>43341</v>
      </c>
      <c r="AF56" s="255" t="s">
        <v>289</v>
      </c>
      <c r="AG56" s="256"/>
      <c r="AH56" s="186"/>
      <c r="AI56" s="182">
        <v>43347</v>
      </c>
      <c r="AJ56" s="257" t="s">
        <v>380</v>
      </c>
      <c r="AK56" s="258"/>
      <c r="AL56" s="186"/>
      <c r="AM56" s="182"/>
      <c r="AN56" s="259"/>
      <c r="AO56" s="260"/>
      <c r="AP56" s="186"/>
      <c r="AQ56" s="182"/>
      <c r="AR56" s="249"/>
      <c r="AS56" s="250"/>
      <c r="AT56" s="186"/>
      <c r="AU56" s="182"/>
      <c r="AV56" s="249"/>
      <c r="AW56" s="250"/>
      <c r="AX56" s="186"/>
    </row>
    <row r="57" spans="1:51">
      <c r="C57" s="182"/>
      <c r="D57" s="249" t="s">
        <v>202</v>
      </c>
      <c r="E57" s="250"/>
      <c r="F57" s="184"/>
      <c r="G57" s="182"/>
      <c r="H57" s="249" t="s">
        <v>286</v>
      </c>
      <c r="I57" s="250"/>
      <c r="J57" s="186"/>
      <c r="K57" s="182"/>
      <c r="L57" s="249" t="s">
        <v>295</v>
      </c>
      <c r="M57" s="250"/>
      <c r="N57" s="186"/>
      <c r="O57" s="182"/>
      <c r="P57" s="255" t="s">
        <v>301</v>
      </c>
      <c r="Q57" s="256"/>
      <c r="R57" s="186">
        <v>2290.23</v>
      </c>
      <c r="S57" s="182"/>
      <c r="T57" s="249" t="s">
        <v>377</v>
      </c>
      <c r="U57" s="250"/>
      <c r="V57" s="186"/>
      <c r="W57" s="182"/>
      <c r="X57" s="249" t="s">
        <v>382</v>
      </c>
      <c r="Y57" s="250"/>
      <c r="Z57" s="186"/>
      <c r="AA57" s="182">
        <v>43282</v>
      </c>
      <c r="AB57" s="255" t="s">
        <v>289</v>
      </c>
      <c r="AC57" s="256"/>
      <c r="AD57" s="186"/>
      <c r="AE57" s="182">
        <v>43189</v>
      </c>
      <c r="AF57" s="249" t="s">
        <v>385</v>
      </c>
      <c r="AG57" s="250"/>
      <c r="AH57" s="186"/>
      <c r="AI57" s="182"/>
      <c r="AJ57" s="259"/>
      <c r="AK57" s="260"/>
      <c r="AL57" s="186"/>
      <c r="AM57" s="182"/>
      <c r="AN57" s="259"/>
      <c r="AO57" s="260"/>
      <c r="AP57" s="186"/>
      <c r="AQ57" s="182"/>
      <c r="AR57" s="249"/>
      <c r="AS57" s="250"/>
      <c r="AT57" s="186"/>
      <c r="AU57" s="182"/>
      <c r="AV57" s="249"/>
      <c r="AW57" s="250"/>
      <c r="AX57" s="186"/>
    </row>
    <row r="58" spans="1:51">
      <c r="C58" s="182"/>
      <c r="D58" s="249" t="s">
        <v>203</v>
      </c>
      <c r="E58" s="250"/>
      <c r="F58" s="184"/>
      <c r="G58" s="182"/>
      <c r="H58" s="249" t="s">
        <v>287</v>
      </c>
      <c r="I58" s="250"/>
      <c r="J58" s="186"/>
      <c r="K58" s="182"/>
      <c r="L58" s="249" t="s">
        <v>296</v>
      </c>
      <c r="M58" s="250"/>
      <c r="N58" s="186"/>
      <c r="O58" s="182"/>
      <c r="P58" s="249"/>
      <c r="Q58" s="250"/>
      <c r="R58" s="186"/>
      <c r="S58" s="182"/>
      <c r="T58" s="249" t="s">
        <v>378</v>
      </c>
      <c r="U58" s="250"/>
      <c r="V58" s="186"/>
      <c r="W58" s="182"/>
      <c r="X58" s="249" t="s">
        <v>383</v>
      </c>
      <c r="Y58" s="250"/>
      <c r="Z58" s="186"/>
      <c r="AA58" s="182"/>
      <c r="AB58" s="255" t="s">
        <v>361</v>
      </c>
      <c r="AC58" s="256"/>
      <c r="AD58" s="186"/>
      <c r="AE58" s="182"/>
      <c r="AF58" s="249" t="s">
        <v>386</v>
      </c>
      <c r="AG58" s="250"/>
      <c r="AH58" s="186"/>
      <c r="AI58" s="182"/>
      <c r="AJ58" s="259"/>
      <c r="AK58" s="260"/>
      <c r="AL58" s="186"/>
      <c r="AM58" s="182"/>
      <c r="AN58" s="259"/>
      <c r="AO58" s="260"/>
      <c r="AP58" s="186"/>
      <c r="AQ58" s="182"/>
      <c r="AR58" s="249"/>
      <c r="AS58" s="250"/>
      <c r="AT58" s="186"/>
      <c r="AU58" s="182"/>
      <c r="AV58" s="249"/>
      <c r="AW58" s="250"/>
      <c r="AX58" s="186"/>
    </row>
    <row r="59" spans="1:51">
      <c r="C59" s="182"/>
      <c r="D59" s="249"/>
      <c r="E59" s="250"/>
      <c r="F59" s="184"/>
      <c r="G59" s="182"/>
      <c r="H59" s="249"/>
      <c r="I59" s="250"/>
      <c r="J59" s="186"/>
      <c r="K59" s="182"/>
      <c r="L59" s="249"/>
      <c r="M59" s="250"/>
      <c r="N59" s="186"/>
      <c r="O59" s="182"/>
      <c r="P59" s="249"/>
      <c r="Q59" s="250"/>
      <c r="R59" s="186"/>
      <c r="S59" s="182">
        <v>43236</v>
      </c>
      <c r="T59" s="257" t="s">
        <v>380</v>
      </c>
      <c r="U59" s="258"/>
      <c r="V59" s="186"/>
      <c r="W59" s="182">
        <v>43263</v>
      </c>
      <c r="X59" s="257" t="s">
        <v>380</v>
      </c>
      <c r="Y59" s="258"/>
      <c r="Z59" s="186"/>
      <c r="AA59" s="182"/>
      <c r="AB59" s="257" t="s">
        <v>455</v>
      </c>
      <c r="AC59" s="258"/>
      <c r="AD59" s="186">
        <f>(50*7)-'01'!D13-'03'!E13</f>
        <v>285.02</v>
      </c>
      <c r="AE59" s="182"/>
      <c r="AF59" s="249" t="s">
        <v>387</v>
      </c>
      <c r="AG59" s="250"/>
      <c r="AH59" s="186"/>
      <c r="AI59" s="182"/>
      <c r="AJ59" s="259"/>
      <c r="AK59" s="260"/>
      <c r="AL59" s="186"/>
      <c r="AM59" s="182"/>
      <c r="AN59" s="259"/>
      <c r="AO59" s="260"/>
      <c r="AP59" s="186"/>
      <c r="AQ59" s="182"/>
      <c r="AR59" s="249"/>
      <c r="AS59" s="250"/>
      <c r="AT59" s="186"/>
      <c r="AU59" s="182">
        <v>43189</v>
      </c>
      <c r="AV59" s="249" t="s">
        <v>442</v>
      </c>
      <c r="AW59" s="250"/>
      <c r="AX59" s="186"/>
    </row>
    <row r="60" spans="1:51">
      <c r="C60" s="182"/>
      <c r="D60" s="249"/>
      <c r="E60" s="250"/>
      <c r="F60" s="184"/>
      <c r="G60" s="182"/>
      <c r="H60" s="249"/>
      <c r="I60" s="250"/>
      <c r="J60" s="186"/>
      <c r="K60" s="182"/>
      <c r="L60" s="249"/>
      <c r="M60" s="250"/>
      <c r="N60" s="186"/>
      <c r="O60" s="182"/>
      <c r="P60" s="249"/>
      <c r="Q60" s="250"/>
      <c r="R60" s="186"/>
      <c r="S60" s="182"/>
      <c r="T60" s="257"/>
      <c r="U60" s="258"/>
      <c r="V60" s="186"/>
      <c r="W60" s="182"/>
      <c r="X60" s="259" t="s">
        <v>310</v>
      </c>
      <c r="Y60" s="260"/>
      <c r="Z60" s="186">
        <f>622.46*2</f>
        <v>1244.92</v>
      </c>
      <c r="AA60" s="182"/>
      <c r="AB60" s="259"/>
      <c r="AC60" s="260"/>
      <c r="AD60" s="186"/>
      <c r="AE60" s="182">
        <v>43319</v>
      </c>
      <c r="AF60" s="257" t="s">
        <v>380</v>
      </c>
      <c r="AG60" s="258"/>
      <c r="AH60" s="186"/>
      <c r="AI60" s="182"/>
      <c r="AJ60" s="259"/>
      <c r="AK60" s="260"/>
      <c r="AL60" s="186"/>
      <c r="AM60" s="182"/>
      <c r="AN60" s="259"/>
      <c r="AO60" s="260"/>
      <c r="AP60" s="186"/>
      <c r="AQ60" s="182"/>
      <c r="AR60" s="249"/>
      <c r="AS60" s="250"/>
      <c r="AT60" s="186"/>
      <c r="AU60" s="182"/>
      <c r="AV60" s="249" t="s">
        <v>295</v>
      </c>
      <c r="AW60" s="250"/>
      <c r="AX60" s="186"/>
    </row>
    <row r="61" spans="1:51">
      <c r="C61" s="182"/>
      <c r="D61" s="249"/>
      <c r="E61" s="250"/>
      <c r="F61" s="184"/>
      <c r="G61" s="182"/>
      <c r="H61" s="249"/>
      <c r="I61" s="250"/>
      <c r="J61" s="186"/>
      <c r="K61" s="182"/>
      <c r="L61" s="249"/>
      <c r="M61" s="250"/>
      <c r="N61" s="186"/>
      <c r="O61" s="182"/>
      <c r="P61" s="249"/>
      <c r="Q61" s="250"/>
      <c r="R61" s="186"/>
      <c r="S61" s="182"/>
      <c r="T61" s="257"/>
      <c r="U61" s="258"/>
      <c r="V61" s="186"/>
      <c r="W61" s="182"/>
      <c r="X61" s="259"/>
      <c r="Y61" s="260"/>
      <c r="Z61" s="186"/>
      <c r="AA61" s="182"/>
      <c r="AB61" s="259"/>
      <c r="AC61" s="260"/>
      <c r="AD61" s="186"/>
      <c r="AE61" s="182"/>
      <c r="AF61" s="259"/>
      <c r="AG61" s="260"/>
      <c r="AH61" s="186"/>
      <c r="AI61" s="182"/>
      <c r="AJ61" s="259"/>
      <c r="AK61" s="260"/>
      <c r="AL61" s="186"/>
      <c r="AM61" s="182"/>
      <c r="AN61" s="259"/>
      <c r="AO61" s="260"/>
      <c r="AP61" s="186"/>
      <c r="AQ61" s="182"/>
      <c r="AR61" s="249"/>
      <c r="AS61" s="250"/>
      <c r="AT61" s="186"/>
      <c r="AU61" s="182"/>
      <c r="AV61" s="249" t="s">
        <v>443</v>
      </c>
      <c r="AW61" s="250"/>
      <c r="AX61" s="186"/>
    </row>
    <row r="62" spans="1:51">
      <c r="C62" s="182"/>
      <c r="D62" s="249"/>
      <c r="E62" s="250"/>
      <c r="F62" s="184"/>
      <c r="G62" s="182"/>
      <c r="H62" s="249"/>
      <c r="I62" s="250"/>
      <c r="J62" s="186"/>
      <c r="K62" s="182"/>
      <c r="L62" s="249"/>
      <c r="M62" s="250"/>
      <c r="N62" s="186"/>
      <c r="O62" s="182"/>
      <c r="P62" s="249"/>
      <c r="Q62" s="250"/>
      <c r="R62" s="186"/>
      <c r="S62" s="182"/>
      <c r="T62" s="257"/>
      <c r="U62" s="258"/>
      <c r="V62" s="186"/>
      <c r="W62" s="182"/>
      <c r="X62" s="259"/>
      <c r="Y62" s="260"/>
      <c r="Z62" s="186"/>
      <c r="AA62" s="182"/>
      <c r="AB62" s="259"/>
      <c r="AC62" s="260"/>
      <c r="AD62" s="186"/>
      <c r="AE62" s="182"/>
      <c r="AF62" s="259"/>
      <c r="AG62" s="260"/>
      <c r="AH62" s="186"/>
      <c r="AI62" s="182"/>
      <c r="AJ62" s="259"/>
      <c r="AK62" s="260"/>
      <c r="AL62" s="186"/>
      <c r="AM62" s="182"/>
      <c r="AN62" s="259"/>
      <c r="AO62" s="260"/>
      <c r="AP62" s="186"/>
      <c r="AQ62" s="182"/>
      <c r="AR62" s="249"/>
      <c r="AS62" s="250"/>
      <c r="AT62" s="186"/>
      <c r="AU62" s="182"/>
      <c r="AV62" s="249"/>
      <c r="AW62" s="250"/>
      <c r="AX62" s="186"/>
    </row>
    <row r="63" spans="1:51">
      <c r="C63" s="182"/>
      <c r="D63" s="249"/>
      <c r="E63" s="250"/>
      <c r="F63" s="184"/>
      <c r="G63" s="182"/>
      <c r="H63" s="249"/>
      <c r="I63" s="250"/>
      <c r="J63" s="186"/>
      <c r="K63" s="182"/>
      <c r="L63" s="249"/>
      <c r="M63" s="250"/>
      <c r="N63" s="186"/>
      <c r="O63" s="182"/>
      <c r="P63" s="249"/>
      <c r="Q63" s="250"/>
      <c r="R63" s="186"/>
      <c r="S63" s="182"/>
      <c r="T63" s="257"/>
      <c r="U63" s="258"/>
      <c r="V63" s="186"/>
      <c r="W63" s="182"/>
      <c r="X63" s="259"/>
      <c r="Y63" s="260"/>
      <c r="Z63" s="186"/>
      <c r="AA63" s="182"/>
      <c r="AB63" s="259"/>
      <c r="AC63" s="260"/>
      <c r="AD63" s="186"/>
      <c r="AE63" s="182"/>
      <c r="AF63" s="259"/>
      <c r="AG63" s="260"/>
      <c r="AH63" s="186"/>
      <c r="AI63" s="182"/>
      <c r="AJ63" s="259"/>
      <c r="AK63" s="260"/>
      <c r="AL63" s="186"/>
      <c r="AM63" s="182"/>
      <c r="AN63" s="259"/>
      <c r="AO63" s="260"/>
      <c r="AP63" s="186"/>
      <c r="AQ63" s="182"/>
      <c r="AR63" s="249"/>
      <c r="AS63" s="250"/>
      <c r="AT63" s="186"/>
      <c r="AU63" s="182"/>
      <c r="AV63" s="249"/>
      <c r="AW63" s="250"/>
      <c r="AX63" s="186"/>
    </row>
    <row r="64" spans="1:51">
      <c r="C64" s="182"/>
      <c r="D64" s="249"/>
      <c r="E64" s="250"/>
      <c r="F64" s="184"/>
      <c r="G64" s="182"/>
      <c r="H64" s="249"/>
      <c r="I64" s="250"/>
      <c r="J64" s="186"/>
      <c r="K64" s="182"/>
      <c r="L64" s="249"/>
      <c r="M64" s="250"/>
      <c r="N64" s="186"/>
      <c r="O64" s="182"/>
      <c r="P64" s="249"/>
      <c r="Q64" s="250"/>
      <c r="R64" s="186"/>
      <c r="S64" s="182"/>
      <c r="T64" s="257"/>
      <c r="U64" s="258"/>
      <c r="V64" s="186"/>
      <c r="W64" s="182"/>
      <c r="X64" s="259"/>
      <c r="Y64" s="260"/>
      <c r="Z64" s="186"/>
      <c r="AA64" s="182"/>
      <c r="AB64" s="259"/>
      <c r="AC64" s="260"/>
      <c r="AD64" s="186"/>
      <c r="AE64" s="182"/>
      <c r="AF64" s="259"/>
      <c r="AG64" s="260"/>
      <c r="AH64" s="186"/>
      <c r="AI64" s="182"/>
      <c r="AJ64" s="259"/>
      <c r="AK64" s="260"/>
      <c r="AL64" s="186"/>
      <c r="AM64" s="182"/>
      <c r="AN64" s="259"/>
      <c r="AO64" s="260"/>
      <c r="AP64" s="186"/>
      <c r="AQ64" s="182"/>
      <c r="AR64" s="249"/>
      <c r="AS64" s="250"/>
      <c r="AT64" s="186"/>
      <c r="AU64" s="182"/>
      <c r="AV64" s="249"/>
      <c r="AW64" s="250"/>
      <c r="AX64" s="186"/>
    </row>
    <row r="65" spans="3:50">
      <c r="C65" s="182"/>
      <c r="D65" s="249"/>
      <c r="E65" s="250"/>
      <c r="F65" s="184"/>
      <c r="G65" s="182"/>
      <c r="H65" s="249"/>
      <c r="I65" s="250"/>
      <c r="J65" s="186"/>
      <c r="K65" s="182"/>
      <c r="L65" s="249"/>
      <c r="M65" s="250"/>
      <c r="N65" s="186"/>
      <c r="O65" s="182"/>
      <c r="P65" s="249"/>
      <c r="Q65" s="250"/>
      <c r="R65" s="186"/>
      <c r="S65" s="182"/>
      <c r="T65" s="257"/>
      <c r="U65" s="258"/>
      <c r="V65" s="186"/>
      <c r="W65" s="182"/>
      <c r="X65" s="259"/>
      <c r="Y65" s="260"/>
      <c r="Z65" s="186"/>
      <c r="AA65" s="182"/>
      <c r="AB65" s="259"/>
      <c r="AC65" s="260"/>
      <c r="AD65" s="186"/>
      <c r="AE65" s="182"/>
      <c r="AF65" s="259"/>
      <c r="AG65" s="260"/>
      <c r="AH65" s="186"/>
      <c r="AI65" s="182"/>
      <c r="AJ65" s="259"/>
      <c r="AK65" s="260"/>
      <c r="AL65" s="186"/>
      <c r="AM65" s="182"/>
      <c r="AN65" s="259"/>
      <c r="AO65" s="260"/>
      <c r="AP65" s="186"/>
      <c r="AQ65" s="182"/>
      <c r="AR65" s="249"/>
      <c r="AS65" s="250"/>
      <c r="AT65" s="186"/>
      <c r="AU65" s="182"/>
      <c r="AV65" s="249"/>
      <c r="AW65" s="250"/>
      <c r="AX65" s="186"/>
    </row>
    <row r="66" spans="3:50">
      <c r="C66" s="182"/>
      <c r="D66" s="249"/>
      <c r="E66" s="250"/>
      <c r="F66" s="184"/>
      <c r="G66" s="182"/>
      <c r="H66" s="249"/>
      <c r="I66" s="250"/>
      <c r="J66" s="186"/>
      <c r="K66" s="182"/>
      <c r="L66" s="249"/>
      <c r="M66" s="250"/>
      <c r="N66" s="186"/>
      <c r="O66" s="182"/>
      <c r="P66" s="249"/>
      <c r="Q66" s="250"/>
      <c r="R66" s="186"/>
      <c r="S66" s="182"/>
      <c r="T66" s="259"/>
      <c r="U66" s="260"/>
      <c r="V66" s="186"/>
      <c r="W66" s="182"/>
      <c r="X66" s="259"/>
      <c r="Y66" s="260"/>
      <c r="Z66" s="186"/>
      <c r="AA66" s="182"/>
      <c r="AB66" s="259"/>
      <c r="AC66" s="260"/>
      <c r="AD66" s="186"/>
      <c r="AE66" s="182"/>
      <c r="AF66" s="259"/>
      <c r="AG66" s="260"/>
      <c r="AH66" s="186"/>
      <c r="AI66" s="182"/>
      <c r="AJ66" s="259"/>
      <c r="AK66" s="260"/>
      <c r="AL66" s="186"/>
      <c r="AM66" s="182"/>
      <c r="AN66" s="259"/>
      <c r="AO66" s="260"/>
      <c r="AP66" s="186"/>
      <c r="AQ66" s="182"/>
      <c r="AR66" s="249"/>
      <c r="AS66" s="250"/>
      <c r="AT66" s="186"/>
      <c r="AU66" s="182"/>
      <c r="AV66" s="249"/>
      <c r="AW66" s="250"/>
      <c r="AX66" s="186"/>
    </row>
    <row r="67" spans="3:50">
      <c r="C67" s="182"/>
      <c r="D67" s="249"/>
      <c r="E67" s="250"/>
      <c r="F67" s="184"/>
      <c r="G67" s="182"/>
      <c r="H67" s="249"/>
      <c r="I67" s="250"/>
      <c r="J67" s="186"/>
      <c r="K67" s="182"/>
      <c r="L67" s="249"/>
      <c r="M67" s="250"/>
      <c r="N67" s="186"/>
      <c r="O67" s="182"/>
      <c r="P67" s="249"/>
      <c r="Q67" s="250"/>
      <c r="R67" s="186"/>
      <c r="S67" s="182"/>
      <c r="T67" s="259"/>
      <c r="U67" s="260"/>
      <c r="V67" s="186"/>
      <c r="W67" s="182"/>
      <c r="X67" s="259"/>
      <c r="Y67" s="260"/>
      <c r="Z67" s="186"/>
      <c r="AA67" s="182"/>
      <c r="AB67" s="259"/>
      <c r="AC67" s="260"/>
      <c r="AD67" s="186"/>
      <c r="AE67" s="182"/>
      <c r="AF67" s="259"/>
      <c r="AG67" s="260"/>
      <c r="AH67" s="186"/>
      <c r="AI67" s="182"/>
      <c r="AJ67" s="259"/>
      <c r="AK67" s="260"/>
      <c r="AL67" s="186"/>
      <c r="AM67" s="182"/>
      <c r="AN67" s="259"/>
      <c r="AO67" s="260"/>
      <c r="AP67" s="186"/>
      <c r="AQ67" s="182"/>
      <c r="AR67" s="249"/>
      <c r="AS67" s="250"/>
      <c r="AT67" s="186"/>
      <c r="AU67" s="182"/>
      <c r="AV67" s="249"/>
      <c r="AW67" s="250"/>
      <c r="AX67" s="186"/>
    </row>
    <row r="68" spans="3:50">
      <c r="C68" s="182"/>
      <c r="D68" s="249"/>
      <c r="E68" s="250"/>
      <c r="F68" s="184"/>
      <c r="G68" s="182"/>
      <c r="H68" s="249"/>
      <c r="I68" s="250"/>
      <c r="J68" s="186"/>
      <c r="K68" s="182"/>
      <c r="L68" s="249"/>
      <c r="M68" s="250"/>
      <c r="N68" s="186"/>
      <c r="O68" s="182"/>
      <c r="P68" s="249"/>
      <c r="Q68" s="250"/>
      <c r="R68" s="186"/>
      <c r="S68" s="182"/>
      <c r="T68" s="259"/>
      <c r="U68" s="260"/>
      <c r="V68" s="186"/>
      <c r="W68" s="182"/>
      <c r="X68" s="259"/>
      <c r="Y68" s="260"/>
      <c r="Z68" s="186"/>
      <c r="AA68" s="182"/>
      <c r="AB68" s="259"/>
      <c r="AC68" s="260"/>
      <c r="AD68" s="186"/>
      <c r="AE68" s="182"/>
      <c r="AF68" s="259"/>
      <c r="AG68" s="260"/>
      <c r="AH68" s="186"/>
      <c r="AI68" s="182"/>
      <c r="AJ68" s="259"/>
      <c r="AK68" s="260"/>
      <c r="AL68" s="186"/>
      <c r="AM68" s="182"/>
      <c r="AN68" s="259"/>
      <c r="AO68" s="260"/>
      <c r="AP68" s="186"/>
      <c r="AQ68" s="182"/>
      <c r="AR68" s="249"/>
      <c r="AS68" s="250"/>
      <c r="AT68" s="186"/>
      <c r="AU68" s="182"/>
      <c r="AV68" s="249"/>
      <c r="AW68" s="250"/>
      <c r="AX68" s="186"/>
    </row>
    <row r="69" spans="3:50">
      <c r="C69" s="182"/>
      <c r="D69" s="249"/>
      <c r="E69" s="250"/>
      <c r="F69" s="184"/>
      <c r="G69" s="182"/>
      <c r="H69" s="249"/>
      <c r="I69" s="250"/>
      <c r="J69" s="186"/>
      <c r="K69" s="182"/>
      <c r="L69" s="249"/>
      <c r="M69" s="250"/>
      <c r="N69" s="186"/>
      <c r="O69" s="182"/>
      <c r="P69" s="249"/>
      <c r="Q69" s="250"/>
      <c r="R69" s="186"/>
      <c r="S69" s="182"/>
      <c r="T69" s="259"/>
      <c r="U69" s="260"/>
      <c r="V69" s="186"/>
      <c r="W69" s="182"/>
      <c r="X69" s="259"/>
      <c r="Y69" s="260"/>
      <c r="Z69" s="186"/>
      <c r="AA69" s="182"/>
      <c r="AB69" s="259"/>
      <c r="AC69" s="260"/>
      <c r="AD69" s="186"/>
      <c r="AE69" s="182"/>
      <c r="AF69" s="259"/>
      <c r="AG69" s="260"/>
      <c r="AH69" s="186"/>
      <c r="AI69" s="182"/>
      <c r="AJ69" s="259"/>
      <c r="AK69" s="260"/>
      <c r="AL69" s="186"/>
      <c r="AM69" s="182"/>
      <c r="AN69" s="259"/>
      <c r="AO69" s="260"/>
      <c r="AP69" s="186"/>
      <c r="AQ69" s="182"/>
      <c r="AR69" s="249"/>
      <c r="AS69" s="250"/>
      <c r="AT69" s="186"/>
      <c r="AU69" s="182"/>
      <c r="AV69" s="249"/>
      <c r="AW69" s="250"/>
      <c r="AX69" s="186"/>
    </row>
    <row r="70" spans="3:50">
      <c r="C70" s="182"/>
      <c r="D70" s="249"/>
      <c r="E70" s="250"/>
      <c r="F70" s="184"/>
      <c r="G70" s="182"/>
      <c r="H70" s="249"/>
      <c r="I70" s="250"/>
      <c r="J70" s="186"/>
      <c r="K70" s="182"/>
      <c r="L70" s="249"/>
      <c r="M70" s="250"/>
      <c r="N70" s="186"/>
      <c r="O70" s="182"/>
      <c r="P70" s="249"/>
      <c r="Q70" s="250"/>
      <c r="R70" s="186"/>
      <c r="S70" s="182"/>
      <c r="T70" s="259"/>
      <c r="U70" s="260"/>
      <c r="V70" s="186"/>
      <c r="W70" s="182"/>
      <c r="X70" s="249" t="s">
        <v>433</v>
      </c>
      <c r="Y70" s="250"/>
      <c r="Z70" s="186">
        <f>3289.11+270.87</f>
        <v>3559.98</v>
      </c>
      <c r="AA70" s="182"/>
      <c r="AB70" s="259"/>
      <c r="AC70" s="260"/>
      <c r="AD70" s="186"/>
      <c r="AE70" s="182"/>
      <c r="AF70" s="259"/>
      <c r="AG70" s="260"/>
      <c r="AH70" s="186"/>
      <c r="AI70" s="182"/>
      <c r="AJ70" s="259"/>
      <c r="AK70" s="260"/>
      <c r="AL70" s="186"/>
      <c r="AM70" s="182"/>
      <c r="AN70" s="259"/>
      <c r="AO70" s="260"/>
      <c r="AP70" s="186"/>
      <c r="AQ70" s="182"/>
      <c r="AR70" s="249"/>
      <c r="AS70" s="250"/>
      <c r="AT70" s="186"/>
      <c r="AU70" s="182"/>
      <c r="AV70" s="249"/>
      <c r="AW70" s="250"/>
      <c r="AX70" s="186"/>
    </row>
    <row r="71" spans="3:50" ht="15.75" thickBot="1">
      <c r="C71" s="183"/>
      <c r="D71" s="247"/>
      <c r="E71" s="248"/>
      <c r="F71" s="185"/>
      <c r="G71" s="183"/>
      <c r="H71" s="247"/>
      <c r="I71" s="248"/>
      <c r="J71" s="187"/>
      <c r="K71" s="183"/>
      <c r="L71" s="247"/>
      <c r="M71" s="248"/>
      <c r="N71" s="187"/>
      <c r="O71" s="183"/>
      <c r="P71" s="247"/>
      <c r="Q71" s="248"/>
      <c r="R71" s="187"/>
      <c r="S71" s="183"/>
      <c r="T71" s="261"/>
      <c r="U71" s="262"/>
      <c r="V71" s="187"/>
      <c r="W71" s="183"/>
      <c r="X71" s="263" t="s">
        <v>434</v>
      </c>
      <c r="Y71" s="264"/>
      <c r="Z71" s="187">
        <f>Z70-1484.91-429.89</f>
        <v>1645.1799999999998</v>
      </c>
      <c r="AA71" s="183"/>
      <c r="AB71" s="261"/>
      <c r="AC71" s="262"/>
      <c r="AD71" s="187">
        <f>550-161.56</f>
        <v>388.44</v>
      </c>
      <c r="AE71" s="183"/>
      <c r="AF71" s="261"/>
      <c r="AG71" s="262"/>
      <c r="AH71" s="187"/>
      <c r="AI71" s="183"/>
      <c r="AJ71" s="261"/>
      <c r="AK71" s="262"/>
      <c r="AL71" s="187"/>
      <c r="AM71" s="183"/>
      <c r="AN71" s="261"/>
      <c r="AO71" s="262"/>
      <c r="AP71" s="187"/>
      <c r="AQ71" s="183"/>
      <c r="AR71" s="247"/>
      <c r="AS71" s="248"/>
      <c r="AT71" s="187"/>
      <c r="AU71" s="183"/>
      <c r="AV71" s="247"/>
      <c r="AW71" s="248"/>
      <c r="AX71" s="187"/>
    </row>
    <row r="72" spans="3:50">
      <c r="Z72">
        <f>Z71/Z70</f>
        <v>0.46213180972926809</v>
      </c>
    </row>
    <row r="75" spans="3:50">
      <c r="Z75" s="201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22" workbookViewId="0">
      <selection activeCell="B426" sqref="B426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v>2037.62</v>
      </c>
      <c r="L5" s="288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f>398.31</f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80">
        <v>550</v>
      </c>
      <c r="L6" s="281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6798.75</v>
      </c>
      <c r="L7" s="281"/>
      <c r="M7" s="1"/>
      <c r="N7" s="1"/>
      <c r="R7" s="3"/>
    </row>
    <row r="8" spans="1:22" ht="15.75">
      <c r="A8" s="1"/>
      <c r="B8" s="68">
        <v>108.71</v>
      </c>
      <c r="C8" s="34" t="s">
        <v>38</v>
      </c>
      <c r="D8" s="70"/>
      <c r="E8" s="71"/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>
        <v>28.14</v>
      </c>
      <c r="F9" s="71"/>
      <c r="G9" s="34" t="s">
        <v>40</v>
      </c>
      <c r="H9" s="1"/>
      <c r="I9" s="198" t="s">
        <v>76</v>
      </c>
      <c r="J9" s="197" t="s">
        <v>269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f>400+185+90</f>
        <v>675</v>
      </c>
      <c r="L11" s="281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24613.260000000002</v>
      </c>
      <c r="L19" s="283"/>
      <c r="M19" s="1"/>
      <c r="N19" s="1"/>
      <c r="R19" s="3"/>
    </row>
    <row r="20" spans="1:18" ht="16.5" thickBot="1">
      <c r="A20" s="1"/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456.68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3</v>
      </c>
      <c r="J25" s="3" t="s">
        <v>579</v>
      </c>
      <c r="K25" s="287">
        <v>300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>
        <v>2</v>
      </c>
      <c r="J26" s="36" t="s">
        <v>338</v>
      </c>
      <c r="K26" s="280">
        <v>280.26</v>
      </c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>
        <v>8</v>
      </c>
      <c r="J27" s="36" t="s">
        <v>584</v>
      </c>
      <c r="K27" s="280">
        <v>586.85</v>
      </c>
      <c r="L27" s="281"/>
      <c r="M27" s="1">
        <f>550+108.71+28.14-100</f>
        <v>586.85</v>
      </c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>
        <f>92.12+4.18</f>
        <v>96.300000000000011</v>
      </c>
      <c r="E46" s="71"/>
      <c r="F46" s="71"/>
      <c r="G46" s="90" t="s">
        <v>592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77.27</f>
        <v>77.27</v>
      </c>
      <c r="E47" s="71"/>
      <c r="F47" s="71"/>
      <c r="G47" s="34" t="s">
        <v>593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173.57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35.619999999999997</v>
      </c>
      <c r="E66" s="71"/>
      <c r="F66" s="71"/>
      <c r="G66" s="37" t="s">
        <v>576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35.619999999999997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>
        <v>2</v>
      </c>
      <c r="F86" s="71"/>
      <c r="G86" s="34" t="s">
        <v>574</v>
      </c>
      <c r="H86" s="1"/>
      <c r="M86" s="1"/>
      <c r="R86" s="3"/>
    </row>
    <row r="87" spans="1:18" ht="15.75">
      <c r="A87" s="1"/>
      <c r="B87" s="68"/>
      <c r="C87" s="34"/>
      <c r="D87" s="70">
        <v>53.97</v>
      </c>
      <c r="E87" s="71"/>
      <c r="F87" s="71"/>
      <c r="G87" s="34" t="s">
        <v>594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53.97</v>
      </c>
      <c r="E100" s="69">
        <f>SUM(E86:E99)</f>
        <v>2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>
        <f>500-100-78</f>
        <v>322</v>
      </c>
      <c r="G166" s="34" t="s">
        <v>573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9</v>
      </c>
      <c r="E167" s="71"/>
      <c r="F167" s="71"/>
      <c r="G167" s="34" t="s">
        <v>578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70</v>
      </c>
      <c r="E168" s="71"/>
      <c r="F168" s="71"/>
      <c r="G168" s="34" t="s">
        <v>578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v>27.57</v>
      </c>
      <c r="E169" s="71"/>
      <c r="F169" s="71"/>
      <c r="G169" s="34" t="s">
        <v>580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52.1</v>
      </c>
      <c r="E170" s="71"/>
      <c r="F170" s="71"/>
      <c r="G170" s="34" t="s">
        <v>581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28</v>
      </c>
      <c r="E171" s="71"/>
      <c r="F171" s="71"/>
      <c r="G171" s="34" t="s">
        <v>582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>
        <v>22</v>
      </c>
      <c r="E172" s="71"/>
      <c r="F172" s="71"/>
      <c r="G172" s="34" t="s">
        <v>582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>
        <v>12.64</v>
      </c>
      <c r="E173" s="71"/>
      <c r="F173" s="71"/>
      <c r="G173" s="34" t="s">
        <v>583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>
        <v>494.9</v>
      </c>
      <c r="E174" s="71"/>
      <c r="F174" s="71"/>
      <c r="G174" s="34" t="s">
        <v>597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716.21</v>
      </c>
      <c r="E180" s="69">
        <f>SUM(E166:E179)</f>
        <v>0</v>
      </c>
      <c r="F180" s="69">
        <f>SUM(F166:F179)</f>
        <v>322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>
        <v>33.799999999999997</v>
      </c>
      <c r="E186" s="71"/>
      <c r="F186" s="71"/>
      <c r="G186" s="34" t="s">
        <v>577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33.799999999999997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f>20</f>
        <v>20</v>
      </c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>
        <v>10.4</v>
      </c>
      <c r="E246" s="71"/>
      <c r="F246" s="71"/>
      <c r="G246" s="34" t="s">
        <v>589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10.4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>
        <v>10.81</v>
      </c>
      <c r="E306" s="71"/>
      <c r="F306" s="71"/>
      <c r="G306" s="34" t="s">
        <v>575</v>
      </c>
    </row>
    <row r="307" spans="2:7">
      <c r="B307" s="119"/>
      <c r="C307" s="79"/>
      <c r="D307" s="70">
        <v>49.56</v>
      </c>
      <c r="E307" s="71"/>
      <c r="F307" s="71"/>
      <c r="G307" s="34" t="s">
        <v>588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60.370000000000005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65</v>
      </c>
      <c r="E346" s="71"/>
      <c r="F346" s="71"/>
      <c r="G346" s="34" t="s">
        <v>596</v>
      </c>
    </row>
    <row r="347" spans="2:7">
      <c r="B347" s="68">
        <v>30</v>
      </c>
      <c r="C347" s="34" t="s">
        <v>562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65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</f>
        <v>4</v>
      </c>
      <c r="G366" s="91" t="s">
        <v>91</v>
      </c>
    </row>
    <row r="367" spans="2:7">
      <c r="B367" s="68"/>
      <c r="C367" s="34"/>
      <c r="D367" s="70">
        <v>6</v>
      </c>
      <c r="E367" s="71"/>
      <c r="F367" s="71"/>
      <c r="G367" s="213" t="s">
        <v>595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6</v>
      </c>
      <c r="E380" s="69">
        <f>SUM(E366:E379)</f>
        <v>0</v>
      </c>
      <c r="F380" s="69">
        <f>SUM(F366:F379)</f>
        <v>4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'2018'!AI17-4008.71</f>
        <v>-2747.67</v>
      </c>
      <c r="C426" s="37" t="s">
        <v>531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-2747.67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8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8">
      <c r="B466" s="68">
        <v>56</v>
      </c>
      <c r="C466" s="34" t="s">
        <v>488</v>
      </c>
      <c r="D466" s="70"/>
      <c r="E466" s="71"/>
      <c r="F466" s="71">
        <v>100</v>
      </c>
      <c r="G466" s="34" t="s">
        <v>585</v>
      </c>
      <c r="H466" s="175" t="s">
        <v>586</v>
      </c>
    </row>
    <row r="467" spans="2:8">
      <c r="B467" s="68"/>
      <c r="C467" s="34"/>
      <c r="D467" s="70"/>
      <c r="E467" s="71"/>
      <c r="F467" s="71"/>
      <c r="G467" s="34"/>
    </row>
    <row r="468" spans="2:8">
      <c r="B468" s="68"/>
      <c r="C468" s="34"/>
      <c r="D468" s="70"/>
      <c r="E468" s="71"/>
      <c r="F468" s="71"/>
      <c r="G468" s="34"/>
    </row>
    <row r="469" spans="2:8">
      <c r="B469" s="68"/>
      <c r="C469" s="34"/>
      <c r="D469" s="70"/>
      <c r="E469" s="71"/>
      <c r="F469" s="71"/>
      <c r="G469" s="34"/>
    </row>
    <row r="470" spans="2:8">
      <c r="B470" s="68"/>
      <c r="C470" s="34"/>
      <c r="D470" s="70"/>
      <c r="E470" s="71"/>
      <c r="F470" s="71"/>
      <c r="G470" s="34"/>
    </row>
    <row r="471" spans="2:8">
      <c r="B471" s="68"/>
      <c r="C471" s="34"/>
      <c r="D471" s="70"/>
      <c r="E471" s="71"/>
      <c r="F471" s="71"/>
      <c r="G471" s="34"/>
    </row>
    <row r="472" spans="2:8">
      <c r="B472" s="68"/>
      <c r="C472" s="34"/>
      <c r="D472" s="70"/>
      <c r="E472" s="71"/>
      <c r="F472" s="71"/>
      <c r="G472" s="34"/>
    </row>
    <row r="473" spans="2:8">
      <c r="B473" s="68"/>
      <c r="C473" s="34"/>
      <c r="D473" s="70"/>
      <c r="E473" s="71"/>
      <c r="F473" s="71"/>
      <c r="G473" s="34"/>
    </row>
    <row r="474" spans="2:8">
      <c r="B474" s="68"/>
      <c r="C474" s="34"/>
      <c r="D474" s="70"/>
      <c r="E474" s="71"/>
      <c r="F474" s="71"/>
      <c r="G474" s="34"/>
    </row>
    <row r="475" spans="2:8">
      <c r="B475" s="68"/>
      <c r="C475" s="34"/>
      <c r="D475" s="70"/>
      <c r="E475" s="71"/>
      <c r="F475" s="71"/>
      <c r="G475" s="34"/>
    </row>
    <row r="476" spans="2:8">
      <c r="B476" s="68"/>
      <c r="C476" s="34"/>
      <c r="D476" s="70"/>
      <c r="E476" s="71"/>
      <c r="F476" s="71"/>
      <c r="G476" s="34"/>
    </row>
    <row r="477" spans="2:8">
      <c r="B477" s="68"/>
      <c r="C477" s="34"/>
      <c r="D477" s="70"/>
      <c r="E477" s="71"/>
      <c r="F477" s="71"/>
      <c r="G477" s="34"/>
    </row>
    <row r="478" spans="2:8">
      <c r="B478" s="68"/>
      <c r="C478" s="34"/>
      <c r="D478" s="70"/>
      <c r="E478" s="71"/>
      <c r="F478" s="71"/>
      <c r="G478" s="34"/>
    </row>
    <row r="479" spans="2:8" ht="15.75" thickBot="1">
      <c r="B479" s="69"/>
      <c r="C479" s="35"/>
      <c r="D479" s="69"/>
      <c r="E479" s="72"/>
      <c r="F479" s="72"/>
      <c r="G479" s="35"/>
    </row>
    <row r="480" spans="2:8" ht="15.75" thickBot="1"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100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530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47" workbookViewId="0">
      <selection activeCell="B162" sqref="B162:G16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/>
      <c r="L5" s="288"/>
      <c r="M5" s="1"/>
      <c r="N5" s="1"/>
      <c r="R5" s="3"/>
    </row>
    <row r="6" spans="1:22" ht="15.75">
      <c r="A6" s="1"/>
      <c r="B6" s="67">
        <v>399.59</v>
      </c>
      <c r="C6" s="37" t="s">
        <v>587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/>
      <c r="L6" s="281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/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1"/>
      <c r="B9" s="68">
        <v>28.14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267</v>
      </c>
      <c r="N10" s="1"/>
      <c r="R10" s="3"/>
    </row>
    <row r="11" spans="1:22" ht="15.75">
      <c r="A11" s="1"/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80"/>
      <c r="L11" s="281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14551.890000000001</v>
      </c>
      <c r="L19" s="283"/>
      <c r="M19" s="1"/>
      <c r="N19" s="1"/>
      <c r="R19" s="3"/>
    </row>
    <row r="20" spans="1:18" ht="16.5" thickBot="1">
      <c r="A20" s="1"/>
      <c r="B20" s="69">
        <f>SUM(B6:B19)</f>
        <v>562.14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7"/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80"/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40</v>
      </c>
      <c r="C167" s="34" t="s">
        <v>599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240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>
        <v>-40</v>
      </c>
      <c r="C287" s="34" t="s">
        <v>598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60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564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00" workbookViewId="0">
      <selection activeCell="B402" sqref="B402:G40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/>
      <c r="L5" s="288"/>
      <c r="M5" s="1"/>
      <c r="N5" s="1"/>
      <c r="R5" s="3"/>
    </row>
    <row r="6" spans="1:22" ht="15.75">
      <c r="A6" s="1"/>
      <c r="B6" s="67">
        <v>399.59</v>
      </c>
      <c r="C6" s="37" t="s">
        <v>587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/>
      <c r="L6" s="281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/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267</v>
      </c>
      <c r="N10" s="1"/>
      <c r="R10" s="3"/>
    </row>
    <row r="11" spans="1:22" ht="15.75">
      <c r="A11" s="1"/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80"/>
      <c r="L11" s="281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14551.890000000001</v>
      </c>
      <c r="L19" s="283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7"/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80"/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10</v>
      </c>
      <c r="C347" s="34" t="s">
        <v>591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40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M7:AP7" display="INGRESOS" xr:uid="{650FFC49-4F8B-4C7A-B481-C4CD40FED27A}"/>
    <hyperlink ref="B2" location="Trimestre!C25:F26" display="HIPOTECA" xr:uid="{1C05B563-FE4F-4C5E-877D-AA4B5F340F7E}"/>
    <hyperlink ref="B2:G3" location="'2018'!AM20:AP20" display="'2018'!AM20:AP20" xr:uid="{4A4CEDF7-0425-4188-B148-CC32D3AD0FE7}"/>
    <hyperlink ref="B22" location="Trimestre!C25:F26" display="HIPOTECA" xr:uid="{1BB4CFFE-886E-4F6B-AB50-B1C62A48457D}"/>
    <hyperlink ref="B22:G23" location="'2018'!AM21:AP21" display="'2018'!AM21:AP21" xr:uid="{E3C3C54A-F91D-4357-964A-CAD927BE70B4}"/>
    <hyperlink ref="B42" location="Trimestre!C25:F26" display="HIPOTECA" xr:uid="{727AEF88-CC33-430F-96B8-FCBB467F7047}"/>
    <hyperlink ref="B42:G43" location="'2018'!AM22:AP22" display="'2018'!AM22:AP22" xr:uid="{95507CEA-351B-46E0-9263-89141C588353}"/>
    <hyperlink ref="B62" location="Trimestre!C25:F26" display="HIPOTECA" xr:uid="{71ACCF4F-FE27-4E8C-B942-B01ABB14848F}"/>
    <hyperlink ref="B62:G63" location="'2018'!AM23:AP23" display="'2018'!AM23:AP23" xr:uid="{8C036778-0619-4946-8B8D-94C86217B2B3}"/>
    <hyperlink ref="B82" location="Trimestre!C25:F26" display="HIPOTECA" xr:uid="{8FA38B37-C7F6-4A27-ADB0-6B048653A343}"/>
    <hyperlink ref="B82:G83" location="'2018'!AM24:AP24" display="'2018'!AM24:AP24" xr:uid="{0974EB9C-46DE-4CAC-B337-9E9B4DC73550}"/>
    <hyperlink ref="B102" location="Trimestre!C25:F26" display="HIPOTECA" xr:uid="{FD31251E-6507-44F6-BD4F-D86F1D50006F}"/>
    <hyperlink ref="B102:G103" location="'2018'!AM25:AP25" display="'2018'!AM25:AP25" xr:uid="{0D37AD67-0901-466A-9F38-C88061BDFD8F}"/>
    <hyperlink ref="B122" location="Trimestre!C25:F26" display="HIPOTECA" xr:uid="{C82A9CF3-5B83-47D8-A8F4-2C37411694C7}"/>
    <hyperlink ref="B122:G123" location="'2018'!AM26:AP26" display="'2018'!AM26:AP26" xr:uid="{C7E72CE4-E11E-4E7C-A2B9-AB865B9FAD01}"/>
    <hyperlink ref="B142" location="Trimestre!C25:F26" display="HIPOTECA" xr:uid="{A7D51F14-6D9F-47CD-A46F-9D275603CB38}"/>
    <hyperlink ref="B142:G143" location="'2018'!AM27:AP27" display="'2018'!AM27:AP27" xr:uid="{07757CD6-C336-49A0-9D3A-ADAD7251D9CD}"/>
    <hyperlink ref="B162" location="Trimestre!C25:F26" display="HIPOTECA" xr:uid="{235F4645-71D9-403A-BF56-DD22E692239C}"/>
    <hyperlink ref="B162:G163" location="'2018'!AM28:AP28" display="'2018'!AM28:AP28" xr:uid="{C91CD674-7448-4556-83B5-C0897166E055}"/>
    <hyperlink ref="B182" location="Trimestre!C25:F26" display="HIPOTECA" xr:uid="{073A768A-2D51-4E88-887E-18FF525FE7A1}"/>
    <hyperlink ref="B182:G183" location="'2018'!AM29:AP29" display="'2018'!AM29:AP29" xr:uid="{658DA754-C2F5-423E-8A92-D1CC1653F393}"/>
    <hyperlink ref="B202" location="Trimestre!C25:F26" display="HIPOTECA" xr:uid="{541084B9-EEED-4287-9A12-941292DD8A5C}"/>
    <hyperlink ref="B202:G203" location="'2018'!AM30:AP30" display="'2018'!AM30:AP30" xr:uid="{C5159A64-5614-448C-8215-B5899AE67F2D}"/>
    <hyperlink ref="B222" location="Trimestre!C25:F26" display="HIPOTECA" xr:uid="{F3C4C853-98DB-4920-8A07-93A942E11A67}"/>
    <hyperlink ref="B222:G223" location="'2018'!AM31:AP31" display="'2018'!AM31:AP31" xr:uid="{CDB03E99-DC83-4BC7-A43E-6F038FFEDCB0}"/>
    <hyperlink ref="B242" location="Trimestre!C25:F26" display="HIPOTECA" xr:uid="{FB34F09E-1E1F-42C2-8618-F2F34F47D3DC}"/>
    <hyperlink ref="B242:G243" location="'2018'!AM32:AP32" display="'2018'!AM32:AP32" xr:uid="{A579E469-A3D2-4C8A-9470-CD37894EE748}"/>
    <hyperlink ref="B262" location="Trimestre!C25:F26" display="HIPOTECA" xr:uid="{53C54793-9474-4A96-A6EB-103267D53F95}"/>
    <hyperlink ref="B262:G263" location="'2018'!AM33:AP33" display="'2018'!AM33:AP33" xr:uid="{D2E3B1F5-A5C2-4AFC-A5BF-592A762A74A6}"/>
    <hyperlink ref="B282" location="Trimestre!C25:F26" display="HIPOTECA" xr:uid="{00B8B632-72C4-447C-91CA-53664195B656}"/>
    <hyperlink ref="B282:G283" location="'2018'!AM34:AP34" display="'2018'!AM34:AP34" xr:uid="{B57E94ED-45BF-4BA3-B7A8-1F088968414E}"/>
    <hyperlink ref="B302" location="Trimestre!C25:F26" display="HIPOTECA" xr:uid="{58D856AD-C580-4F0E-9176-E6B22A43EDCC}"/>
    <hyperlink ref="B302:G303" location="'2018'!AM35:AP35" display="'2018'!AM35:AP35" xr:uid="{4C02AF3E-D73A-442B-A4D2-B880B419130D}"/>
    <hyperlink ref="B322" location="Trimestre!C25:F26" display="HIPOTECA" xr:uid="{CB0ED46F-E83E-43F2-879D-9941EC5763D7}"/>
    <hyperlink ref="B322:G323" location="'2018'!AM36:AP36" display="'2018'!AM36:AP36" xr:uid="{34D35C3D-7A47-4ACA-B03D-82DD5944E165}"/>
    <hyperlink ref="B342" location="Trimestre!C25:F26" display="HIPOTECA" xr:uid="{7D13A16E-D534-43C7-81C5-9550C7C558B4}"/>
    <hyperlink ref="B342:G343" location="'2018'!AM37:AP37" display="'2018'!AM37:AP37" xr:uid="{0A5FE1F8-6B3D-413F-9310-4DF6D12A33BD}"/>
    <hyperlink ref="B362" location="Trimestre!C25:F26" display="HIPOTECA" xr:uid="{30AE5742-225F-456E-8C70-B34DC2BE2F8A}"/>
    <hyperlink ref="B362:G363" location="'2018'!AM38:AP38" display="'2018'!AM38:AP38" xr:uid="{1EE02608-BC7F-4F9F-863A-21CE85EB7053}"/>
    <hyperlink ref="B382" location="Trimestre!C25:F26" display="HIPOTECA" xr:uid="{AEB76C4E-6321-46FB-9F1E-ABAF5A1FF3B9}"/>
    <hyperlink ref="B382:G383" location="'2018'!AM39:AP39" display="'2018'!AM39:AP39" xr:uid="{28F4C8E8-3B70-447F-9CB6-0B4634E6923D}"/>
    <hyperlink ref="B402" location="Trimestre!C25:F26" display="HIPOTECA" xr:uid="{F405A7EC-C449-40A5-9313-85EB3CED33AA}"/>
    <hyperlink ref="B402:G403" location="'2018'!AM40:AP40" display="'2018'!AM40:AP40" xr:uid="{553CE290-32D1-4D78-B72D-2C24033ABB06}"/>
    <hyperlink ref="B422" location="Trimestre!C25:F26" display="HIPOTECA" xr:uid="{EA6E841D-D9AA-46A0-BAD7-9C8B415B693D}"/>
    <hyperlink ref="B422:G423" location="'2018'!AM41:AP41" display="'2018'!AM41:AP41" xr:uid="{2D84AF36-6CCD-4B36-AB6D-412815894639}"/>
    <hyperlink ref="B442" location="Trimestre!C25:F26" display="HIPOTECA" xr:uid="{3BB4C900-E1F9-4493-9CD4-69D236A34E89}"/>
    <hyperlink ref="B442:G443" location="'2018'!AM42:AP42" display="'2018'!AM42:AP42" xr:uid="{EA1D8C19-72B2-466D-AA1F-361218F6B23B}"/>
    <hyperlink ref="B462" location="Trimestre!C25:F26" display="HIPOTECA" xr:uid="{197536AE-7016-4C40-8F46-3AB1D6ACFC9A}"/>
    <hyperlink ref="B462:G463" location="'2018'!AM43:AP43" display="'2018'!AM43:AP43" xr:uid="{CEAB0650-8C32-401E-8ADC-84BA5DCE17EE}"/>
    <hyperlink ref="B482" location="Trimestre!C25:F26" display="HIPOTECA" xr:uid="{BA413337-923E-4D44-9AE6-B3430D6BECB3}"/>
    <hyperlink ref="B482:G483" location="'2018'!AM44:AP44" display="'2018'!AM44:AP44" xr:uid="{DB1CA9DC-7224-490E-AF0B-A45E0EFB396D}"/>
    <hyperlink ref="B502" location="Trimestre!C25:F26" display="HIPOTECA" xr:uid="{7429C3BE-DDB7-4988-9DF6-C4A3AFF9432F}"/>
    <hyperlink ref="B502:G503" location="'2018'!AM45:AP45" display="'2018'!AM45:AP45" xr:uid="{6EDBE70B-7FA1-49C6-B623-E212313B13BC}"/>
    <hyperlink ref="I2:L3" location="'2018'!AM4:AP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/>
      <c r="L5" s="288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/>
      <c r="L6" s="281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/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6000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80"/>
      <c r="L11" s="281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13551.890000000001</v>
      </c>
      <c r="L19" s="283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7"/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80"/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9" workbookViewId="0">
      <selection activeCell="G16" sqref="G1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C2" s="204"/>
      <c r="E2" s="126"/>
    </row>
    <row r="3" spans="1:13" ht="12.75" customHeight="1">
      <c r="A3" t="s">
        <v>535</v>
      </c>
      <c r="B3" s="204">
        <v>43556</v>
      </c>
      <c r="D3" s="128"/>
      <c r="E3" s="129"/>
    </row>
    <row r="4" spans="1:13" ht="12.75" customHeight="1">
      <c r="A4" t="s">
        <v>534</v>
      </c>
      <c r="B4" s="209">
        <f>Historico!B24</f>
        <v>132572.97</v>
      </c>
      <c r="E4" s="125"/>
    </row>
    <row r="5" spans="1:13" ht="12.75" customHeight="1">
      <c r="A5" t="s">
        <v>136</v>
      </c>
      <c r="B5" s="130">
        <f>(12*(2048 - YEAR(B3)))+4-MONTH(B3)</f>
        <v>348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-0.16900000000000001</v>
      </c>
      <c r="C6" s="128" t="s">
        <v>141</v>
      </c>
      <c r="D6" s="127" t="s">
        <v>142</v>
      </c>
      <c r="E6" s="126"/>
      <c r="J6" t="s">
        <v>143</v>
      </c>
      <c r="K6" s="133">
        <f>B4-B15</f>
        <v>132209.9522452362</v>
      </c>
      <c r="L6" s="123">
        <f>B4*(E8/100)</f>
        <v>36.568044225000001</v>
      </c>
      <c r="M6" s="133">
        <f>B13-L6</f>
        <v>363.01775476379282</v>
      </c>
    </row>
    <row r="7" spans="1:13" ht="12.75" customHeight="1">
      <c r="E7" s="126"/>
      <c r="J7" t="s">
        <v>144</v>
      </c>
      <c r="K7" s="133">
        <f>K6-(B13-L7)</f>
        <v>131846.83435807505</v>
      </c>
      <c r="L7" s="123">
        <f>(K6*(E8/100))</f>
        <v>36.467911827644322</v>
      </c>
      <c r="M7" s="133">
        <f>B13-L7</f>
        <v>363.11788716114847</v>
      </c>
    </row>
    <row r="8" spans="1:13" ht="12.75" customHeight="1">
      <c r="B8" s="126"/>
      <c r="D8" t="s">
        <v>145</v>
      </c>
      <c r="E8" s="134">
        <f>(B6+0.5)/12</f>
        <v>2.7583333333333331E-2</v>
      </c>
      <c r="J8" t="s">
        <v>146</v>
      </c>
      <c r="K8" s="133">
        <f>K7-(B13-L8)</f>
        <v>131483.6163108967</v>
      </c>
      <c r="L8" s="123">
        <f>(K7*(E8/100))</f>
        <v>36.367751810435699</v>
      </c>
      <c r="M8" s="133">
        <f>B13-L8</f>
        <v>363.2180471783571</v>
      </c>
    </row>
    <row r="9" spans="1:13" ht="12.75" customHeight="1">
      <c r="B9" s="126"/>
      <c r="D9" t="s">
        <v>147</v>
      </c>
      <c r="E9" s="134">
        <f>1+(E8/100)</f>
        <v>1.0002758333333333</v>
      </c>
      <c r="J9" t="s">
        <v>148</v>
      </c>
      <c r="K9" s="133">
        <f>K8-(B13-L9)</f>
        <v>131120.29807607367</v>
      </c>
      <c r="L9" s="123">
        <f>(K8*(E8/100))</f>
        <v>36.267564165755672</v>
      </c>
      <c r="M9" s="133">
        <f>B13-L9</f>
        <v>363.31823482303713</v>
      </c>
    </row>
    <row r="10" spans="1:13" ht="12.75" customHeight="1">
      <c r="B10" s="126"/>
      <c r="D10" t="s">
        <v>149</v>
      </c>
      <c r="E10" s="134">
        <f>E9^-B5</f>
        <v>0.90848512555365957</v>
      </c>
      <c r="J10" t="s">
        <v>150</v>
      </c>
      <c r="K10" s="133">
        <f>K9-(B13-L10)</f>
        <v>130756.87962597086</v>
      </c>
      <c r="L10" s="123">
        <f>(K9*(E8/100))</f>
        <v>36.167348885983657</v>
      </c>
      <c r="M10" s="133">
        <f>B13-L10</f>
        <v>363.41845010280917</v>
      </c>
    </row>
    <row r="11" spans="1:13" ht="12.75" customHeight="1">
      <c r="A11" s="127" t="s">
        <v>151</v>
      </c>
      <c r="B11" s="126"/>
      <c r="D11" t="s">
        <v>152</v>
      </c>
      <c r="E11" s="134">
        <f>100*(1-E10)</f>
        <v>9.1514874446340428</v>
      </c>
      <c r="J11" t="s">
        <v>153</v>
      </c>
      <c r="K11" s="135">
        <f>K10-(B13-L11)</f>
        <v>130393.36093294556</v>
      </c>
      <c r="L11" s="123">
        <f>(K10*(E8/100))</f>
        <v>36.067105963496964</v>
      </c>
      <c r="M11" s="133">
        <f>B13-L11</f>
        <v>363.51869302529587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>(B4*E8)/E11</f>
        <v>399.58579898879282</v>
      </c>
      <c r="E13" s="126"/>
      <c r="F13" s="128"/>
      <c r="G13" s="137"/>
      <c r="L13" s="138">
        <f>SUM(L6:L11)</f>
        <v>217.9057268783163</v>
      </c>
      <c r="M13" s="138">
        <f>SUM(M6:M11)</f>
        <v>2179.6090670544404</v>
      </c>
    </row>
    <row r="14" spans="1:13" ht="12.75" customHeight="1">
      <c r="A14" t="s">
        <v>155</v>
      </c>
      <c r="B14" s="139">
        <f>B4*(E8/100)</f>
        <v>36.568044225000001</v>
      </c>
      <c r="E14" s="126"/>
    </row>
    <row r="15" spans="1:13" ht="12.75" customHeight="1">
      <c r="A15" t="s">
        <v>156</v>
      </c>
      <c r="B15" s="139">
        <f>B13-B14</f>
        <v>363.01775476379282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>B13-Historico!C21</f>
        <v>399.5873589887928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-0.16900000000000001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-0.16900000000000001</v>
      </c>
    </row>
    <row r="21" spans="1:9" ht="12.75" customHeight="1">
      <c r="E21" s="126">
        <v>-0.16900000000000001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>(B13-L6)+(B13-L7)+(B13-L8)+(B13-L9)+(B13-L10)+(B13-L11)</f>
        <v>2179.6090670544404</v>
      </c>
      <c r="C22" s="142">
        <f>B22/170000</f>
        <v>1.2821229806202591E-2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162</v>
      </c>
      <c r="B23" s="137">
        <f>K11</f>
        <v>130393.36093294556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0.22015899999999999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-9.5158999999999994E-2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>1-(K11/170000)</f>
        <v>0.23298022980620259</v>
      </c>
      <c r="E34" s="126"/>
      <c r="F34">
        <v>20</v>
      </c>
      <c r="G34" s="141">
        <f t="shared" si="0"/>
        <v>0</v>
      </c>
    </row>
    <row r="35" spans="2:7" ht="12.75" customHeight="1">
      <c r="C35" s="142">
        <f>C33-C34</f>
        <v>-9.5480229806202632E-2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I13" sqref="I1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76">
        <v>258.47000000000003</v>
      </c>
    </row>
    <row r="2" spans="1:5" ht="15.75" thickBot="1">
      <c r="A2" s="176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3">
        <v>43074</v>
      </c>
      <c r="C3" s="154">
        <v>0</v>
      </c>
      <c r="D3" s="150">
        <v>24736.65</v>
      </c>
      <c r="E3" t="s">
        <v>195</v>
      </c>
    </row>
    <row r="4" spans="1:5">
      <c r="B4" s="163">
        <f>EDATE(B3,1)</f>
        <v>43105</v>
      </c>
      <c r="C4" s="154">
        <f>C3+A$1</f>
        <v>258.47000000000003</v>
      </c>
      <c r="D4" s="150">
        <f>D3-A$1</f>
        <v>24478.18</v>
      </c>
      <c r="E4" t="s">
        <v>195</v>
      </c>
    </row>
    <row r="5" spans="1:5">
      <c r="B5" s="163">
        <f>EDATE(B4,1)</f>
        <v>43136</v>
      </c>
      <c r="C5" s="154">
        <f>C4+A$1</f>
        <v>516.94000000000005</v>
      </c>
      <c r="D5" s="150">
        <f t="shared" ref="D5:D61" si="0">D4-A$1</f>
        <v>24219.71</v>
      </c>
      <c r="E5" t="s">
        <v>195</v>
      </c>
    </row>
    <row r="6" spans="1:5">
      <c r="B6" s="163">
        <f t="shared" ref="B6:B63" si="1">EDATE(B5,1)</f>
        <v>43164</v>
      </c>
      <c r="C6" s="154">
        <f t="shared" ref="C6:C62" si="2">C5+A$1</f>
        <v>775.41000000000008</v>
      </c>
      <c r="D6" s="150">
        <f t="shared" si="0"/>
        <v>23961.239999999998</v>
      </c>
      <c r="E6" t="s">
        <v>195</v>
      </c>
    </row>
    <row r="7" spans="1:5">
      <c r="B7" s="163">
        <f t="shared" si="1"/>
        <v>43195</v>
      </c>
      <c r="C7" s="154">
        <f t="shared" si="2"/>
        <v>1033.8800000000001</v>
      </c>
      <c r="D7" s="150">
        <f t="shared" si="0"/>
        <v>23702.769999999997</v>
      </c>
      <c r="E7" t="s">
        <v>195</v>
      </c>
    </row>
    <row r="8" spans="1:5">
      <c r="B8" s="163">
        <f t="shared" si="1"/>
        <v>43225</v>
      </c>
      <c r="C8" s="154">
        <f t="shared" si="2"/>
        <v>1292.3500000000001</v>
      </c>
      <c r="D8" s="150">
        <f t="shared" si="0"/>
        <v>23444.299999999996</v>
      </c>
      <c r="E8" t="s">
        <v>195</v>
      </c>
    </row>
    <row r="9" spans="1:5">
      <c r="B9" s="163">
        <f t="shared" si="1"/>
        <v>43256</v>
      </c>
      <c r="C9" s="154">
        <f t="shared" si="2"/>
        <v>1550.8200000000002</v>
      </c>
      <c r="D9" s="150">
        <f t="shared" si="0"/>
        <v>23185.829999999994</v>
      </c>
      <c r="E9" t="s">
        <v>195</v>
      </c>
    </row>
    <row r="10" spans="1:5">
      <c r="B10" s="163">
        <f t="shared" si="1"/>
        <v>43286</v>
      </c>
      <c r="C10" s="154">
        <f t="shared" si="2"/>
        <v>1809.2900000000002</v>
      </c>
      <c r="D10" s="150">
        <f t="shared" si="0"/>
        <v>22927.359999999993</v>
      </c>
      <c r="E10" t="s">
        <v>195</v>
      </c>
    </row>
    <row r="11" spans="1:5">
      <c r="B11" s="163">
        <f t="shared" si="1"/>
        <v>43317</v>
      </c>
      <c r="C11" s="154">
        <f t="shared" si="2"/>
        <v>2067.7600000000002</v>
      </c>
      <c r="D11" s="150">
        <f t="shared" si="0"/>
        <v>22668.889999999992</v>
      </c>
      <c r="E11" t="s">
        <v>195</v>
      </c>
    </row>
    <row r="12" spans="1:5">
      <c r="B12" s="163">
        <f t="shared" si="1"/>
        <v>43348</v>
      </c>
      <c r="C12" s="154">
        <f t="shared" si="2"/>
        <v>2326.2300000000005</v>
      </c>
      <c r="D12" s="150">
        <f t="shared" si="0"/>
        <v>22410.419999999991</v>
      </c>
      <c r="E12" t="s">
        <v>195</v>
      </c>
    </row>
    <row r="13" spans="1:5">
      <c r="B13" s="163">
        <f t="shared" si="1"/>
        <v>43378</v>
      </c>
      <c r="C13" s="154">
        <f t="shared" si="2"/>
        <v>2584.7000000000007</v>
      </c>
      <c r="D13" s="150">
        <f t="shared" si="0"/>
        <v>22151.94999999999</v>
      </c>
    </row>
    <row r="14" spans="1:5">
      <c r="B14" s="163">
        <f t="shared" si="1"/>
        <v>43409</v>
      </c>
      <c r="C14" s="154">
        <f t="shared" si="2"/>
        <v>2843.170000000001</v>
      </c>
      <c r="D14" s="150">
        <f t="shared" si="0"/>
        <v>21893.479999999989</v>
      </c>
    </row>
    <row r="15" spans="1:5">
      <c r="B15" s="163">
        <f t="shared" si="1"/>
        <v>43439</v>
      </c>
      <c r="C15" s="154">
        <f t="shared" si="2"/>
        <v>3101.6400000000012</v>
      </c>
      <c r="D15" s="150">
        <f t="shared" si="0"/>
        <v>21635.009999999987</v>
      </c>
    </row>
    <row r="16" spans="1:5">
      <c r="B16" s="163">
        <f t="shared" si="1"/>
        <v>43470</v>
      </c>
      <c r="C16" s="154">
        <f t="shared" si="2"/>
        <v>3360.1100000000015</v>
      </c>
      <c r="D16" s="150">
        <f t="shared" si="0"/>
        <v>21376.539999999986</v>
      </c>
    </row>
    <row r="17" spans="2:4">
      <c r="B17" s="163">
        <f t="shared" si="1"/>
        <v>43501</v>
      </c>
      <c r="C17" s="154">
        <f t="shared" si="2"/>
        <v>3618.5800000000017</v>
      </c>
      <c r="D17" s="150">
        <f t="shared" si="0"/>
        <v>21118.069999999985</v>
      </c>
    </row>
    <row r="18" spans="2:4">
      <c r="B18" s="163">
        <f t="shared" si="1"/>
        <v>43529</v>
      </c>
      <c r="C18" s="154">
        <f t="shared" si="2"/>
        <v>3877.050000000002</v>
      </c>
      <c r="D18" s="150">
        <f t="shared" si="0"/>
        <v>20859.599999999984</v>
      </c>
    </row>
    <row r="19" spans="2:4">
      <c r="B19" s="163">
        <f t="shared" si="1"/>
        <v>43560</v>
      </c>
      <c r="C19" s="154">
        <f t="shared" si="2"/>
        <v>4135.5200000000023</v>
      </c>
      <c r="D19" s="150">
        <f t="shared" si="0"/>
        <v>20601.129999999983</v>
      </c>
    </row>
    <row r="20" spans="2:4">
      <c r="B20" s="163">
        <f t="shared" si="1"/>
        <v>43590</v>
      </c>
      <c r="C20" s="154">
        <f t="shared" si="2"/>
        <v>4393.9900000000025</v>
      </c>
      <c r="D20" s="150">
        <f t="shared" si="0"/>
        <v>20342.659999999982</v>
      </c>
    </row>
    <row r="21" spans="2:4">
      <c r="B21" s="163">
        <f t="shared" si="1"/>
        <v>43621</v>
      </c>
      <c r="C21" s="154">
        <f t="shared" si="2"/>
        <v>4652.4600000000028</v>
      </c>
      <c r="D21" s="150">
        <f t="shared" si="0"/>
        <v>20084.189999999981</v>
      </c>
    </row>
    <row r="22" spans="2:4">
      <c r="B22" s="163">
        <f t="shared" si="1"/>
        <v>43651</v>
      </c>
      <c r="C22" s="154">
        <f t="shared" si="2"/>
        <v>4910.930000000003</v>
      </c>
      <c r="D22" s="150">
        <f t="shared" si="0"/>
        <v>19825.719999999979</v>
      </c>
    </row>
    <row r="23" spans="2:4">
      <c r="B23" s="163">
        <f t="shared" si="1"/>
        <v>43682</v>
      </c>
      <c r="C23" s="154">
        <f t="shared" si="2"/>
        <v>5169.4000000000033</v>
      </c>
      <c r="D23" s="150">
        <f t="shared" si="0"/>
        <v>19567.249999999978</v>
      </c>
    </row>
    <row r="24" spans="2:4">
      <c r="B24" s="163">
        <f t="shared" si="1"/>
        <v>43713</v>
      </c>
      <c r="C24" s="154">
        <f t="shared" si="2"/>
        <v>5427.8700000000035</v>
      </c>
      <c r="D24" s="150">
        <f t="shared" si="0"/>
        <v>19308.779999999977</v>
      </c>
    </row>
    <row r="25" spans="2:4">
      <c r="B25" s="163">
        <f t="shared" si="1"/>
        <v>43743</v>
      </c>
      <c r="C25" s="154">
        <f t="shared" si="2"/>
        <v>5686.3400000000038</v>
      </c>
      <c r="D25" s="150">
        <f t="shared" si="0"/>
        <v>19050.309999999976</v>
      </c>
    </row>
    <row r="26" spans="2:4">
      <c r="B26" s="163">
        <f t="shared" si="1"/>
        <v>43774</v>
      </c>
      <c r="C26" s="154">
        <f t="shared" si="2"/>
        <v>5944.810000000004</v>
      </c>
      <c r="D26" s="150">
        <f t="shared" si="0"/>
        <v>18791.839999999975</v>
      </c>
    </row>
    <row r="27" spans="2:4">
      <c r="B27" s="163">
        <f t="shared" si="1"/>
        <v>43804</v>
      </c>
      <c r="C27" s="154">
        <f t="shared" si="2"/>
        <v>6203.2800000000043</v>
      </c>
      <c r="D27" s="150">
        <f t="shared" si="0"/>
        <v>18533.369999999974</v>
      </c>
    </row>
    <row r="28" spans="2:4">
      <c r="B28" s="163">
        <f t="shared" si="1"/>
        <v>43835</v>
      </c>
      <c r="C28" s="154">
        <f t="shared" si="2"/>
        <v>6461.7500000000045</v>
      </c>
      <c r="D28" s="150">
        <f t="shared" si="0"/>
        <v>18274.899999999972</v>
      </c>
    </row>
    <row r="29" spans="2:4">
      <c r="B29" s="163">
        <f t="shared" si="1"/>
        <v>43866</v>
      </c>
      <c r="C29" s="154">
        <f t="shared" si="2"/>
        <v>6720.2200000000048</v>
      </c>
      <c r="D29" s="150">
        <f t="shared" si="0"/>
        <v>18016.429999999971</v>
      </c>
    </row>
    <row r="30" spans="2:4">
      <c r="B30" s="163">
        <f t="shared" si="1"/>
        <v>43895</v>
      </c>
      <c r="C30" s="154">
        <f t="shared" si="2"/>
        <v>6978.6900000000051</v>
      </c>
      <c r="D30" s="150">
        <f t="shared" si="0"/>
        <v>17757.95999999997</v>
      </c>
    </row>
    <row r="31" spans="2:4">
      <c r="B31" s="163">
        <f t="shared" si="1"/>
        <v>43926</v>
      </c>
      <c r="C31" s="154">
        <f t="shared" si="2"/>
        <v>7237.1600000000053</v>
      </c>
      <c r="D31" s="150">
        <f t="shared" si="0"/>
        <v>17499.489999999969</v>
      </c>
    </row>
    <row r="32" spans="2:4">
      <c r="B32" s="163">
        <f t="shared" si="1"/>
        <v>43956</v>
      </c>
      <c r="C32" s="154">
        <f t="shared" si="2"/>
        <v>7495.6300000000056</v>
      </c>
      <c r="D32" s="150">
        <f t="shared" si="0"/>
        <v>17241.019999999968</v>
      </c>
    </row>
    <row r="33" spans="2:4">
      <c r="B33" s="163">
        <f t="shared" si="1"/>
        <v>43987</v>
      </c>
      <c r="C33" s="154">
        <f t="shared" si="2"/>
        <v>7754.1000000000058</v>
      </c>
      <c r="D33" s="150">
        <f t="shared" si="0"/>
        <v>16982.549999999967</v>
      </c>
    </row>
    <row r="34" spans="2:4">
      <c r="B34" s="163">
        <f t="shared" si="1"/>
        <v>44017</v>
      </c>
      <c r="C34" s="154">
        <f t="shared" si="2"/>
        <v>8012.5700000000061</v>
      </c>
      <c r="D34" s="150">
        <f t="shared" si="0"/>
        <v>16724.079999999965</v>
      </c>
    </row>
    <row r="35" spans="2:4">
      <c r="B35" s="163">
        <f t="shared" si="1"/>
        <v>44048</v>
      </c>
      <c r="C35" s="154">
        <f t="shared" si="2"/>
        <v>8271.0400000000063</v>
      </c>
      <c r="D35" s="150">
        <f t="shared" si="0"/>
        <v>16465.609999999964</v>
      </c>
    </row>
    <row r="36" spans="2:4">
      <c r="B36" s="163">
        <f t="shared" si="1"/>
        <v>44079</v>
      </c>
      <c r="C36" s="154">
        <f t="shared" si="2"/>
        <v>8529.5100000000057</v>
      </c>
      <c r="D36" s="150">
        <f t="shared" si="0"/>
        <v>16207.139999999965</v>
      </c>
    </row>
    <row r="37" spans="2:4">
      <c r="B37" s="163">
        <f t="shared" si="1"/>
        <v>44109</v>
      </c>
      <c r="C37" s="154">
        <f t="shared" si="2"/>
        <v>8787.980000000005</v>
      </c>
      <c r="D37" s="150">
        <f t="shared" si="0"/>
        <v>15948.669999999966</v>
      </c>
    </row>
    <row r="38" spans="2:4">
      <c r="B38" s="163">
        <f t="shared" si="1"/>
        <v>44140</v>
      </c>
      <c r="C38" s="154">
        <f t="shared" si="2"/>
        <v>9046.4500000000044</v>
      </c>
      <c r="D38" s="150">
        <f t="shared" si="0"/>
        <v>15690.199999999966</v>
      </c>
    </row>
    <row r="39" spans="2:4">
      <c r="B39" s="163">
        <f t="shared" si="1"/>
        <v>44170</v>
      </c>
      <c r="C39" s="154">
        <f t="shared" si="2"/>
        <v>9304.9200000000037</v>
      </c>
      <c r="D39" s="150">
        <f t="shared" si="0"/>
        <v>15431.729999999967</v>
      </c>
    </row>
    <row r="40" spans="2:4">
      <c r="B40" s="163">
        <f t="shared" si="1"/>
        <v>44201</v>
      </c>
      <c r="C40" s="154">
        <f t="shared" si="2"/>
        <v>9563.3900000000031</v>
      </c>
      <c r="D40" s="150">
        <f>D39-A$1</f>
        <v>15173.259999999967</v>
      </c>
    </row>
    <row r="41" spans="2:4">
      <c r="B41" s="163">
        <f t="shared" si="1"/>
        <v>44232</v>
      </c>
      <c r="C41" s="154">
        <f t="shared" si="2"/>
        <v>9821.8600000000024</v>
      </c>
      <c r="D41" s="150">
        <f t="shared" si="0"/>
        <v>14914.789999999968</v>
      </c>
    </row>
    <row r="42" spans="2:4">
      <c r="B42" s="163">
        <f t="shared" si="1"/>
        <v>44260</v>
      </c>
      <c r="C42" s="154">
        <f t="shared" si="2"/>
        <v>10080.330000000002</v>
      </c>
      <c r="D42" s="150">
        <f t="shared" si="0"/>
        <v>14656.319999999969</v>
      </c>
    </row>
    <row r="43" spans="2:4">
      <c r="B43" s="163">
        <f t="shared" si="1"/>
        <v>44291</v>
      </c>
      <c r="C43" s="154">
        <f t="shared" si="2"/>
        <v>10338.800000000001</v>
      </c>
      <c r="D43" s="150">
        <f t="shared" si="0"/>
        <v>14397.849999999969</v>
      </c>
    </row>
    <row r="44" spans="2:4">
      <c r="B44" s="163">
        <f t="shared" si="1"/>
        <v>44321</v>
      </c>
      <c r="C44" s="154">
        <f t="shared" si="2"/>
        <v>10597.27</v>
      </c>
      <c r="D44" s="150">
        <f t="shared" si="0"/>
        <v>14139.37999999997</v>
      </c>
    </row>
    <row r="45" spans="2:4">
      <c r="B45" s="163">
        <f t="shared" si="1"/>
        <v>44352</v>
      </c>
      <c r="C45" s="154">
        <f t="shared" si="2"/>
        <v>10855.74</v>
      </c>
      <c r="D45" s="150">
        <f t="shared" si="0"/>
        <v>13880.909999999971</v>
      </c>
    </row>
    <row r="46" spans="2:4">
      <c r="B46" s="163">
        <f t="shared" si="1"/>
        <v>44382</v>
      </c>
      <c r="C46" s="154">
        <f t="shared" si="2"/>
        <v>11114.21</v>
      </c>
      <c r="D46" s="150">
        <f t="shared" si="0"/>
        <v>13622.439999999971</v>
      </c>
    </row>
    <row r="47" spans="2:4">
      <c r="B47" s="163">
        <f t="shared" si="1"/>
        <v>44413</v>
      </c>
      <c r="C47" s="154">
        <f t="shared" si="2"/>
        <v>11372.679999999998</v>
      </c>
      <c r="D47" s="150">
        <f t="shared" si="0"/>
        <v>13363.969999999972</v>
      </c>
    </row>
    <row r="48" spans="2:4">
      <c r="B48" s="163">
        <f t="shared" si="1"/>
        <v>44444</v>
      </c>
      <c r="C48" s="154">
        <f t="shared" si="2"/>
        <v>11631.149999999998</v>
      </c>
      <c r="D48" s="150">
        <f t="shared" si="0"/>
        <v>13105.499999999973</v>
      </c>
    </row>
    <row r="49" spans="2:4">
      <c r="B49" s="163">
        <f t="shared" si="1"/>
        <v>44474</v>
      </c>
      <c r="C49" s="154">
        <f t="shared" si="2"/>
        <v>11889.619999999997</v>
      </c>
      <c r="D49" s="150">
        <f t="shared" si="0"/>
        <v>12847.029999999973</v>
      </c>
    </row>
    <row r="50" spans="2:4">
      <c r="B50" s="163">
        <f t="shared" si="1"/>
        <v>44505</v>
      </c>
      <c r="C50" s="154">
        <f t="shared" si="2"/>
        <v>12148.089999999997</v>
      </c>
      <c r="D50" s="150">
        <f t="shared" si="0"/>
        <v>12588.559999999974</v>
      </c>
    </row>
    <row r="51" spans="2:4">
      <c r="B51" s="163">
        <f t="shared" si="1"/>
        <v>44535</v>
      </c>
      <c r="C51" s="154">
        <f t="shared" si="2"/>
        <v>12406.559999999996</v>
      </c>
      <c r="D51" s="150">
        <f t="shared" si="0"/>
        <v>12330.089999999975</v>
      </c>
    </row>
    <row r="52" spans="2:4">
      <c r="B52" s="163">
        <f t="shared" si="1"/>
        <v>44566</v>
      </c>
      <c r="C52" s="154">
        <f t="shared" si="2"/>
        <v>12665.029999999995</v>
      </c>
      <c r="D52" s="150">
        <f t="shared" si="0"/>
        <v>12071.619999999975</v>
      </c>
    </row>
    <row r="53" spans="2:4">
      <c r="B53" s="163">
        <f t="shared" si="1"/>
        <v>44597</v>
      </c>
      <c r="C53" s="154">
        <f t="shared" si="2"/>
        <v>12923.499999999995</v>
      </c>
      <c r="D53" s="150">
        <f t="shared" si="0"/>
        <v>11813.149999999976</v>
      </c>
    </row>
    <row r="54" spans="2:4">
      <c r="B54" s="163">
        <f t="shared" si="1"/>
        <v>44625</v>
      </c>
      <c r="C54" s="154">
        <f t="shared" si="2"/>
        <v>13181.969999999994</v>
      </c>
      <c r="D54" s="150">
        <f>D53-A$1</f>
        <v>11554.679999999977</v>
      </c>
    </row>
    <row r="55" spans="2:4">
      <c r="B55" s="163">
        <f t="shared" si="1"/>
        <v>44656</v>
      </c>
      <c r="C55" s="154">
        <f t="shared" si="2"/>
        <v>13440.439999999993</v>
      </c>
      <c r="D55" s="150">
        <f t="shared" si="0"/>
        <v>11296.209999999977</v>
      </c>
    </row>
    <row r="56" spans="2:4">
      <c r="B56" s="163">
        <f t="shared" si="1"/>
        <v>44686</v>
      </c>
      <c r="C56" s="154">
        <f t="shared" si="2"/>
        <v>13698.909999999993</v>
      </c>
      <c r="D56" s="150">
        <f t="shared" si="0"/>
        <v>11037.739999999978</v>
      </c>
    </row>
    <row r="57" spans="2:4">
      <c r="B57" s="163">
        <f t="shared" si="1"/>
        <v>44717</v>
      </c>
      <c r="C57" s="154">
        <f t="shared" si="2"/>
        <v>13957.379999999992</v>
      </c>
      <c r="D57" s="150">
        <f t="shared" si="0"/>
        <v>10779.269999999979</v>
      </c>
    </row>
    <row r="58" spans="2:4">
      <c r="B58" s="163">
        <f t="shared" si="1"/>
        <v>44747</v>
      </c>
      <c r="C58" s="154">
        <f t="shared" si="2"/>
        <v>14215.849999999991</v>
      </c>
      <c r="D58" s="150">
        <f t="shared" si="0"/>
        <v>10520.799999999979</v>
      </c>
    </row>
    <row r="59" spans="2:4">
      <c r="B59" s="163">
        <f t="shared" si="1"/>
        <v>44778</v>
      </c>
      <c r="C59" s="154">
        <f t="shared" si="2"/>
        <v>14474.319999999991</v>
      </c>
      <c r="D59" s="150">
        <f t="shared" si="0"/>
        <v>10262.32999999998</v>
      </c>
    </row>
    <row r="60" spans="2:4">
      <c r="B60" s="163">
        <f t="shared" si="1"/>
        <v>44809</v>
      </c>
      <c r="C60" s="154">
        <f t="shared" si="2"/>
        <v>14732.78999999999</v>
      </c>
      <c r="D60" s="150">
        <f t="shared" si="0"/>
        <v>10003.859999999981</v>
      </c>
    </row>
    <row r="61" spans="2:4">
      <c r="B61" s="163">
        <f t="shared" si="1"/>
        <v>44839</v>
      </c>
      <c r="C61" s="154">
        <f t="shared" si="2"/>
        <v>14991.259999999989</v>
      </c>
      <c r="D61" s="150">
        <f t="shared" si="0"/>
        <v>9745.3899999999812</v>
      </c>
    </row>
    <row r="62" spans="2:4">
      <c r="B62" s="163">
        <f t="shared" si="1"/>
        <v>44870</v>
      </c>
      <c r="C62" s="154">
        <f t="shared" si="2"/>
        <v>15249.729999999989</v>
      </c>
      <c r="D62" s="150">
        <f>D61-A$1</f>
        <v>9486.9199999999819</v>
      </c>
    </row>
    <row r="63" spans="2:4" ht="15.75" thickBot="1">
      <c r="B63" s="177">
        <f t="shared" si="1"/>
        <v>44900</v>
      </c>
      <c r="C63" s="169">
        <f>C62+A$2</f>
        <v>24736.649999999987</v>
      </c>
      <c r="D63" s="167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8" workbookViewId="0">
      <selection activeCell="E23" sqref="E23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45" t="s">
        <v>163</v>
      </c>
      <c r="B1" s="205" t="s">
        <v>590</v>
      </c>
      <c r="C1" s="146" t="s">
        <v>164</v>
      </c>
      <c r="D1" s="147" t="s">
        <v>165</v>
      </c>
      <c r="E1" s="147" t="s">
        <v>166</v>
      </c>
      <c r="I1" s="148" t="s">
        <v>167</v>
      </c>
      <c r="J1" s="145" t="s">
        <v>168</v>
      </c>
      <c r="K1" s="147" t="s">
        <v>169</v>
      </c>
      <c r="L1" s="147" t="s">
        <v>170</v>
      </c>
      <c r="M1" s="147" t="s">
        <v>166</v>
      </c>
    </row>
    <row r="2" spans="1:13" ht="12.75" customHeight="1">
      <c r="A2" s="210">
        <v>39479</v>
      </c>
      <c r="B2" s="206"/>
      <c r="C2" s="149" t="s">
        <v>171</v>
      </c>
      <c r="D2" s="150">
        <f>848.08</f>
        <v>848.08</v>
      </c>
      <c r="E2" s="151">
        <v>0</v>
      </c>
      <c r="G2" s="152">
        <f t="shared" ref="G2:G23" si="0">D2*6</f>
        <v>5088.4800000000005</v>
      </c>
      <c r="I2" s="153"/>
      <c r="J2" s="154"/>
      <c r="K2" s="150"/>
      <c r="L2" s="150"/>
      <c r="M2" s="151">
        <v>0</v>
      </c>
    </row>
    <row r="3" spans="1:13" ht="12.75" customHeight="1">
      <c r="A3" s="210">
        <v>39661</v>
      </c>
      <c r="B3" s="206"/>
      <c r="C3" s="155">
        <v>5.323E-2</v>
      </c>
      <c r="D3" s="150">
        <v>914</v>
      </c>
      <c r="E3" s="156">
        <f t="shared" ref="E3:E15" si="1">D3-D2</f>
        <v>65.919999999999959</v>
      </c>
      <c r="G3" s="152">
        <f t="shared" si="0"/>
        <v>5484</v>
      </c>
      <c r="I3" s="153"/>
      <c r="J3" s="154"/>
      <c r="K3" s="150"/>
      <c r="L3" s="157"/>
      <c r="M3" s="156">
        <f t="shared" ref="M3:M16" si="2">L3-L2</f>
        <v>0</v>
      </c>
    </row>
    <row r="4" spans="1:13" ht="12.75" customHeight="1">
      <c r="A4" s="210">
        <v>39845</v>
      </c>
      <c r="B4" s="206"/>
      <c r="C4" s="155">
        <v>2.1350000000000001E-2</v>
      </c>
      <c r="D4" s="150">
        <f>577.6</f>
        <v>577.6</v>
      </c>
      <c r="E4" s="156">
        <f t="shared" si="1"/>
        <v>-336.4</v>
      </c>
      <c r="G4" s="152">
        <f t="shared" si="0"/>
        <v>3465.6000000000004</v>
      </c>
      <c r="I4" s="153"/>
      <c r="J4" s="154"/>
      <c r="K4" s="150"/>
      <c r="L4" s="158"/>
      <c r="M4" s="156">
        <f t="shared" si="2"/>
        <v>0</v>
      </c>
    </row>
    <row r="5" spans="1:13" ht="12.75" customHeight="1">
      <c r="A5" s="210">
        <v>40026</v>
      </c>
      <c r="B5" s="206"/>
      <c r="C5" s="155">
        <v>1.3339999999999999E-2</v>
      </c>
      <c r="D5" s="157">
        <v>505.94</v>
      </c>
      <c r="E5" s="156">
        <f t="shared" si="1"/>
        <v>-71.660000000000025</v>
      </c>
      <c r="G5" s="152">
        <f t="shared" si="0"/>
        <v>3035.64</v>
      </c>
      <c r="I5" s="153"/>
      <c r="J5" s="159"/>
      <c r="K5" s="157"/>
      <c r="L5" s="157"/>
      <c r="M5" s="156">
        <f t="shared" si="2"/>
        <v>0</v>
      </c>
    </row>
    <row r="6" spans="1:13" ht="12.75" customHeight="1">
      <c r="A6" s="210">
        <v>40210</v>
      </c>
      <c r="B6" s="206"/>
      <c r="C6" s="155">
        <v>1.225E-2</v>
      </c>
      <c r="D6" s="157">
        <v>496.71</v>
      </c>
      <c r="E6" s="156">
        <f t="shared" si="1"/>
        <v>-9.2300000000000182</v>
      </c>
      <c r="G6" s="152">
        <f t="shared" si="0"/>
        <v>2980.2599999999998</v>
      </c>
      <c r="I6" s="153"/>
      <c r="J6" s="159"/>
      <c r="K6" s="157"/>
      <c r="L6" s="157"/>
      <c r="M6" s="156">
        <f t="shared" si="2"/>
        <v>0</v>
      </c>
    </row>
    <row r="7" spans="1:13" ht="12.75" customHeight="1">
      <c r="A7" s="210">
        <v>40391</v>
      </c>
      <c r="B7" s="206"/>
      <c r="C7" s="155">
        <v>1.421E-2</v>
      </c>
      <c r="D7" s="157">
        <v>513.17999999999995</v>
      </c>
      <c r="E7" s="156">
        <f t="shared" si="1"/>
        <v>16.46999999999997</v>
      </c>
      <c r="G7" s="152">
        <f t="shared" si="0"/>
        <v>3079.08</v>
      </c>
      <c r="I7" s="153"/>
      <c r="J7" s="159"/>
      <c r="K7" s="157"/>
      <c r="L7" s="157"/>
      <c r="M7" s="156">
        <f t="shared" si="2"/>
        <v>0</v>
      </c>
    </row>
    <row r="8" spans="1:13" ht="12.75" customHeight="1">
      <c r="A8" s="210">
        <v>40575</v>
      </c>
      <c r="B8" s="206"/>
      <c r="C8" s="155">
        <v>1.7139999999999999E-2</v>
      </c>
      <c r="D8" s="160">
        <v>538.1</v>
      </c>
      <c r="E8" s="156">
        <f t="shared" si="1"/>
        <v>24.920000000000073</v>
      </c>
      <c r="G8" s="152">
        <f t="shared" si="0"/>
        <v>3228.6000000000004</v>
      </c>
      <c r="I8" s="153"/>
      <c r="J8" s="161"/>
      <c r="K8" s="160"/>
      <c r="L8" s="157"/>
      <c r="M8" s="156">
        <f t="shared" si="2"/>
        <v>0</v>
      </c>
    </row>
    <row r="9" spans="1:13" ht="12.75" customHeight="1">
      <c r="A9" s="210">
        <v>40756</v>
      </c>
      <c r="B9" s="206"/>
      <c r="C9" s="155">
        <v>2.0969999999999999E-2</v>
      </c>
      <c r="D9" s="157">
        <v>571.29</v>
      </c>
      <c r="E9" s="156">
        <f t="shared" si="1"/>
        <v>33.189999999999941</v>
      </c>
      <c r="G9" s="152">
        <f t="shared" si="0"/>
        <v>3427.74</v>
      </c>
      <c r="I9" s="153"/>
      <c r="J9" s="159"/>
      <c r="K9" s="157"/>
      <c r="L9" s="157"/>
      <c r="M9" s="156">
        <f t="shared" si="2"/>
        <v>0</v>
      </c>
    </row>
    <row r="10" spans="1:13" ht="12.75" customHeight="1">
      <c r="A10" s="211">
        <v>40940</v>
      </c>
      <c r="B10" s="207"/>
      <c r="C10" s="155">
        <v>1.678E-2</v>
      </c>
      <c r="D10" s="157">
        <v>535.46</v>
      </c>
      <c r="E10" s="156">
        <f t="shared" si="1"/>
        <v>-35.829999999999927</v>
      </c>
      <c r="G10" s="152">
        <f t="shared" si="0"/>
        <v>3212.76</v>
      </c>
      <c r="I10" s="162"/>
      <c r="J10" s="159"/>
      <c r="K10" s="157"/>
      <c r="L10" s="157"/>
      <c r="M10" s="156">
        <f t="shared" si="2"/>
        <v>0</v>
      </c>
    </row>
    <row r="11" spans="1:13" ht="12.75" customHeight="1">
      <c r="A11" s="210">
        <v>41122</v>
      </c>
      <c r="B11" s="206"/>
      <c r="C11" s="155">
        <f>(1.377-0.5)/100</f>
        <v>8.77E-3</v>
      </c>
      <c r="D11" s="157">
        <f>471.35</f>
        <v>471.35</v>
      </c>
      <c r="E11" s="156">
        <f t="shared" si="1"/>
        <v>-64.110000000000014</v>
      </c>
      <c r="G11" s="152">
        <f t="shared" si="0"/>
        <v>2828.1000000000004</v>
      </c>
      <c r="I11" s="153"/>
      <c r="J11" s="159"/>
      <c r="K11" s="157"/>
      <c r="L11" s="157"/>
      <c r="M11" s="156">
        <f t="shared" si="2"/>
        <v>0</v>
      </c>
    </row>
    <row r="12" spans="1:13" ht="12.75" customHeight="1">
      <c r="A12" s="210">
        <v>41306</v>
      </c>
      <c r="B12" s="206"/>
      <c r="C12" s="155">
        <f>0.594/100</f>
        <v>5.94E-3</v>
      </c>
      <c r="D12" s="157">
        <v>450.15</v>
      </c>
      <c r="E12" s="156">
        <v>-21.2</v>
      </c>
      <c r="G12" s="152">
        <f t="shared" si="0"/>
        <v>2700.8999999999996</v>
      </c>
      <c r="I12" s="153"/>
      <c r="J12" s="159"/>
      <c r="K12" s="157"/>
      <c r="L12" s="157"/>
      <c r="M12" s="156">
        <v>0</v>
      </c>
    </row>
    <row r="13" spans="1:13" ht="12.75" customHeight="1">
      <c r="A13" s="210">
        <v>41487</v>
      </c>
      <c r="B13" s="206"/>
      <c r="C13" s="155">
        <f>0.542/100</f>
        <v>5.4200000000000003E-3</v>
      </c>
      <c r="D13" s="157">
        <v>446.36</v>
      </c>
      <c r="E13" s="156">
        <v>-3.77</v>
      </c>
      <c r="G13" s="152">
        <f t="shared" si="0"/>
        <v>2678.16</v>
      </c>
      <c r="I13" s="153"/>
      <c r="J13" s="159"/>
      <c r="K13" s="157"/>
      <c r="L13" s="157"/>
      <c r="M13" s="156">
        <v>0</v>
      </c>
    </row>
    <row r="14" spans="1:13" ht="12.75" customHeight="1">
      <c r="A14" s="210">
        <v>41671</v>
      </c>
      <c r="B14" s="206"/>
      <c r="C14" s="155">
        <f>0.549/100</f>
        <v>5.4900000000000001E-3</v>
      </c>
      <c r="D14" s="157">
        <f>446.86</f>
        <v>446.86</v>
      </c>
      <c r="E14" s="156">
        <f t="shared" si="1"/>
        <v>0.5</v>
      </c>
      <c r="G14" s="152">
        <f t="shared" si="0"/>
        <v>2681.16</v>
      </c>
      <c r="I14" s="163">
        <f>EDATE(A14,2)</f>
        <v>41730</v>
      </c>
      <c r="J14" s="164">
        <v>153293.20000000001</v>
      </c>
      <c r="K14" s="157">
        <v>15951.99</v>
      </c>
      <c r="L14" s="165">
        <f t="shared" ref="L14:L19" si="3">K14-J14</f>
        <v>-137341.21000000002</v>
      </c>
      <c r="M14" s="156">
        <f t="shared" si="2"/>
        <v>-137341.21000000002</v>
      </c>
    </row>
    <row r="15" spans="1:13" ht="12.75" customHeight="1">
      <c r="A15" s="210">
        <f>EDATE(A14,6)</f>
        <v>41852</v>
      </c>
      <c r="B15" s="206">
        <v>151411.95000000001</v>
      </c>
      <c r="C15" s="155">
        <f>(0.969-0.5)/100</f>
        <v>4.6899999999999997E-3</v>
      </c>
      <c r="D15" s="157">
        <f>318.97+122.27</f>
        <v>441.24</v>
      </c>
      <c r="E15" s="156">
        <f t="shared" si="1"/>
        <v>-5.6200000000000045</v>
      </c>
      <c r="G15" s="152">
        <f t="shared" si="0"/>
        <v>2647.44</v>
      </c>
      <c r="I15" s="163">
        <f t="shared" ref="I15:I62" si="4">EDATE(A15,2)</f>
        <v>41913</v>
      </c>
      <c r="J15" s="159">
        <f>151411.95+18544.65-(198.04*2)</f>
        <v>169560.52000000002</v>
      </c>
      <c r="K15" s="157">
        <v>17897.71</v>
      </c>
      <c r="L15" s="165">
        <f t="shared" si="3"/>
        <v>-151662.81000000003</v>
      </c>
      <c r="M15" s="156">
        <f t="shared" si="2"/>
        <v>-14321.600000000006</v>
      </c>
    </row>
    <row r="16" spans="1:13" ht="12.75" customHeight="1">
      <c r="A16" s="210">
        <f t="shared" ref="A16:A79" si="5">EDATE(A15,6)</f>
        <v>42036</v>
      </c>
      <c r="B16" s="206">
        <v>149494.24</v>
      </c>
      <c r="C16" s="155">
        <f>0.00255</f>
        <v>2.5500000000000002E-3</v>
      </c>
      <c r="D16" s="157">
        <f>426.61</f>
        <v>426.61</v>
      </c>
      <c r="E16" s="156">
        <f>D16-D15</f>
        <v>-14.629999999999995</v>
      </c>
      <c r="G16" s="152">
        <f t="shared" si="0"/>
        <v>2559.66</v>
      </c>
      <c r="I16" s="163">
        <f t="shared" si="4"/>
        <v>42095</v>
      </c>
      <c r="J16" s="159">
        <f>149494.24+18544.65-(198.04*(2+6))</f>
        <v>166454.56999999998</v>
      </c>
      <c r="K16" s="157">
        <v>20433.009999999998</v>
      </c>
      <c r="L16" s="165">
        <f t="shared" si="3"/>
        <v>-146021.55999999997</v>
      </c>
      <c r="M16" s="156">
        <f t="shared" si="2"/>
        <v>5641.2500000000582</v>
      </c>
    </row>
    <row r="17" spans="1:13" ht="12.75" customHeight="1">
      <c r="A17" s="210">
        <f t="shared" si="5"/>
        <v>42217</v>
      </c>
      <c r="B17" s="206">
        <v>147495.79</v>
      </c>
      <c r="C17" s="155">
        <v>1.6138095238095241E-3</v>
      </c>
      <c r="D17" s="157">
        <v>420.38</v>
      </c>
      <c r="E17" s="156">
        <f>D17-D16</f>
        <v>-6.2300000000000182</v>
      </c>
      <c r="G17" s="152">
        <f t="shared" si="0"/>
        <v>2522.2799999999997</v>
      </c>
      <c r="I17" s="163">
        <f t="shared" si="4"/>
        <v>42278</v>
      </c>
      <c r="J17" s="159">
        <f>147495.79+18544.65-(198.04*(2+12))</f>
        <v>163267.88</v>
      </c>
      <c r="K17" s="157">
        <v>17715.88</v>
      </c>
      <c r="L17" s="165">
        <f t="shared" si="3"/>
        <v>-145552</v>
      </c>
      <c r="M17" s="156">
        <f t="shared" ref="M17:M22" si="6">L17-L16</f>
        <v>469.55999999996857</v>
      </c>
    </row>
    <row r="18" spans="1:13" ht="12.75" customHeight="1">
      <c r="A18" s="210">
        <f t="shared" si="5"/>
        <v>42401</v>
      </c>
      <c r="B18" s="206">
        <v>145458.18</v>
      </c>
      <c r="C18" s="155">
        <f>-0.00008</f>
        <v>-8.0000000000000007E-5</v>
      </c>
      <c r="D18" s="157">
        <v>409.48</v>
      </c>
      <c r="E18" s="156">
        <v>-10.89</v>
      </c>
      <c r="G18" s="152">
        <f t="shared" si="0"/>
        <v>2456.88</v>
      </c>
      <c r="I18" s="163">
        <f t="shared" si="4"/>
        <v>42461</v>
      </c>
      <c r="J18" s="159">
        <f>145458.18+18544.65-(198.04*(2+18))</f>
        <v>160042.03</v>
      </c>
      <c r="K18" s="157">
        <f>1167.12+4510.82+2610.71+5004.39+800+2627.7+1337.06</f>
        <v>18057.800000000003</v>
      </c>
      <c r="L18" s="165">
        <f t="shared" si="3"/>
        <v>-141984.22999999998</v>
      </c>
      <c r="M18" s="156">
        <f t="shared" si="6"/>
        <v>3567.7700000000186</v>
      </c>
    </row>
    <row r="19" spans="1:13" ht="12.75" customHeight="1">
      <c r="A19" s="210">
        <f t="shared" si="5"/>
        <v>42583</v>
      </c>
      <c r="B19" s="206">
        <v>143356.97</v>
      </c>
      <c r="C19" s="155">
        <f>-0.048%</f>
        <v>-4.8000000000000001E-4</v>
      </c>
      <c r="D19" s="157">
        <v>406.97</v>
      </c>
      <c r="E19" s="156">
        <f t="shared" ref="E19:E24" si="7">D19-D18</f>
        <v>-2.5099999999999909</v>
      </c>
      <c r="G19" s="152">
        <f t="shared" si="0"/>
        <v>2441.8200000000002</v>
      </c>
      <c r="I19" s="163">
        <f t="shared" si="4"/>
        <v>42644</v>
      </c>
      <c r="J19" s="159">
        <f>143356.97+18544.65-(198.04*(2+24))</f>
        <v>156752.57999999999</v>
      </c>
      <c r="K19" s="157">
        <f>18827.92-5007.8+(833*5.448)</f>
        <v>18358.304</v>
      </c>
      <c r="L19" s="165">
        <f t="shared" si="3"/>
        <v>-138394.27599999998</v>
      </c>
      <c r="M19" s="156">
        <f t="shared" si="6"/>
        <v>3589.9539999999979</v>
      </c>
    </row>
    <row r="20" spans="1:13" ht="12.75" customHeight="1">
      <c r="A20" s="210">
        <f t="shared" si="5"/>
        <v>42767</v>
      </c>
      <c r="B20" s="206">
        <v>141384.89000000001</v>
      </c>
      <c r="C20" s="155">
        <f>-0.00106</f>
        <v>-1.06E-3</v>
      </c>
      <c r="D20" s="157">
        <v>403.39</v>
      </c>
      <c r="E20" s="156">
        <f t="shared" si="7"/>
        <v>-3.5800000000000409</v>
      </c>
      <c r="G20" s="152">
        <f t="shared" si="0"/>
        <v>2420.34</v>
      </c>
      <c r="I20" s="163">
        <f t="shared" si="4"/>
        <v>42826</v>
      </c>
      <c r="J20" s="159">
        <f>141384.89+18544.65-(198.04*(2+30))</f>
        <v>153592.26</v>
      </c>
      <c r="K20" s="157">
        <f>19200-5007.8+(833*7.9)</f>
        <v>20772.900000000001</v>
      </c>
      <c r="L20" s="165">
        <f>K20-J20</f>
        <v>-132819.36000000002</v>
      </c>
      <c r="M20" s="156">
        <f t="shared" si="6"/>
        <v>5574.9159999999683</v>
      </c>
    </row>
    <row r="21" spans="1:13" ht="12.75" customHeight="1">
      <c r="A21" s="210">
        <f t="shared" si="5"/>
        <v>42948</v>
      </c>
      <c r="B21" s="206">
        <v>139093.28</v>
      </c>
      <c r="C21" s="155">
        <v>-1.56E-3</v>
      </c>
      <c r="D21" s="157">
        <v>400.38</v>
      </c>
      <c r="E21" s="156">
        <f t="shared" si="7"/>
        <v>-3.0099999999999909</v>
      </c>
      <c r="G21" s="152">
        <f t="shared" si="0"/>
        <v>2402.2799999999997</v>
      </c>
      <c r="I21" s="163">
        <f t="shared" si="4"/>
        <v>43009</v>
      </c>
      <c r="J21" s="159">
        <f>139093.28+18544.65-(198.04*(2+36))</f>
        <v>150112.41</v>
      </c>
      <c r="K21" s="157">
        <f>11743+(306*21.51)</f>
        <v>18325.060000000001</v>
      </c>
      <c r="L21" s="165">
        <f>K21-J21</f>
        <v>-131787.35</v>
      </c>
      <c r="M21" s="156">
        <f t="shared" si="6"/>
        <v>1032.0100000000093</v>
      </c>
    </row>
    <row r="22" spans="1:13" ht="12.75" customHeight="1">
      <c r="A22" s="210">
        <f t="shared" si="5"/>
        <v>43132</v>
      </c>
      <c r="B22" s="206">
        <v>136928.69</v>
      </c>
      <c r="C22" s="155">
        <v>-1.9124999999999997E-3</v>
      </c>
      <c r="D22" s="157">
        <v>398.31</v>
      </c>
      <c r="E22" s="156">
        <f t="shared" si="7"/>
        <v>-2.0699999999999932</v>
      </c>
      <c r="G22" s="152">
        <f t="shared" si="0"/>
        <v>2389.86</v>
      </c>
      <c r="I22" s="163">
        <f t="shared" si="4"/>
        <v>43191</v>
      </c>
      <c r="J22" s="159">
        <f>B22+Coche!D6</f>
        <v>160889.93</v>
      </c>
      <c r="K22" s="157">
        <v>20719.909999999996</v>
      </c>
      <c r="L22" s="165">
        <f>K22-J22</f>
        <v>-140170.01999999999</v>
      </c>
      <c r="M22" s="156">
        <f t="shared" si="6"/>
        <v>-8382.6699999999837</v>
      </c>
    </row>
    <row r="23" spans="1:13" ht="12.75" customHeight="1">
      <c r="A23" s="210">
        <f t="shared" si="5"/>
        <v>43313</v>
      </c>
      <c r="B23" s="206">
        <v>134748.99</v>
      </c>
      <c r="C23" s="155">
        <v>-1.6900000000000001E-3</v>
      </c>
      <c r="D23" s="157">
        <v>399.58584259812636</v>
      </c>
      <c r="E23" s="156">
        <f t="shared" si="7"/>
        <v>1.2758425981263599</v>
      </c>
      <c r="G23" s="152">
        <f t="shared" si="0"/>
        <v>2397.5150555887581</v>
      </c>
      <c r="I23" s="163">
        <f t="shared" si="4"/>
        <v>43374</v>
      </c>
      <c r="J23" s="159">
        <f>B23+Coche!D12</f>
        <v>157159.40999999997</v>
      </c>
      <c r="K23" s="157"/>
      <c r="L23" s="165">
        <f>K23-J23</f>
        <v>-157159.40999999997</v>
      </c>
      <c r="M23" s="156">
        <f t="shared" ref="M23" si="8">L23-L22</f>
        <v>-16989.389999999985</v>
      </c>
    </row>
    <row r="24" spans="1:13" ht="12.75" customHeight="1">
      <c r="A24" s="210">
        <f t="shared" si="5"/>
        <v>43497</v>
      </c>
      <c r="B24" s="206">
        <v>132572.97</v>
      </c>
      <c r="C24" s="155">
        <f>Hipoteca!B$6/100</f>
        <v>-1.6900000000000001E-3</v>
      </c>
      <c r="D24" s="157">
        <f>Hipoteca!B$13</f>
        <v>399.58579898879282</v>
      </c>
      <c r="E24" s="156">
        <f t="shared" si="7"/>
        <v>-4.3609333545191475E-5</v>
      </c>
      <c r="I24" s="163">
        <f t="shared" si="4"/>
        <v>43556</v>
      </c>
      <c r="J24" s="159"/>
      <c r="K24" s="157"/>
      <c r="L24" s="157"/>
      <c r="M24" s="156"/>
    </row>
    <row r="25" spans="1:13" ht="12.75" customHeight="1">
      <c r="A25" s="210">
        <f t="shared" si="5"/>
        <v>43678</v>
      </c>
      <c r="B25" s="206"/>
      <c r="C25" s="155"/>
      <c r="D25" s="157"/>
      <c r="E25" s="156"/>
      <c r="I25" s="163">
        <f t="shared" si="4"/>
        <v>43739</v>
      </c>
      <c r="J25" s="159"/>
      <c r="K25" s="157"/>
      <c r="L25" s="157"/>
      <c r="M25" s="156"/>
    </row>
    <row r="26" spans="1:13" ht="12.75" customHeight="1">
      <c r="A26" s="210">
        <f t="shared" si="5"/>
        <v>43862</v>
      </c>
      <c r="B26" s="206"/>
      <c r="C26" s="155"/>
      <c r="D26" s="157"/>
      <c r="E26" s="156"/>
      <c r="I26" s="163">
        <f t="shared" si="4"/>
        <v>43922</v>
      </c>
      <c r="J26" s="159"/>
      <c r="K26" s="157"/>
      <c r="L26" s="157"/>
      <c r="M26" s="156"/>
    </row>
    <row r="27" spans="1:13" ht="12.75" customHeight="1">
      <c r="A27" s="210">
        <f t="shared" si="5"/>
        <v>44044</v>
      </c>
      <c r="B27" s="206"/>
      <c r="C27" s="155"/>
      <c r="D27" s="157"/>
      <c r="E27" s="156"/>
      <c r="I27" s="163">
        <f t="shared" si="4"/>
        <v>44105</v>
      </c>
      <c r="J27" s="159"/>
      <c r="K27" s="157"/>
      <c r="L27" s="157"/>
      <c r="M27" s="156"/>
    </row>
    <row r="28" spans="1:13" ht="12.75" customHeight="1">
      <c r="A28" s="210">
        <f t="shared" si="5"/>
        <v>44228</v>
      </c>
      <c r="B28" s="206"/>
      <c r="C28" s="155"/>
      <c r="D28" s="157"/>
      <c r="E28" s="156"/>
      <c r="I28" s="163">
        <f t="shared" si="4"/>
        <v>44287</v>
      </c>
      <c r="J28" s="159"/>
      <c r="K28" s="157"/>
      <c r="L28" s="157"/>
      <c r="M28" s="156"/>
    </row>
    <row r="29" spans="1:13" ht="12.75" customHeight="1">
      <c r="A29" s="210">
        <f t="shared" si="5"/>
        <v>44409</v>
      </c>
      <c r="B29" s="206"/>
      <c r="C29" s="155"/>
      <c r="D29" s="157"/>
      <c r="E29" s="156"/>
      <c r="I29" s="163">
        <f t="shared" si="4"/>
        <v>44470</v>
      </c>
      <c r="J29" s="159"/>
      <c r="K29" s="157"/>
      <c r="L29" s="157"/>
      <c r="M29" s="156"/>
    </row>
    <row r="30" spans="1:13" ht="12.75" customHeight="1">
      <c r="A30" s="210">
        <f t="shared" si="5"/>
        <v>44593</v>
      </c>
      <c r="B30" s="206"/>
      <c r="C30" s="155"/>
      <c r="D30" s="157"/>
      <c r="E30" s="156"/>
      <c r="I30" s="163">
        <f t="shared" si="4"/>
        <v>44652</v>
      </c>
      <c r="J30" s="159"/>
      <c r="K30" s="157"/>
      <c r="L30" s="157"/>
      <c r="M30" s="156"/>
    </row>
    <row r="31" spans="1:13" ht="12.75" customHeight="1">
      <c r="A31" s="210">
        <f t="shared" si="5"/>
        <v>44774</v>
      </c>
      <c r="B31" s="206"/>
      <c r="C31" s="155"/>
      <c r="D31" s="157"/>
      <c r="E31" s="156"/>
      <c r="I31" s="163">
        <f t="shared" si="4"/>
        <v>44835</v>
      </c>
      <c r="J31" s="159"/>
      <c r="K31" s="157"/>
      <c r="L31" s="157"/>
      <c r="M31" s="156"/>
    </row>
    <row r="32" spans="1:13" ht="12.75" customHeight="1">
      <c r="A32" s="210">
        <f t="shared" si="5"/>
        <v>44958</v>
      </c>
      <c r="B32" s="206"/>
      <c r="C32" s="155"/>
      <c r="D32" s="157"/>
      <c r="E32" s="156"/>
      <c r="I32" s="163">
        <f t="shared" si="4"/>
        <v>45017</v>
      </c>
      <c r="J32" s="159"/>
      <c r="K32" s="157"/>
      <c r="L32" s="157"/>
      <c r="M32" s="156"/>
    </row>
    <row r="33" spans="1:13" ht="12.75" customHeight="1">
      <c r="A33" s="210">
        <f t="shared" si="5"/>
        <v>45139</v>
      </c>
      <c r="B33" s="206"/>
      <c r="C33" s="155"/>
      <c r="D33" s="157"/>
      <c r="E33" s="156"/>
      <c r="I33" s="163">
        <f t="shared" si="4"/>
        <v>45200</v>
      </c>
      <c r="J33" s="159"/>
      <c r="K33" s="157"/>
      <c r="L33" s="157"/>
      <c r="M33" s="156"/>
    </row>
    <row r="34" spans="1:13" ht="12.75" customHeight="1">
      <c r="A34" s="210">
        <f t="shared" si="5"/>
        <v>45323</v>
      </c>
      <c r="B34" s="206"/>
      <c r="C34" s="155"/>
      <c r="D34" s="157"/>
      <c r="E34" s="156"/>
      <c r="I34" s="163">
        <f t="shared" si="4"/>
        <v>45383</v>
      </c>
      <c r="J34" s="159"/>
      <c r="K34" s="157"/>
      <c r="L34" s="157"/>
      <c r="M34" s="156"/>
    </row>
    <row r="35" spans="1:13" ht="12.75" customHeight="1">
      <c r="A35" s="210">
        <f t="shared" si="5"/>
        <v>45505</v>
      </c>
      <c r="B35" s="206"/>
      <c r="C35" s="155"/>
      <c r="D35" s="157"/>
      <c r="E35" s="156"/>
      <c r="I35" s="163">
        <f t="shared" si="4"/>
        <v>45566</v>
      </c>
      <c r="J35" s="159"/>
      <c r="K35" s="157"/>
      <c r="L35" s="157"/>
      <c r="M35" s="156"/>
    </row>
    <row r="36" spans="1:13" ht="12.75" customHeight="1">
      <c r="A36" s="210">
        <f t="shared" si="5"/>
        <v>45689</v>
      </c>
      <c r="B36" s="206"/>
      <c r="C36" s="155"/>
      <c r="D36" s="157"/>
      <c r="E36" s="156"/>
      <c r="I36" s="163">
        <f t="shared" si="4"/>
        <v>45748</v>
      </c>
      <c r="J36" s="159"/>
      <c r="K36" s="157"/>
      <c r="L36" s="157"/>
      <c r="M36" s="156"/>
    </row>
    <row r="37" spans="1:13" ht="12.75" customHeight="1">
      <c r="A37" s="210">
        <f t="shared" si="5"/>
        <v>45870</v>
      </c>
      <c r="B37" s="206"/>
      <c r="C37" s="155"/>
      <c r="D37" s="157"/>
      <c r="E37" s="156"/>
      <c r="I37" s="163">
        <f t="shared" si="4"/>
        <v>45931</v>
      </c>
      <c r="J37" s="159"/>
      <c r="K37" s="157"/>
      <c r="L37" s="157"/>
      <c r="M37" s="156"/>
    </row>
    <row r="38" spans="1:13" ht="12.75" customHeight="1">
      <c r="A38" s="210">
        <f t="shared" si="5"/>
        <v>46054</v>
      </c>
      <c r="B38" s="206"/>
      <c r="C38" s="155"/>
      <c r="D38" s="157"/>
      <c r="E38" s="156"/>
      <c r="I38" s="163">
        <f t="shared" si="4"/>
        <v>46113</v>
      </c>
      <c r="J38" s="159"/>
      <c r="K38" s="157"/>
      <c r="L38" s="157"/>
      <c r="M38" s="156"/>
    </row>
    <row r="39" spans="1:13" ht="12.75" customHeight="1">
      <c r="A39" s="210">
        <f t="shared" si="5"/>
        <v>46235</v>
      </c>
      <c r="B39" s="206"/>
      <c r="C39" s="155"/>
      <c r="D39" s="157"/>
      <c r="E39" s="156"/>
      <c r="I39" s="163">
        <f t="shared" si="4"/>
        <v>46296</v>
      </c>
      <c r="J39" s="159"/>
      <c r="K39" s="157"/>
      <c r="L39" s="157"/>
      <c r="M39" s="156"/>
    </row>
    <row r="40" spans="1:13" ht="12.75" customHeight="1">
      <c r="A40" s="210">
        <f t="shared" si="5"/>
        <v>46419</v>
      </c>
      <c r="B40" s="206"/>
      <c r="C40" s="155"/>
      <c r="D40" s="157"/>
      <c r="E40" s="156"/>
      <c r="I40" s="163">
        <f t="shared" si="4"/>
        <v>46478</v>
      </c>
      <c r="J40" s="159"/>
      <c r="K40" s="157"/>
      <c r="L40" s="157"/>
      <c r="M40" s="156"/>
    </row>
    <row r="41" spans="1:13" ht="12.75" customHeight="1">
      <c r="A41" s="210">
        <f t="shared" si="5"/>
        <v>46600</v>
      </c>
      <c r="B41" s="206"/>
      <c r="C41" s="155"/>
      <c r="D41" s="157"/>
      <c r="E41" s="156"/>
      <c r="I41" s="163">
        <f t="shared" si="4"/>
        <v>46661</v>
      </c>
      <c r="J41" s="159"/>
      <c r="K41" s="157"/>
      <c r="L41" s="157"/>
      <c r="M41" s="156"/>
    </row>
    <row r="42" spans="1:13" ht="12.75" customHeight="1">
      <c r="A42" s="210">
        <f t="shared" si="5"/>
        <v>46784</v>
      </c>
      <c r="B42" s="206"/>
      <c r="C42" s="155"/>
      <c r="D42" s="157"/>
      <c r="E42" s="156"/>
      <c r="I42" s="163">
        <f t="shared" si="4"/>
        <v>46844</v>
      </c>
      <c r="J42" s="159"/>
      <c r="K42" s="157"/>
      <c r="L42" s="157"/>
      <c r="M42" s="156"/>
    </row>
    <row r="43" spans="1:13" ht="12.75" customHeight="1">
      <c r="A43" s="210">
        <f t="shared" si="5"/>
        <v>46966</v>
      </c>
      <c r="B43" s="206"/>
      <c r="C43" s="155"/>
      <c r="D43" s="157"/>
      <c r="E43" s="156"/>
      <c r="I43" s="163">
        <f t="shared" si="4"/>
        <v>47027</v>
      </c>
      <c r="J43" s="159"/>
      <c r="K43" s="157"/>
      <c r="L43" s="157"/>
      <c r="M43" s="156"/>
    </row>
    <row r="44" spans="1:13" ht="12.75" customHeight="1">
      <c r="A44" s="210">
        <f t="shared" si="5"/>
        <v>47150</v>
      </c>
      <c r="B44" s="206"/>
      <c r="C44" s="155"/>
      <c r="D44" s="157"/>
      <c r="E44" s="156"/>
      <c r="I44" s="163">
        <f t="shared" si="4"/>
        <v>47209</v>
      </c>
      <c r="J44" s="159"/>
      <c r="K44" s="157"/>
      <c r="L44" s="157"/>
      <c r="M44" s="156"/>
    </row>
    <row r="45" spans="1:13" ht="12.75" customHeight="1">
      <c r="A45" s="210">
        <f t="shared" si="5"/>
        <v>47331</v>
      </c>
      <c r="B45" s="206"/>
      <c r="C45" s="155"/>
      <c r="D45" s="157"/>
      <c r="E45" s="156"/>
      <c r="I45" s="163">
        <f t="shared" si="4"/>
        <v>47392</v>
      </c>
      <c r="J45" s="159"/>
      <c r="K45" s="157"/>
      <c r="L45" s="157"/>
      <c r="M45" s="156"/>
    </row>
    <row r="46" spans="1:13" ht="12.75" customHeight="1">
      <c r="A46" s="210">
        <f t="shared" si="5"/>
        <v>47515</v>
      </c>
      <c r="B46" s="206"/>
      <c r="C46" s="155"/>
      <c r="D46" s="157"/>
      <c r="E46" s="156"/>
      <c r="I46" s="163">
        <f t="shared" si="4"/>
        <v>47574</v>
      </c>
      <c r="J46" s="159"/>
      <c r="K46" s="157"/>
      <c r="L46" s="157"/>
      <c r="M46" s="156"/>
    </row>
    <row r="47" spans="1:13" ht="12.75" customHeight="1">
      <c r="A47" s="210">
        <f t="shared" si="5"/>
        <v>47696</v>
      </c>
      <c r="B47" s="206"/>
      <c r="C47" s="155"/>
      <c r="D47" s="157"/>
      <c r="E47" s="156"/>
      <c r="I47" s="163">
        <f t="shared" si="4"/>
        <v>47757</v>
      </c>
      <c r="J47" s="159"/>
      <c r="K47" s="157"/>
      <c r="L47" s="157"/>
      <c r="M47" s="156"/>
    </row>
    <row r="48" spans="1:13" ht="12.75" customHeight="1">
      <c r="A48" s="210">
        <f t="shared" si="5"/>
        <v>47880</v>
      </c>
      <c r="B48" s="206"/>
      <c r="C48" s="155"/>
      <c r="D48" s="157"/>
      <c r="E48" s="156"/>
      <c r="I48" s="163">
        <f t="shared" si="4"/>
        <v>47939</v>
      </c>
      <c r="J48" s="159"/>
      <c r="K48" s="157"/>
      <c r="L48" s="157"/>
      <c r="M48" s="156"/>
    </row>
    <row r="49" spans="1:13" ht="12.75" customHeight="1">
      <c r="A49" s="210">
        <f t="shared" si="5"/>
        <v>48061</v>
      </c>
      <c r="B49" s="206"/>
      <c r="C49" s="155"/>
      <c r="D49" s="157"/>
      <c r="E49" s="156"/>
      <c r="I49" s="163">
        <f t="shared" si="4"/>
        <v>48122</v>
      </c>
      <c r="J49" s="159"/>
      <c r="K49" s="157"/>
      <c r="L49" s="157"/>
      <c r="M49" s="156"/>
    </row>
    <row r="50" spans="1:13" ht="12.75" customHeight="1">
      <c r="A50" s="210">
        <f t="shared" si="5"/>
        <v>48245</v>
      </c>
      <c r="B50" s="206"/>
      <c r="C50" s="155"/>
      <c r="D50" s="157"/>
      <c r="E50" s="156"/>
      <c r="I50" s="163">
        <f t="shared" si="4"/>
        <v>48305</v>
      </c>
      <c r="J50" s="159"/>
      <c r="K50" s="157"/>
      <c r="L50" s="157"/>
      <c r="M50" s="156"/>
    </row>
    <row r="51" spans="1:13" ht="12.75" customHeight="1">
      <c r="A51" s="210">
        <f t="shared" si="5"/>
        <v>48427</v>
      </c>
      <c r="B51" s="206"/>
      <c r="C51" s="155"/>
      <c r="D51" s="157"/>
      <c r="E51" s="156"/>
      <c r="I51" s="163">
        <f t="shared" si="4"/>
        <v>48488</v>
      </c>
      <c r="J51" s="159"/>
      <c r="K51" s="157"/>
      <c r="L51" s="157"/>
      <c r="M51" s="156"/>
    </row>
    <row r="52" spans="1:13" ht="12.75" customHeight="1">
      <c r="A52" s="210">
        <f t="shared" si="5"/>
        <v>48611</v>
      </c>
      <c r="B52" s="206"/>
      <c r="C52" s="155"/>
      <c r="D52" s="157"/>
      <c r="E52" s="156"/>
      <c r="I52" s="163">
        <f t="shared" si="4"/>
        <v>48670</v>
      </c>
      <c r="J52" s="159"/>
      <c r="K52" s="157"/>
      <c r="L52" s="157"/>
      <c r="M52" s="156"/>
    </row>
    <row r="53" spans="1:13" ht="12.75" customHeight="1">
      <c r="A53" s="210">
        <f t="shared" si="5"/>
        <v>48792</v>
      </c>
      <c r="B53" s="206"/>
      <c r="C53" s="155"/>
      <c r="D53" s="157"/>
      <c r="E53" s="156"/>
      <c r="I53" s="163">
        <f t="shared" si="4"/>
        <v>48853</v>
      </c>
      <c r="J53" s="159"/>
      <c r="K53" s="157"/>
      <c r="L53" s="157"/>
      <c r="M53" s="156"/>
    </row>
    <row r="54" spans="1:13" ht="12.75" customHeight="1">
      <c r="A54" s="210">
        <f t="shared" si="5"/>
        <v>48976</v>
      </c>
      <c r="B54" s="206"/>
      <c r="C54" s="155"/>
      <c r="D54" s="157"/>
      <c r="E54" s="156"/>
      <c r="I54" s="163">
        <f t="shared" si="4"/>
        <v>49035</v>
      </c>
      <c r="J54" s="159"/>
      <c r="K54" s="157"/>
      <c r="L54" s="157"/>
      <c r="M54" s="156"/>
    </row>
    <row r="55" spans="1:13" ht="12.75" customHeight="1">
      <c r="A55" s="210">
        <f t="shared" si="5"/>
        <v>49157</v>
      </c>
      <c r="B55" s="206"/>
      <c r="C55" s="155"/>
      <c r="D55" s="157"/>
      <c r="E55" s="156"/>
      <c r="I55" s="163">
        <f t="shared" si="4"/>
        <v>49218</v>
      </c>
      <c r="J55" s="159"/>
      <c r="K55" s="157"/>
      <c r="L55" s="157"/>
      <c r="M55" s="156"/>
    </row>
    <row r="56" spans="1:13" ht="12.75" customHeight="1">
      <c r="A56" s="210">
        <f t="shared" si="5"/>
        <v>49341</v>
      </c>
      <c r="B56" s="206"/>
      <c r="C56" s="155"/>
      <c r="D56" s="157"/>
      <c r="E56" s="156"/>
      <c r="I56" s="163">
        <f t="shared" si="4"/>
        <v>49400</v>
      </c>
      <c r="J56" s="159"/>
      <c r="K56" s="157"/>
      <c r="L56" s="157"/>
      <c r="M56" s="156"/>
    </row>
    <row r="57" spans="1:13" ht="12.75" customHeight="1">
      <c r="A57" s="210">
        <f t="shared" si="5"/>
        <v>49522</v>
      </c>
      <c r="B57" s="206"/>
      <c r="C57" s="155"/>
      <c r="D57" s="157"/>
      <c r="E57" s="156"/>
      <c r="I57" s="163">
        <f t="shared" si="4"/>
        <v>49583</v>
      </c>
      <c r="J57" s="159"/>
      <c r="K57" s="157"/>
      <c r="L57" s="157"/>
      <c r="M57" s="156"/>
    </row>
    <row r="58" spans="1:13" ht="12.75" customHeight="1">
      <c r="A58" s="210">
        <f t="shared" si="5"/>
        <v>49706</v>
      </c>
      <c r="B58" s="206"/>
      <c r="C58" s="155"/>
      <c r="D58" s="157"/>
      <c r="E58" s="156"/>
      <c r="I58" s="163">
        <f t="shared" si="4"/>
        <v>49766</v>
      </c>
      <c r="J58" s="159"/>
      <c r="K58" s="157"/>
      <c r="L58" s="157"/>
      <c r="M58" s="156"/>
    </row>
    <row r="59" spans="1:13" ht="12.75" customHeight="1">
      <c r="A59" s="210">
        <f t="shared" si="5"/>
        <v>49888</v>
      </c>
      <c r="B59" s="206"/>
      <c r="C59" s="155"/>
      <c r="D59" s="157"/>
      <c r="E59" s="156"/>
      <c r="I59" s="163">
        <f t="shared" si="4"/>
        <v>49949</v>
      </c>
      <c r="J59" s="159"/>
      <c r="K59" s="157"/>
      <c r="L59" s="157"/>
      <c r="M59" s="156"/>
    </row>
    <row r="60" spans="1:13" ht="12.75" customHeight="1">
      <c r="A60" s="210">
        <f t="shared" si="5"/>
        <v>50072</v>
      </c>
      <c r="B60" s="206"/>
      <c r="C60" s="155"/>
      <c r="D60" s="157"/>
      <c r="E60" s="156"/>
      <c r="I60" s="163">
        <f t="shared" si="4"/>
        <v>50131</v>
      </c>
      <c r="J60" s="159"/>
      <c r="K60" s="157"/>
      <c r="L60" s="157"/>
      <c r="M60" s="156"/>
    </row>
    <row r="61" spans="1:13" ht="12.75" customHeight="1">
      <c r="A61" s="210">
        <f t="shared" si="5"/>
        <v>50253</v>
      </c>
      <c r="B61" s="206"/>
      <c r="C61" s="155"/>
      <c r="D61" s="157"/>
      <c r="E61" s="156"/>
      <c r="I61" s="163">
        <f t="shared" si="4"/>
        <v>50314</v>
      </c>
      <c r="J61" s="159"/>
      <c r="K61" s="157"/>
      <c r="L61" s="157"/>
      <c r="M61" s="156"/>
    </row>
    <row r="62" spans="1:13" ht="12.75" customHeight="1">
      <c r="A62" s="210">
        <f t="shared" si="5"/>
        <v>50437</v>
      </c>
      <c r="B62" s="206"/>
      <c r="C62" s="155"/>
      <c r="D62" s="157"/>
      <c r="E62" s="156"/>
      <c r="I62" s="163">
        <f t="shared" si="4"/>
        <v>50496</v>
      </c>
      <c r="J62" s="159"/>
      <c r="K62" s="157"/>
      <c r="L62" s="157"/>
      <c r="M62" s="156"/>
    </row>
    <row r="63" spans="1:13" ht="12.75" customHeight="1">
      <c r="A63" s="210">
        <f t="shared" si="5"/>
        <v>50618</v>
      </c>
      <c r="B63" s="206"/>
      <c r="C63" s="155"/>
      <c r="D63" s="157"/>
      <c r="E63" s="156"/>
      <c r="I63" s="163">
        <f t="shared" ref="I63:I82" si="9">EDATE(A63,2)</f>
        <v>50679</v>
      </c>
      <c r="J63" s="159"/>
      <c r="K63" s="157"/>
      <c r="L63" s="157"/>
      <c r="M63" s="156"/>
    </row>
    <row r="64" spans="1:13" ht="12.75" customHeight="1">
      <c r="A64" s="210">
        <f t="shared" si="5"/>
        <v>50802</v>
      </c>
      <c r="B64" s="206"/>
      <c r="C64" s="155"/>
      <c r="D64" s="157"/>
      <c r="E64" s="156"/>
      <c r="I64" s="163">
        <f t="shared" si="9"/>
        <v>50861</v>
      </c>
      <c r="J64" s="159"/>
      <c r="K64" s="157"/>
      <c r="L64" s="157"/>
      <c r="M64" s="156"/>
    </row>
    <row r="65" spans="1:13" ht="12.75" customHeight="1">
      <c r="A65" s="210">
        <f t="shared" si="5"/>
        <v>50983</v>
      </c>
      <c r="B65" s="206"/>
      <c r="C65" s="155"/>
      <c r="D65" s="157"/>
      <c r="E65" s="156"/>
      <c r="I65" s="163">
        <f t="shared" si="9"/>
        <v>51044</v>
      </c>
      <c r="J65" s="159"/>
      <c r="K65" s="157"/>
      <c r="L65" s="157"/>
      <c r="M65" s="156"/>
    </row>
    <row r="66" spans="1:13" ht="12.75" customHeight="1">
      <c r="A66" s="210">
        <f t="shared" si="5"/>
        <v>51167</v>
      </c>
      <c r="B66" s="206"/>
      <c r="C66" s="155"/>
      <c r="D66" s="157"/>
      <c r="E66" s="156"/>
      <c r="I66" s="163">
        <f t="shared" si="9"/>
        <v>51227</v>
      </c>
      <c r="J66" s="159"/>
      <c r="K66" s="157"/>
      <c r="L66" s="157"/>
      <c r="M66" s="156"/>
    </row>
    <row r="67" spans="1:13" ht="12.75" customHeight="1">
      <c r="A67" s="210">
        <f t="shared" si="5"/>
        <v>51349</v>
      </c>
      <c r="B67" s="206"/>
      <c r="C67" s="155"/>
      <c r="D67" s="157"/>
      <c r="E67" s="156"/>
      <c r="I67" s="163">
        <f t="shared" si="9"/>
        <v>51410</v>
      </c>
      <c r="J67" s="159"/>
      <c r="K67" s="157"/>
      <c r="L67" s="157"/>
      <c r="M67" s="156"/>
    </row>
    <row r="68" spans="1:13" ht="12.75" customHeight="1">
      <c r="A68" s="210">
        <f t="shared" si="5"/>
        <v>51533</v>
      </c>
      <c r="B68" s="206"/>
      <c r="C68" s="155"/>
      <c r="D68" s="157"/>
      <c r="E68" s="156"/>
      <c r="I68" s="163">
        <f t="shared" si="9"/>
        <v>51592</v>
      </c>
      <c r="J68" s="159"/>
      <c r="K68" s="157"/>
      <c r="L68" s="157"/>
      <c r="M68" s="156"/>
    </row>
    <row r="69" spans="1:13" ht="12.75" customHeight="1">
      <c r="A69" s="210">
        <f t="shared" si="5"/>
        <v>51714</v>
      </c>
      <c r="B69" s="206"/>
      <c r="C69" s="155"/>
      <c r="D69" s="157"/>
      <c r="E69" s="156"/>
      <c r="I69" s="163">
        <f t="shared" si="9"/>
        <v>51775</v>
      </c>
      <c r="J69" s="159"/>
      <c r="K69" s="157"/>
      <c r="L69" s="157"/>
      <c r="M69" s="156"/>
    </row>
    <row r="70" spans="1:13" ht="12.75" customHeight="1">
      <c r="A70" s="210">
        <f t="shared" si="5"/>
        <v>51898</v>
      </c>
      <c r="B70" s="206"/>
      <c r="C70" s="155"/>
      <c r="D70" s="157"/>
      <c r="E70" s="156"/>
      <c r="I70" s="163">
        <f t="shared" si="9"/>
        <v>51957</v>
      </c>
      <c r="J70" s="159"/>
      <c r="K70" s="157"/>
      <c r="L70" s="157"/>
      <c r="M70" s="156"/>
    </row>
    <row r="71" spans="1:13" ht="12.75" customHeight="1">
      <c r="A71" s="210">
        <f t="shared" si="5"/>
        <v>52079</v>
      </c>
      <c r="B71" s="206"/>
      <c r="C71" s="155"/>
      <c r="D71" s="157"/>
      <c r="E71" s="156"/>
      <c r="I71" s="163">
        <f t="shared" si="9"/>
        <v>52140</v>
      </c>
      <c r="J71" s="159"/>
      <c r="K71" s="157"/>
      <c r="L71" s="157"/>
      <c r="M71" s="156"/>
    </row>
    <row r="72" spans="1:13" ht="12.75" customHeight="1">
      <c r="A72" s="210">
        <f t="shared" si="5"/>
        <v>52263</v>
      </c>
      <c r="B72" s="206"/>
      <c r="C72" s="155"/>
      <c r="D72" s="157"/>
      <c r="E72" s="156"/>
      <c r="I72" s="163">
        <f t="shared" si="9"/>
        <v>52322</v>
      </c>
      <c r="J72" s="159"/>
      <c r="K72" s="157"/>
      <c r="L72" s="157"/>
      <c r="M72" s="156"/>
    </row>
    <row r="73" spans="1:13" ht="12.75" customHeight="1">
      <c r="A73" s="210">
        <f t="shared" si="5"/>
        <v>52444</v>
      </c>
      <c r="B73" s="206"/>
      <c r="C73" s="155"/>
      <c r="D73" s="157"/>
      <c r="E73" s="156"/>
      <c r="I73" s="163">
        <f t="shared" si="9"/>
        <v>52505</v>
      </c>
      <c r="J73" s="159"/>
      <c r="K73" s="157"/>
      <c r="L73" s="157"/>
      <c r="M73" s="156"/>
    </row>
    <row r="74" spans="1:13" ht="12.75" customHeight="1">
      <c r="A74" s="210">
        <f t="shared" si="5"/>
        <v>52628</v>
      </c>
      <c r="B74" s="206"/>
      <c r="C74" s="155"/>
      <c r="D74" s="157"/>
      <c r="E74" s="156"/>
      <c r="I74" s="163">
        <f t="shared" si="9"/>
        <v>52688</v>
      </c>
      <c r="J74" s="159"/>
      <c r="K74" s="157"/>
      <c r="L74" s="157"/>
      <c r="M74" s="156"/>
    </row>
    <row r="75" spans="1:13" ht="12.75" customHeight="1">
      <c r="A75" s="210">
        <f t="shared" si="5"/>
        <v>52810</v>
      </c>
      <c r="B75" s="206"/>
      <c r="C75" s="155"/>
      <c r="D75" s="157"/>
      <c r="E75" s="156"/>
      <c r="I75" s="163">
        <f t="shared" si="9"/>
        <v>52871</v>
      </c>
      <c r="J75" s="159"/>
      <c r="K75" s="157"/>
      <c r="L75" s="157"/>
      <c r="M75" s="156"/>
    </row>
    <row r="76" spans="1:13" ht="12.75" customHeight="1">
      <c r="A76" s="210">
        <f t="shared" si="5"/>
        <v>52994</v>
      </c>
      <c r="B76" s="206"/>
      <c r="C76" s="155"/>
      <c r="D76" s="157"/>
      <c r="E76" s="156"/>
      <c r="I76" s="163">
        <f t="shared" si="9"/>
        <v>53053</v>
      </c>
      <c r="J76" s="159"/>
      <c r="K76" s="157"/>
      <c r="L76" s="157"/>
      <c r="M76" s="156"/>
    </row>
    <row r="77" spans="1:13" ht="12.75" customHeight="1">
      <c r="A77" s="210">
        <f t="shared" si="5"/>
        <v>53175</v>
      </c>
      <c r="B77" s="206"/>
      <c r="C77" s="155"/>
      <c r="D77" s="157"/>
      <c r="E77" s="156"/>
      <c r="I77" s="163">
        <f t="shared" si="9"/>
        <v>53236</v>
      </c>
      <c r="J77" s="159"/>
      <c r="K77" s="157"/>
      <c r="L77" s="157"/>
      <c r="M77" s="156"/>
    </row>
    <row r="78" spans="1:13" ht="12.75" customHeight="1">
      <c r="A78" s="210">
        <f t="shared" si="5"/>
        <v>53359</v>
      </c>
      <c r="B78" s="206"/>
      <c r="C78" s="155"/>
      <c r="D78" s="157"/>
      <c r="E78" s="156"/>
      <c r="I78" s="163">
        <f t="shared" si="9"/>
        <v>53418</v>
      </c>
      <c r="J78" s="159"/>
      <c r="K78" s="157"/>
      <c r="L78" s="157"/>
      <c r="M78" s="156"/>
    </row>
    <row r="79" spans="1:13" ht="12.75" customHeight="1">
      <c r="A79" s="210">
        <f t="shared" si="5"/>
        <v>53540</v>
      </c>
      <c r="B79" s="206"/>
      <c r="C79" s="155"/>
      <c r="D79" s="157"/>
      <c r="E79" s="156"/>
      <c r="I79" s="163">
        <f t="shared" si="9"/>
        <v>53601</v>
      </c>
      <c r="J79" s="159"/>
      <c r="K79" s="157"/>
      <c r="L79" s="157"/>
      <c r="M79" s="156"/>
    </row>
    <row r="80" spans="1:13" ht="12.75" customHeight="1">
      <c r="A80" s="210">
        <f t="shared" ref="A80:A82" si="10">EDATE(A79,6)</f>
        <v>53724</v>
      </c>
      <c r="B80" s="206"/>
      <c r="C80" s="155"/>
      <c r="D80" s="157"/>
      <c r="E80" s="156"/>
      <c r="I80" s="163">
        <f t="shared" si="9"/>
        <v>53783</v>
      </c>
      <c r="J80" s="159"/>
      <c r="K80" s="157"/>
      <c r="L80" s="157"/>
      <c r="M80" s="156"/>
    </row>
    <row r="81" spans="1:13" ht="12.75" customHeight="1">
      <c r="A81" s="210">
        <f t="shared" si="10"/>
        <v>53905</v>
      </c>
      <c r="B81" s="206"/>
      <c r="C81" s="155"/>
      <c r="D81" s="157"/>
      <c r="E81" s="156"/>
      <c r="I81" s="163">
        <f t="shared" si="9"/>
        <v>53966</v>
      </c>
      <c r="J81" s="159"/>
      <c r="K81" s="157"/>
      <c r="L81" s="157"/>
      <c r="M81" s="156"/>
    </row>
    <row r="82" spans="1:13" ht="13.5" customHeight="1" thickBot="1">
      <c r="A82" s="212">
        <f t="shared" si="10"/>
        <v>54089</v>
      </c>
      <c r="B82" s="208"/>
      <c r="C82" s="166"/>
      <c r="D82" s="167"/>
      <c r="E82" s="168"/>
      <c r="I82" s="177">
        <f t="shared" si="9"/>
        <v>54149</v>
      </c>
      <c r="J82" s="169"/>
      <c r="K82" s="167"/>
      <c r="L82" s="167"/>
      <c r="M82" s="168"/>
    </row>
    <row r="83" spans="1:13" ht="12.75" customHeight="1">
      <c r="C83" s="170">
        <f>AVERAGE(C3:C82)</f>
        <v>8.8759686147186125E-3</v>
      </c>
      <c r="D83" s="171">
        <f>AVERAGE(D2:D82)</f>
        <v>496.56572354725716</v>
      </c>
      <c r="E83" s="172">
        <f>AVERAGE(E3:E82)</f>
        <v>-20.384736409600325</v>
      </c>
      <c r="M83" s="172">
        <f>AVERAGE(M3:M82)</f>
        <v>-7483.7814285714276</v>
      </c>
    </row>
    <row r="85" spans="1:13">
      <c r="E85" t="s">
        <v>172</v>
      </c>
      <c r="G85" s="152">
        <f>SUM(G2:G82)</f>
        <v>66128.555055588746</v>
      </c>
      <c r="M85" t="s">
        <v>172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3"/>
      <c r="F21" t="s">
        <v>177</v>
      </c>
    </row>
    <row r="22" spans="1:9">
      <c r="B22" t="s">
        <v>178</v>
      </c>
      <c r="C22" s="173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4" t="s">
        <v>182</v>
      </c>
      <c r="I33" s="174" t="s">
        <v>189</v>
      </c>
    </row>
    <row r="34" spans="1:9">
      <c r="B34" s="175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511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1462.46</v>
      </c>
      <c r="L5" s="28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80">
        <v>423.18</v>
      </c>
      <c r="L6" s="281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80">
        <v>7102.9</v>
      </c>
      <c r="L7" s="281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80">
        <v>1250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80">
        <v>100.34</v>
      </c>
      <c r="L9" s="281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80">
        <f>5007.8</f>
        <v>5007.8</v>
      </c>
      <c r="L10" s="281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80">
        <v>1566.09</v>
      </c>
      <c r="L11" s="281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80">
        <v>1800</v>
      </c>
      <c r="L12" s="281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80">
        <f>75+20+95</f>
        <v>190</v>
      </c>
      <c r="L13" s="28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SUM(K5:K18)-K11</f>
        <v>17336.68</v>
      </c>
      <c r="L19" s="283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4</v>
      </c>
      <c r="J25" s="3" t="s">
        <v>211</v>
      </c>
      <c r="K25" s="287">
        <v>1.01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4</v>
      </c>
      <c r="J26" s="36" t="s">
        <v>212</v>
      </c>
      <c r="K26" s="280">
        <v>0.04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0">
        <v>4</v>
      </c>
      <c r="J27" s="36" t="s">
        <v>214</v>
      </c>
      <c r="K27" s="280">
        <v>2831.41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2</v>
      </c>
      <c r="J28" s="36" t="s">
        <v>217</v>
      </c>
      <c r="K28" s="280">
        <v>72.66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6</v>
      </c>
      <c r="J29" s="36" t="s">
        <v>225</v>
      </c>
      <c r="K29" s="280">
        <v>93.93</v>
      </c>
      <c r="L29" s="281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0">
        <v>5</v>
      </c>
      <c r="J30" s="36" t="s">
        <v>243</v>
      </c>
      <c r="K30" s="280">
        <v>700</v>
      </c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>
        <v>5</v>
      </c>
      <c r="J31" s="36" t="s">
        <v>244</v>
      </c>
      <c r="K31" s="280">
        <v>50</v>
      </c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>
        <v>9</v>
      </c>
      <c r="J32" s="36" t="s">
        <v>44</v>
      </c>
      <c r="K32" s="280">
        <v>229.4</v>
      </c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>
        <v>4</v>
      </c>
      <c r="J33" s="36" t="s">
        <v>263</v>
      </c>
      <c r="K33" s="280">
        <v>0.05</v>
      </c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>
        <v>9</v>
      </c>
      <c r="J34" s="36" t="s">
        <v>264</v>
      </c>
      <c r="K34" s="280">
        <v>1566.27</v>
      </c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>
        <v>5</v>
      </c>
      <c r="J35" s="36" t="s">
        <v>277</v>
      </c>
      <c r="K35" s="280">
        <v>449</v>
      </c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>
        <v>2</v>
      </c>
      <c r="J36" s="36" t="s">
        <v>278</v>
      </c>
      <c r="K36" s="280">
        <v>314.12</v>
      </c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8" ht="15" customHeight="1" thickBot="1">
      <c r="B283" s="274"/>
      <c r="C283" s="275"/>
      <c r="D283" s="275"/>
      <c r="E283" s="275"/>
      <c r="F283" s="275"/>
      <c r="G283" s="276"/>
    </row>
    <row r="284" spans="2:8">
      <c r="B284" s="279" t="s">
        <v>10</v>
      </c>
      <c r="C284" s="278"/>
      <c r="D284" s="277" t="s">
        <v>11</v>
      </c>
      <c r="E284" s="277"/>
      <c r="F284" s="277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78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78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78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8" ht="15" customHeight="1" thickBot="1">
      <c r="B303" s="274"/>
      <c r="C303" s="275"/>
      <c r="D303" s="275"/>
      <c r="E303" s="275"/>
      <c r="F303" s="275"/>
      <c r="G303" s="276"/>
    </row>
    <row r="304" spans="2:8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72"/>
      <c r="D422" s="272"/>
      <c r="E422" s="272"/>
      <c r="F422" s="272"/>
      <c r="G422" s="273"/>
    </row>
    <row r="423" spans="2:7" ht="15" customHeight="1" thickBot="1">
      <c r="B423" s="274"/>
      <c r="C423" s="275"/>
      <c r="D423" s="275"/>
      <c r="E423" s="275"/>
      <c r="F423" s="275"/>
      <c r="G423" s="276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72"/>
      <c r="D442" s="272"/>
      <c r="E442" s="272"/>
      <c r="F442" s="272"/>
      <c r="G442" s="273"/>
    </row>
    <row r="443" spans="2:7" ht="15" customHeight="1" thickBot="1">
      <c r="B443" s="274"/>
      <c r="C443" s="275"/>
      <c r="D443" s="275"/>
      <c r="E443" s="275"/>
      <c r="F443" s="275"/>
      <c r="G443" s="276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72"/>
      <c r="D462" s="272"/>
      <c r="E462" s="272"/>
      <c r="F462" s="272"/>
      <c r="G462" s="273"/>
    </row>
    <row r="463" spans="2:7" ht="15" customHeight="1" thickBot="1">
      <c r="B463" s="274"/>
      <c r="C463" s="275"/>
      <c r="D463" s="275"/>
      <c r="E463" s="275"/>
      <c r="F463" s="275"/>
      <c r="G463" s="276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72"/>
      <c r="D482" s="272"/>
      <c r="E482" s="272"/>
      <c r="F482" s="272"/>
      <c r="G482" s="273"/>
    </row>
    <row r="483" spans="2:7" ht="15" customHeight="1" thickBot="1">
      <c r="B483" s="274"/>
      <c r="C483" s="275"/>
      <c r="D483" s="275"/>
      <c r="E483" s="275"/>
      <c r="F483" s="275"/>
      <c r="G483" s="276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72"/>
      <c r="D502" s="272"/>
      <c r="E502" s="272"/>
      <c r="F502" s="272"/>
      <c r="G502" s="273"/>
    </row>
    <row r="503" spans="2:7" ht="15" customHeight="1" thickBot="1">
      <c r="B503" s="274"/>
      <c r="C503" s="275"/>
      <c r="D503" s="275"/>
      <c r="E503" s="275"/>
      <c r="F503" s="275"/>
      <c r="G503" s="276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1295.79</v>
      </c>
      <c r="L5" s="28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80">
        <v>379.61</v>
      </c>
      <c r="L6" s="281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80">
        <v>7271.78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80">
        <v>9090.56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80">
        <v>69.22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290+20</f>
        <v>310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80"/>
      <c r="L12" s="281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20217</v>
      </c>
      <c r="L19" s="283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280</v>
      </c>
      <c r="K25" s="280">
        <v>176.46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281</v>
      </c>
      <c r="K26" s="280">
        <v>47.52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0">
        <v>6</v>
      </c>
      <c r="J27" s="36" t="s">
        <v>225</v>
      </c>
      <c r="K27" s="280">
        <v>93.93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5</v>
      </c>
      <c r="J28" s="36" t="s">
        <v>311</v>
      </c>
      <c r="K28" s="280">
        <v>447.43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1</v>
      </c>
      <c r="J29" s="36" t="s">
        <v>314</v>
      </c>
      <c r="K29" s="280">
        <v>1638.24</v>
      </c>
      <c r="L29" s="281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8" ht="15" customHeight="1" thickBot="1">
      <c r="B283" s="274"/>
      <c r="C283" s="275"/>
      <c r="D283" s="275"/>
      <c r="E283" s="275"/>
      <c r="F283" s="275"/>
      <c r="G283" s="276"/>
    </row>
    <row r="284" spans="2:8">
      <c r="B284" s="279" t="s">
        <v>10</v>
      </c>
      <c r="C284" s="278"/>
      <c r="D284" s="277" t="s">
        <v>11</v>
      </c>
      <c r="E284" s="277"/>
      <c r="F284" s="277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5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3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1852.76</v>
      </c>
      <c r="L5" s="288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80">
        <v>335.99</v>
      </c>
      <c r="L6" s="281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80">
        <v>7882.01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80">
        <v>3390.56</v>
      </c>
      <c r="L8" s="281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80">
        <v>621.13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30+40+170</f>
        <v>240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80">
        <v>5092.08</v>
      </c>
      <c r="L12" s="281"/>
      <c r="M12" s="178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21214.57</v>
      </c>
      <c r="L19" s="283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278</v>
      </c>
      <c r="K25" s="287">
        <v>259.36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326</v>
      </c>
      <c r="K26" s="280">
        <v>176.46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4" workbookViewId="0">
      <selection activeCell="J15" sqref="J15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1117.3699999999999</v>
      </c>
      <c r="L5" s="288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80">
        <v>292.37</v>
      </c>
      <c r="L6" s="281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80">
        <f>6685.64-16.84-6.88</f>
        <v>6661.92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80">
        <v>5000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80">
        <v>621.13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90+30+15</f>
        <v>135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20719.909999999996</v>
      </c>
      <c r="L19" s="283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278</v>
      </c>
      <c r="K25" s="287">
        <v>249.22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338</v>
      </c>
      <c r="K26" s="280">
        <v>197.22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0">
        <v>6</v>
      </c>
      <c r="J27" s="36" t="s">
        <v>357</v>
      </c>
      <c r="K27" s="280">
        <v>2290.23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0">
        <v>5</v>
      </c>
      <c r="J28" s="36" t="s">
        <v>358</v>
      </c>
      <c r="K28" s="280">
        <v>80.099999999999994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>
        <v>4</v>
      </c>
      <c r="J29" s="36" t="s">
        <v>359</v>
      </c>
      <c r="K29" s="280">
        <v>0.03</v>
      </c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>
        <v>2</v>
      </c>
      <c r="J30" s="36" t="s">
        <v>278</v>
      </c>
      <c r="K30" s="280">
        <v>325.64</v>
      </c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9" workbookViewId="0">
      <selection activeCell="I22" sqref="I22:L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32" t="s">
        <v>70</v>
      </c>
      <c r="J4" s="33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7">
        <v>1091.18</v>
      </c>
      <c r="L5" s="288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80">
        <v>248.78</v>
      </c>
      <c r="L6" s="281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80">
        <v>8736.65</v>
      </c>
      <c r="L7" s="281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80">
        <v>5000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80">
        <v>621.13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80">
        <v>1800.04</v>
      </c>
      <c r="L10" s="28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80">
        <f>40+276</f>
        <v>316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22905.86</v>
      </c>
      <c r="L19" s="283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5</v>
      </c>
      <c r="J25" s="3" t="s">
        <v>363</v>
      </c>
      <c r="K25" s="287">
        <v>38.64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278</v>
      </c>
      <c r="K26" s="280">
        <v>249.22</v>
      </c>
      <c r="L26" s="281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338</v>
      </c>
      <c r="K27" s="280">
        <v>155.69999999999999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v>2311.09</v>
      </c>
      <c r="L5" s="288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80">
        <v>205.16</v>
      </c>
      <c r="L6" s="281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6999</v>
      </c>
      <c r="L7" s="281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82.76</v>
      </c>
      <c r="F8" s="71"/>
      <c r="G8" s="34" t="s">
        <v>38</v>
      </c>
      <c r="H8" s="1"/>
      <c r="I8" s="198" t="s">
        <v>76</v>
      </c>
      <c r="J8" s="197" t="s">
        <v>78</v>
      </c>
      <c r="K8" s="280">
        <v>6000</v>
      </c>
      <c r="L8" s="281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198" t="s">
        <v>76</v>
      </c>
      <c r="J9" s="197" t="s">
        <v>269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f>465+90</f>
        <v>555</v>
      </c>
      <c r="L11" s="281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198" t="s">
        <v>305</v>
      </c>
      <c r="J12" s="197" t="s">
        <v>306</v>
      </c>
      <c r="K12" s="280">
        <v>5092.08</v>
      </c>
      <c r="L12" s="281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23622.14</v>
      </c>
      <c r="L19" s="283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338</v>
      </c>
      <c r="K25" s="287">
        <v>197.22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5</v>
      </c>
      <c r="J26" s="36" t="s">
        <v>428</v>
      </c>
      <c r="K26" s="280">
        <v>200</v>
      </c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v>2946.37</v>
      </c>
      <c r="L5" s="288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80">
        <v>161.54</v>
      </c>
      <c r="L6" s="281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7451.76</v>
      </c>
      <c r="L7" s="281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80">
        <v>6000</v>
      </c>
      <c r="L8" s="281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80">
        <v>659.77</v>
      </c>
      <c r="L9" s="281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v>800</v>
      </c>
      <c r="L11" s="281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198" t="s">
        <v>305</v>
      </c>
      <c r="J12" s="197" t="s">
        <v>306</v>
      </c>
      <c r="K12" s="280">
        <v>5092.08</v>
      </c>
      <c r="L12" s="281"/>
      <c r="M12" s="178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24911.559999999998</v>
      </c>
      <c r="L19" s="283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5" t="s">
        <v>116</v>
      </c>
      <c r="L20" s="178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469</v>
      </c>
      <c r="K25" s="287">
        <v>134.94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477</v>
      </c>
      <c r="K26" s="280">
        <v>83.04</v>
      </c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278</v>
      </c>
      <c r="K27" s="280">
        <v>786.42</v>
      </c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9</v>
      </c>
      <c r="J28" s="36" t="s">
        <v>515</v>
      </c>
      <c r="K28" s="280">
        <v>26.77</v>
      </c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4</v>
      </c>
      <c r="J29" s="36" t="s">
        <v>519</v>
      </c>
      <c r="K29" s="280">
        <v>0.02</v>
      </c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501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504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5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2">
        <f>SUM(D80:F80)-H68</f>
        <v>99.600000000000009</v>
      </c>
      <c r="I80" s="175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512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502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505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499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8" ht="15" customHeight="1" thickBot="1">
      <c r="B243" s="274"/>
      <c r="C243" s="275"/>
      <c r="D243" s="275"/>
      <c r="E243" s="275"/>
      <c r="F243" s="275"/>
      <c r="G243" s="276"/>
    </row>
    <row r="244" spans="2:8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506</v>
      </c>
      <c r="H248" s="203"/>
    </row>
    <row r="249" spans="2:8">
      <c r="B249" s="68"/>
      <c r="C249" s="34"/>
      <c r="D249" s="70">
        <v>129</v>
      </c>
      <c r="E249" s="71"/>
      <c r="F249" s="71"/>
      <c r="G249" s="34" t="s">
        <v>509</v>
      </c>
    </row>
    <row r="250" spans="2:8">
      <c r="B250" s="68"/>
      <c r="C250" s="34"/>
      <c r="D250" s="70">
        <v>271.56</v>
      </c>
      <c r="E250" s="71"/>
      <c r="F250" s="71"/>
      <c r="G250" s="34" t="s">
        <v>513</v>
      </c>
    </row>
    <row r="251" spans="2:8">
      <c r="B251" s="68"/>
      <c r="C251" s="34"/>
      <c r="D251" s="70">
        <v>14.06</v>
      </c>
      <c r="E251" s="71"/>
      <c r="F251" s="71"/>
      <c r="G251" s="34" t="s">
        <v>516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496</v>
      </c>
    </row>
    <row r="288" spans="2:7">
      <c r="B288" s="68"/>
      <c r="C288" s="34"/>
      <c r="D288" s="70">
        <v>10</v>
      </c>
      <c r="E288" s="71"/>
      <c r="F288" s="71"/>
      <c r="G288" s="34" t="s">
        <v>498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507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508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492</v>
      </c>
    </row>
    <row r="328" spans="2:7">
      <c r="B328" s="68"/>
      <c r="C328" s="34"/>
      <c r="D328" s="70">
        <v>12.25</v>
      </c>
      <c r="E328" s="71"/>
      <c r="F328" s="71"/>
      <c r="G328" s="34" t="s">
        <v>503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493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495</v>
      </c>
    </row>
    <row r="507" spans="2:7">
      <c r="B507" s="68"/>
      <c r="C507" s="34"/>
      <c r="D507" s="70"/>
      <c r="E507" s="71">
        <v>11.27</v>
      </c>
      <c r="F507" s="71"/>
      <c r="G507" s="34" t="s">
        <v>497</v>
      </c>
    </row>
    <row r="508" spans="2:7">
      <c r="B508" s="68"/>
      <c r="C508" s="34"/>
      <c r="D508" s="70"/>
      <c r="E508" s="71">
        <v>49</v>
      </c>
      <c r="F508" s="71"/>
      <c r="G508" s="34" t="s">
        <v>520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314" workbookViewId="0">
      <selection activeCell="B322" sqref="B322:G3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1" t="str">
        <f>'2018'!A20</f>
        <v>Cártama Gastos</v>
      </c>
      <c r="C2" s="272"/>
      <c r="D2" s="272"/>
      <c r="E2" s="272"/>
      <c r="F2" s="272"/>
      <c r="G2" s="273"/>
      <c r="H2" s="1"/>
      <c r="I2" s="284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79" t="s">
        <v>10</v>
      </c>
      <c r="C4" s="278"/>
      <c r="D4" s="277" t="s">
        <v>11</v>
      </c>
      <c r="E4" s="277"/>
      <c r="F4" s="277"/>
      <c r="G4" s="278"/>
      <c r="H4" s="1"/>
      <c r="I4" s="124" t="s">
        <v>70</v>
      </c>
      <c r="J4" s="195" t="s">
        <v>71</v>
      </c>
      <c r="K4" s="285" t="s">
        <v>72</v>
      </c>
      <c r="L4" s="286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7">
        <f>2534.79-49</f>
        <v>2485.79</v>
      </c>
      <c r="L5" s="288"/>
      <c r="M5" s="1"/>
      <c r="N5" s="1"/>
      <c r="R5" s="3"/>
    </row>
    <row r="6" spans="1:22" ht="15.75">
      <c r="A6" s="202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80">
        <v>550</v>
      </c>
      <c r="L6" s="281"/>
      <c r="M6" s="1" t="s">
        <v>396</v>
      </c>
      <c r="N6" s="1"/>
      <c r="R6" s="3"/>
    </row>
    <row r="7" spans="1:22" ht="15.75">
      <c r="A7" s="202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80">
        <v>6661.07</v>
      </c>
      <c r="L7" s="281"/>
      <c r="M7" s="1"/>
      <c r="N7" s="1"/>
      <c r="R7" s="3"/>
    </row>
    <row r="8" spans="1:22" ht="15.75">
      <c r="A8" s="202">
        <f t="shared" si="0"/>
        <v>0</v>
      </c>
      <c r="B8" s="68">
        <v>0</v>
      </c>
      <c r="C8" s="34" t="s">
        <v>38</v>
      </c>
      <c r="D8" s="70"/>
      <c r="E8" s="175">
        <v>108.71</v>
      </c>
      <c r="F8" s="71"/>
      <c r="G8" s="34" t="s">
        <v>38</v>
      </c>
      <c r="H8" s="1"/>
      <c r="I8" s="198" t="s">
        <v>76</v>
      </c>
      <c r="J8" s="197" t="s">
        <v>78</v>
      </c>
      <c r="K8" s="280">
        <v>7000</v>
      </c>
      <c r="L8" s="281"/>
      <c r="M8" s="1"/>
      <c r="N8" s="1"/>
      <c r="R8" s="3"/>
    </row>
    <row r="9" spans="1:22" ht="15.75">
      <c r="A9" s="202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80">
        <v>659.77</v>
      </c>
      <c r="L9" s="281"/>
      <c r="M9" s="1"/>
      <c r="N9" s="1"/>
      <c r="R9" s="3"/>
    </row>
    <row r="10" spans="1:22" ht="15.75">
      <c r="A10" s="202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80">
        <v>1800.04</v>
      </c>
      <c r="L10" s="281"/>
      <c r="M10" s="1" t="s">
        <v>267</v>
      </c>
      <c r="N10" s="1"/>
      <c r="R10" s="3"/>
    </row>
    <row r="11" spans="1:22" ht="15.75">
      <c r="A11" s="202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80">
        <f>220+20</f>
        <v>240</v>
      </c>
      <c r="L11" s="281"/>
      <c r="M11" s="1"/>
      <c r="N11" s="1"/>
      <c r="R11" s="3"/>
    </row>
    <row r="12" spans="1:22" ht="15.75">
      <c r="A12" s="202"/>
      <c r="B12" s="68">
        <v>20</v>
      </c>
      <c r="C12" s="34" t="s">
        <v>467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80">
        <v>5092.08</v>
      </c>
      <c r="L12" s="281"/>
      <c r="M12" s="178"/>
      <c r="N12" s="1"/>
      <c r="R12" s="3"/>
    </row>
    <row r="13" spans="1:22" ht="15.75">
      <c r="A13" s="202"/>
      <c r="B13" s="68">
        <v>-285</v>
      </c>
      <c r="C13" s="34" t="s">
        <v>471</v>
      </c>
      <c r="D13" s="70"/>
      <c r="E13" s="71"/>
      <c r="F13" s="71"/>
      <c r="G13" s="34"/>
      <c r="H13" s="1"/>
      <c r="I13" s="198"/>
      <c r="J13" s="197"/>
      <c r="K13" s="280"/>
      <c r="L13" s="281"/>
      <c r="M13" s="1"/>
      <c r="N13" s="1"/>
      <c r="R13" s="3"/>
    </row>
    <row r="14" spans="1:22" ht="15.75">
      <c r="A14" s="202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80"/>
      <c r="L14" s="281"/>
      <c r="M14" s="1"/>
      <c r="N14" s="1"/>
      <c r="R14" s="3"/>
    </row>
    <row r="15" spans="1:22" ht="15.75">
      <c r="A15" s="202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80"/>
      <c r="L15" s="281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80"/>
      <c r="L16" s="281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80"/>
      <c r="L17" s="281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2"/>
      <c r="L18" s="283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2">
        <f>SUM(K5:K18)</f>
        <v>24488.75</v>
      </c>
      <c r="L19" s="283"/>
      <c r="M19" s="1"/>
      <c r="N19" s="1"/>
      <c r="R19" s="3"/>
    </row>
    <row r="20" spans="1:18" ht="16.5" thickBot="1">
      <c r="A20" s="202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1" t="str">
        <f>'2018'!A21</f>
        <v>Waterloo</v>
      </c>
      <c r="C22" s="272"/>
      <c r="D22" s="272"/>
      <c r="E22" s="272"/>
      <c r="F22" s="272"/>
      <c r="G22" s="273"/>
      <c r="H22" s="1"/>
      <c r="I22" s="284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79" t="s">
        <v>10</v>
      </c>
      <c r="C24" s="278"/>
      <c r="D24" s="277" t="s">
        <v>11</v>
      </c>
      <c r="E24" s="277"/>
      <c r="F24" s="277"/>
      <c r="G24" s="278"/>
      <c r="H24" s="1"/>
      <c r="I24" s="124" t="s">
        <v>33</v>
      </c>
      <c r="J24" s="33" t="s">
        <v>133</v>
      </c>
      <c r="K24" s="285" t="s">
        <v>134</v>
      </c>
      <c r="L24" s="286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521</v>
      </c>
      <c r="K25" s="287">
        <v>269.88</v>
      </c>
      <c r="L25" s="288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530</v>
      </c>
      <c r="K26" s="280">
        <v>49</v>
      </c>
      <c r="L26" s="281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0"/>
      <c r="J27" s="36"/>
      <c r="K27" s="280"/>
      <c r="L27" s="281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80"/>
      <c r="L28" s="281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80"/>
      <c r="L29" s="281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80"/>
      <c r="L30" s="281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80"/>
      <c r="L31" s="281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80"/>
      <c r="L32" s="281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80"/>
      <c r="L33" s="281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80"/>
      <c r="L34" s="281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80"/>
      <c r="L35" s="281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80"/>
      <c r="L36" s="281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80"/>
      <c r="L37" s="281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2"/>
      <c r="L38" s="283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1" t="str">
        <f>'2018'!A22</f>
        <v>Comida+Limpieza</v>
      </c>
      <c r="C42" s="272"/>
      <c r="D42" s="272"/>
      <c r="E42" s="272"/>
      <c r="F42" s="272"/>
      <c r="G42" s="273"/>
      <c r="H42" s="1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M43" s="1"/>
      <c r="R43" s="3"/>
    </row>
    <row r="44" spans="1:18" ht="15.75">
      <c r="A44" s="1"/>
      <c r="B44" s="279" t="s">
        <v>10</v>
      </c>
      <c r="C44" s="278"/>
      <c r="D44" s="277" t="s">
        <v>11</v>
      </c>
      <c r="E44" s="277"/>
      <c r="F44" s="277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536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523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524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527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528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539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541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546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548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549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550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570</v>
      </c>
      <c r="H57" s="1"/>
      <c r="M57" s="1"/>
      <c r="R57" s="3"/>
    </row>
    <row r="58" spans="1:18" ht="15.75">
      <c r="A58" s="1"/>
      <c r="B58" s="68"/>
      <c r="C58" s="34"/>
      <c r="D58" s="70">
        <f>9.15+43.15-D167</f>
        <v>19.149999999999999</v>
      </c>
      <c r="E58" s="71"/>
      <c r="F58" s="71"/>
      <c r="G58" s="34" t="s">
        <v>569</v>
      </c>
      <c r="H58" s="1"/>
      <c r="M58" s="1"/>
      <c r="R58" s="3"/>
    </row>
    <row r="59" spans="1:18" ht="16.5" thickBot="1">
      <c r="A59" s="1"/>
      <c r="B59" s="69"/>
      <c r="C59" s="35"/>
      <c r="D59" s="69">
        <v>8.7799999999999994</v>
      </c>
      <c r="E59" s="72"/>
      <c r="F59" s="72"/>
      <c r="G59" s="35" t="s">
        <v>568</v>
      </c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415.88999999999993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1" t="str">
        <f>'2018'!A23</f>
        <v>Ocio</v>
      </c>
      <c r="C62" s="272"/>
      <c r="D62" s="272"/>
      <c r="E62" s="272"/>
      <c r="F62" s="272"/>
      <c r="G62" s="273"/>
      <c r="H62" s="1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M63" s="1"/>
      <c r="R63" s="3"/>
    </row>
    <row r="64" spans="1:18" ht="15.75">
      <c r="A64" s="1"/>
      <c r="B64" s="279" t="s">
        <v>10</v>
      </c>
      <c r="C64" s="278"/>
      <c r="D64" s="277" t="s">
        <v>11</v>
      </c>
      <c r="E64" s="277"/>
      <c r="F64" s="277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522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533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532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544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556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551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560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1" t="str">
        <f>'2018'!A24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79" t="s">
        <v>10</v>
      </c>
      <c r="C84" s="278"/>
      <c r="D84" s="277" t="s">
        <v>11</v>
      </c>
      <c r="E84" s="277"/>
      <c r="F84" s="277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529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553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558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559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1" t="str">
        <f>'2018'!A25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79" t="s">
        <v>10</v>
      </c>
      <c r="C104" s="278"/>
      <c r="D104" s="277" t="s">
        <v>11</v>
      </c>
      <c r="E104" s="277"/>
      <c r="F104" s="277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1" t="str">
        <f>'2018'!A26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79" t="s">
        <v>10</v>
      </c>
      <c r="C124" s="278"/>
      <c r="D124" s="277" t="s">
        <v>11</v>
      </c>
      <c r="E124" s="277"/>
      <c r="F124" s="277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1" t="str">
        <f>'2018'!A27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79" t="s">
        <v>10</v>
      </c>
      <c r="C144" s="278"/>
      <c r="D144" s="277" t="s">
        <v>11</v>
      </c>
      <c r="E144" s="277"/>
      <c r="F144" s="277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537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538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539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546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1" t="str">
        <f>'2018'!A28</f>
        <v>Vacaciones</v>
      </c>
      <c r="C162" s="272"/>
      <c r="D162" s="272"/>
      <c r="E162" s="272"/>
      <c r="F162" s="272"/>
      <c r="G162" s="27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9" t="s">
        <v>10</v>
      </c>
      <c r="C164" s="278"/>
      <c r="D164" s="277" t="s">
        <v>11</v>
      </c>
      <c r="E164" s="277"/>
      <c r="F164" s="277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33.15</v>
      </c>
      <c r="E167" s="71"/>
      <c r="F167" s="71"/>
      <c r="G167" s="34" t="s">
        <v>571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3.05</v>
      </c>
      <c r="E168" s="71"/>
      <c r="F168" s="71"/>
      <c r="G168" s="34" t="s">
        <v>572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36.199999999999996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1" t="str">
        <f>'2018'!A29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9" t="s">
        <v>10</v>
      </c>
      <c r="C184" s="278"/>
      <c r="D184" s="277" t="s">
        <v>11</v>
      </c>
      <c r="E184" s="277"/>
      <c r="F184" s="277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517</v>
      </c>
      <c r="D187" s="70">
        <v>19</v>
      </c>
      <c r="E187" s="71"/>
      <c r="F187" s="71"/>
      <c r="G187" s="34" t="s">
        <v>555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1" t="str">
        <f>'2018'!A30</f>
        <v>Belleza</v>
      </c>
      <c r="C202" s="272"/>
      <c r="D202" s="272"/>
      <c r="E202" s="272"/>
      <c r="F202" s="272"/>
      <c r="G202" s="273"/>
    </row>
    <row r="203" spans="2:7" ht="15" customHeight="1" thickBot="1">
      <c r="B203" s="274"/>
      <c r="C203" s="275"/>
      <c r="D203" s="275"/>
      <c r="E203" s="275"/>
      <c r="F203" s="275"/>
      <c r="G203" s="276"/>
    </row>
    <row r="204" spans="2:7">
      <c r="B204" s="279" t="s">
        <v>10</v>
      </c>
      <c r="C204" s="278"/>
      <c r="D204" s="277" t="s">
        <v>11</v>
      </c>
      <c r="E204" s="277"/>
      <c r="F204" s="277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525</v>
      </c>
    </row>
    <row r="207" spans="2:7">
      <c r="B207" s="68"/>
      <c r="C207" s="34"/>
      <c r="D207" s="70">
        <v>40.15</v>
      </c>
      <c r="E207" s="71"/>
      <c r="F207" s="71"/>
      <c r="G207" s="34" t="s">
        <v>542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554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1" t="str">
        <f>'2018'!A31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79" t="s">
        <v>10</v>
      </c>
      <c r="C224" s="278"/>
      <c r="D224" s="277" t="s">
        <v>11</v>
      </c>
      <c r="E224" s="277"/>
      <c r="F224" s="277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1" t="str">
        <f>'2018'!A32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79" t="s">
        <v>10</v>
      </c>
      <c r="C244" s="278"/>
      <c r="D244" s="277" t="s">
        <v>11</v>
      </c>
      <c r="E244" s="277"/>
      <c r="F244" s="277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518</v>
      </c>
      <c r="D246" s="70">
        <v>12.46</v>
      </c>
      <c r="E246" s="71"/>
      <c r="F246" s="71"/>
      <c r="G246" s="34" t="s">
        <v>526</v>
      </c>
    </row>
    <row r="247" spans="2:7" ht="15" customHeight="1">
      <c r="B247" s="68">
        <v>566.59</v>
      </c>
      <c r="C247" s="34" t="s">
        <v>517</v>
      </c>
      <c r="D247" s="70">
        <f>34.65-D286-D147</f>
        <v>23.169999999999998</v>
      </c>
      <c r="E247" s="71"/>
      <c r="F247" s="71"/>
      <c r="G247" s="34" t="s">
        <v>538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1" t="str">
        <f>'2018'!A33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79" t="s">
        <v>10</v>
      </c>
      <c r="C264" s="278"/>
      <c r="D264" s="277" t="s">
        <v>11</v>
      </c>
      <c r="E264" s="277"/>
      <c r="F264" s="277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518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1" t="str">
        <f>'2018'!A34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79" t="s">
        <v>10</v>
      </c>
      <c r="C284" s="278"/>
      <c r="D284" s="277" t="s">
        <v>11</v>
      </c>
      <c r="E284" s="277"/>
      <c r="F284" s="277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540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1" t="str">
        <f>'2018'!A35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79" t="s">
        <v>10</v>
      </c>
      <c r="C304" s="278"/>
      <c r="D304" s="277" t="s">
        <v>11</v>
      </c>
      <c r="E304" s="277"/>
      <c r="F304" s="277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>
        <v>125</v>
      </c>
      <c r="E306" s="71"/>
      <c r="F306" s="71"/>
      <c r="G306" s="34" t="s">
        <v>566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1" t="str">
        <f>'2018'!A36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79" t="s">
        <v>10</v>
      </c>
      <c r="C324" s="278"/>
      <c r="D324" s="277" t="s">
        <v>11</v>
      </c>
      <c r="E324" s="277"/>
      <c r="F324" s="277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518</v>
      </c>
      <c r="D326" s="70">
        <v>4.3499999999999996</v>
      </c>
      <c r="E326" s="71"/>
      <c r="F326" s="71"/>
      <c r="G326" s="34" t="s">
        <v>561</v>
      </c>
    </row>
    <row r="327" spans="2:7">
      <c r="B327" s="68">
        <v>0.02</v>
      </c>
      <c r="C327" s="34" t="s">
        <v>519</v>
      </c>
      <c r="D327" s="70"/>
      <c r="E327" s="71"/>
      <c r="F327" s="71"/>
      <c r="G327" s="34"/>
    </row>
    <row r="328" spans="2:7">
      <c r="B328" s="68">
        <v>241.71</v>
      </c>
      <c r="C328" s="34" t="s">
        <v>517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1" t="str">
        <f>'2018'!A37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79" t="s">
        <v>10</v>
      </c>
      <c r="C344" s="278"/>
      <c r="D344" s="277" t="s">
        <v>11</v>
      </c>
      <c r="E344" s="277"/>
      <c r="F344" s="277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1" t="str">
        <f>'2018'!A38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79" t="s">
        <v>10</v>
      </c>
      <c r="C364" s="278"/>
      <c r="D364" s="277" t="s">
        <v>11</v>
      </c>
      <c r="E364" s="277"/>
      <c r="F364" s="277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4+2.8+3.5+3.7+3.4+2.8+3.4+2.8+4.45+2.8+5</f>
        <v>38.65</v>
      </c>
      <c r="G366" s="91" t="s">
        <v>91</v>
      </c>
    </row>
    <row r="367" spans="2:7">
      <c r="B367" s="68">
        <v>26.77</v>
      </c>
      <c r="C367" s="34" t="s">
        <v>515</v>
      </c>
      <c r="D367" s="70">
        <v>40.49</v>
      </c>
      <c r="E367" s="71"/>
      <c r="F367" s="71"/>
      <c r="G367" s="91" t="s">
        <v>543</v>
      </c>
    </row>
    <row r="368" spans="2:7">
      <c r="B368" s="68"/>
      <c r="C368" s="34"/>
      <c r="D368" s="70"/>
      <c r="E368" s="71">
        <v>57.65</v>
      </c>
      <c r="F368" s="71"/>
      <c r="G368" s="34" t="s">
        <v>545</v>
      </c>
    </row>
    <row r="369" spans="2:7">
      <c r="B369" s="68"/>
      <c r="C369" s="34"/>
      <c r="D369" s="70"/>
      <c r="E369" s="71"/>
      <c r="F369" s="71">
        <v>2.85</v>
      </c>
      <c r="G369" s="34" t="s">
        <v>557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41.5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1" t="str">
        <f>'2018'!A39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79" t="s">
        <v>10</v>
      </c>
      <c r="C384" s="278"/>
      <c r="D384" s="277" t="s">
        <v>11</v>
      </c>
      <c r="E384" s="277"/>
      <c r="F384" s="277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1" t="str">
        <f>'2018'!A40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79" t="s">
        <v>10</v>
      </c>
      <c r="C404" s="278"/>
      <c r="D404" s="277" t="s">
        <v>11</v>
      </c>
      <c r="E404" s="277"/>
      <c r="F404" s="277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1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79" t="s">
        <v>10</v>
      </c>
      <c r="C424" s="278"/>
      <c r="D424" s="277" t="s">
        <v>11</v>
      </c>
      <c r="E424" s="277"/>
      <c r="F424" s="277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-1589.8899999999999</v>
      </c>
      <c r="C426" s="37" t="s">
        <v>531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-1589.8899999999999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1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79" t="s">
        <v>10</v>
      </c>
      <c r="C444" s="278"/>
      <c r="D444" s="277" t="s">
        <v>11</v>
      </c>
      <c r="E444" s="277"/>
      <c r="F444" s="277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1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79" t="s">
        <v>10</v>
      </c>
      <c r="C464" s="278"/>
      <c r="D464" s="277" t="s">
        <v>11</v>
      </c>
      <c r="E464" s="277"/>
      <c r="F464" s="277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1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79" t="s">
        <v>10</v>
      </c>
      <c r="C484" s="278"/>
      <c r="D484" s="277" t="s">
        <v>11</v>
      </c>
      <c r="E484" s="277"/>
      <c r="F484" s="277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1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79" t="s">
        <v>10</v>
      </c>
      <c r="C504" s="278"/>
      <c r="D504" s="277" t="s">
        <v>11</v>
      </c>
      <c r="E504" s="277"/>
      <c r="F504" s="277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2018-09-11T14:17:12Z</dcterms:modified>
</cp:coreProperties>
</file>