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24226"/>
  <xr:revisionPtr revIDLastSave="0" documentId="13_ncr:1_{E8727644-6958-4A8D-860C-FE7945510579}" xr6:coauthVersionLast="44" xr6:coauthVersionMax="44" xr10:uidLastSave="{00000000-0000-0000-0000-000000000000}"/>
  <bookViews>
    <workbookView xWindow="-108" yWindow="12852" windowWidth="22236" windowHeight="13176" activeTab="1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s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6" i="2" l="1"/>
  <c r="B307" i="2" l="1"/>
  <c r="L56" i="2"/>
  <c r="A110" i="3" l="1"/>
  <c r="A116" i="2"/>
  <c r="A116" i="3" s="1"/>
  <c r="A110" i="2"/>
  <c r="B116" i="2"/>
  <c r="F366" i="2"/>
  <c r="L55" i="2"/>
  <c r="L25" i="2"/>
  <c r="N45" i="2" l="1"/>
  <c r="A118" i="2"/>
  <c r="A286" i="2" l="1"/>
  <c r="B5" i="14" l="1"/>
  <c r="I257" i="3" l="1"/>
  <c r="A257" i="3"/>
  <c r="A256" i="3"/>
  <c r="B257" i="3"/>
  <c r="B256" i="3"/>
  <c r="A431" i="2"/>
  <c r="B308" i="2"/>
  <c r="A430" i="2"/>
  <c r="D309" i="2" l="1"/>
  <c r="A130" i="3"/>
  <c r="A129" i="3"/>
  <c r="F140" i="3"/>
  <c r="E140" i="3"/>
  <c r="D140" i="3"/>
  <c r="B140" i="3"/>
  <c r="A118" i="3"/>
  <c r="B106" i="3"/>
  <c r="K10" i="3"/>
  <c r="K9" i="3"/>
  <c r="K8" i="3"/>
  <c r="K5" i="3"/>
  <c r="A31" i="3"/>
  <c r="A14" i="3"/>
  <c r="A15" i="3"/>
  <c r="B14" i="3"/>
  <c r="A429" i="2"/>
  <c r="B287" i="2"/>
  <c r="K74" i="2" l="1"/>
  <c r="A428" i="2" l="1"/>
  <c r="D366" i="2"/>
  <c r="AZ48" i="1"/>
  <c r="AZ18" i="1"/>
  <c r="L73" i="2"/>
  <c r="L74" i="2" s="1"/>
  <c r="L75" i="2" s="1"/>
  <c r="B406" i="2"/>
  <c r="B14" i="2"/>
  <c r="A286" i="3"/>
  <c r="A130" i="2"/>
  <c r="A129" i="2"/>
  <c r="A127" i="2"/>
  <c r="A126" i="2"/>
  <c r="A126" i="3" s="1"/>
  <c r="B106" i="2"/>
  <c r="A427" i="2"/>
  <c r="K9" i="2"/>
  <c r="K8" i="2"/>
  <c r="K10" i="2"/>
  <c r="K5" i="2"/>
  <c r="M5" i="2"/>
  <c r="A140" i="2" l="1"/>
  <c r="A127" i="3"/>
  <c r="A140" i="3" s="1"/>
  <c r="G74" i="17"/>
  <c r="G69" i="17"/>
  <c r="D70" i="17"/>
  <c r="D67" i="17"/>
  <c r="C73" i="17" l="1"/>
  <c r="C72" i="17"/>
  <c r="C71" i="17"/>
  <c r="F70" i="17"/>
  <c r="F71" i="17" s="1"/>
  <c r="F72" i="17" s="1"/>
  <c r="F73" i="17" s="1"/>
  <c r="C70" i="17"/>
  <c r="C69" i="17"/>
  <c r="E69" i="17" s="1"/>
  <c r="E70" i="17" l="1"/>
  <c r="D71" i="17" s="1"/>
  <c r="E71" i="17" s="1"/>
  <c r="G70" i="17"/>
  <c r="U71" i="18"/>
  <c r="U68" i="18"/>
  <c r="U69" i="18" s="1"/>
  <c r="U70" i="18" s="1"/>
  <c r="U60" i="18"/>
  <c r="U61" i="18" s="1"/>
  <c r="H59" i="18"/>
  <c r="H58" i="18"/>
  <c r="H57" i="18"/>
  <c r="H56" i="18"/>
  <c r="D43" i="18"/>
  <c r="X40" i="18" s="1"/>
  <c r="Y40" i="18" s="1"/>
  <c r="Q36" i="18"/>
  <c r="N36" i="18"/>
  <c r="L36" i="18"/>
  <c r="P36" i="18" s="1"/>
  <c r="R36" i="18" s="1"/>
  <c r="D36" i="18"/>
  <c r="H35" i="18"/>
  <c r="I35" i="18" s="1"/>
  <c r="D35" i="18"/>
  <c r="R34" i="18"/>
  <c r="Q34" i="18"/>
  <c r="P34" i="18"/>
  <c r="D34" i="18"/>
  <c r="M33" i="18"/>
  <c r="N33" i="18" s="1"/>
  <c r="J33" i="18"/>
  <c r="O33" i="18" s="1"/>
  <c r="I33" i="18"/>
  <c r="E33" i="18" s="1"/>
  <c r="H33" i="18"/>
  <c r="D33" i="18"/>
  <c r="P32" i="18"/>
  <c r="D32" i="18"/>
  <c r="D31" i="18"/>
  <c r="Q30" i="18"/>
  <c r="P30" i="18"/>
  <c r="R30" i="18" s="1"/>
  <c r="D30" i="18"/>
  <c r="R29" i="18"/>
  <c r="Q29" i="18"/>
  <c r="P29" i="18"/>
  <c r="D29" i="18"/>
  <c r="U28" i="18"/>
  <c r="H28" i="18"/>
  <c r="M28" i="18" s="1"/>
  <c r="D28" i="18"/>
  <c r="D27" i="18"/>
  <c r="D26" i="18"/>
  <c r="M25" i="18"/>
  <c r="H25" i="18"/>
  <c r="I25" i="18" s="1"/>
  <c r="D25" i="18"/>
  <c r="R24" i="18"/>
  <c r="D24" i="18"/>
  <c r="D23" i="18"/>
  <c r="D22" i="18"/>
  <c r="R21" i="18"/>
  <c r="D21" i="18"/>
  <c r="O20" i="18"/>
  <c r="H20" i="18"/>
  <c r="M20" i="18" s="1"/>
  <c r="D20" i="18"/>
  <c r="T19" i="18"/>
  <c r="H19" i="18"/>
  <c r="M19" i="18" s="1"/>
  <c r="D19" i="18"/>
  <c r="D18" i="18"/>
  <c r="D17" i="18"/>
  <c r="D16" i="18"/>
  <c r="D15" i="18"/>
  <c r="R14" i="18"/>
  <c r="T13" i="18" s="1"/>
  <c r="D14" i="18"/>
  <c r="M13" i="18"/>
  <c r="H13" i="18"/>
  <c r="I13" i="18" s="1"/>
  <c r="D13" i="18"/>
  <c r="D42" i="18" s="1"/>
  <c r="Q9" i="18"/>
  <c r="Q8" i="18"/>
  <c r="Q7" i="18"/>
  <c r="Q6" i="18"/>
  <c r="K5" i="18"/>
  <c r="D5" i="18" s="1"/>
  <c r="H5" i="18"/>
  <c r="I5" i="18" s="1"/>
  <c r="M4" i="18"/>
  <c r="N4" i="18" s="1"/>
  <c r="K4" i="18"/>
  <c r="D4" i="18" s="1"/>
  <c r="I4" i="18"/>
  <c r="J4" i="18" s="1"/>
  <c r="H4" i="18"/>
  <c r="K3" i="18"/>
  <c r="D3" i="18" s="1"/>
  <c r="H3" i="18"/>
  <c r="I3" i="18" s="1"/>
  <c r="B12" i="19"/>
  <c r="D7" i="19"/>
  <c r="B7" i="19"/>
  <c r="C3" i="19" s="1"/>
  <c r="D3" i="19" s="1"/>
  <c r="C6" i="19"/>
  <c r="C5" i="19"/>
  <c r="C4" i="19"/>
  <c r="C7" i="19" l="1"/>
  <c r="D6" i="19"/>
  <c r="G71" i="17"/>
  <c r="D72" i="17"/>
  <c r="X20" i="18"/>
  <c r="Y20" i="18" s="1"/>
  <c r="X25" i="18"/>
  <c r="X18" i="18"/>
  <c r="Y18" i="18" s="1"/>
  <c r="X31" i="18"/>
  <c r="Y31" i="18" s="1"/>
  <c r="X34" i="18"/>
  <c r="Y34" i="18" s="1"/>
  <c r="X14" i="18"/>
  <c r="Y14" i="18" s="1"/>
  <c r="X22" i="18"/>
  <c r="Y22" i="18" s="1"/>
  <c r="X33" i="18"/>
  <c r="Y33" i="18" s="1"/>
  <c r="X15" i="18"/>
  <c r="Y15" i="18" s="1"/>
  <c r="X19" i="18"/>
  <c r="X23" i="18"/>
  <c r="Y23" i="18" s="1"/>
  <c r="X27" i="18"/>
  <c r="Y27" i="18" s="1"/>
  <c r="X35" i="18"/>
  <c r="X16" i="18"/>
  <c r="Y16" i="18" s="1"/>
  <c r="X24" i="18"/>
  <c r="Y24" i="18" s="1"/>
  <c r="X17" i="18"/>
  <c r="Y17" i="18" s="1"/>
  <c r="X36" i="18"/>
  <c r="Y36" i="18" s="1"/>
  <c r="X30" i="18"/>
  <c r="Y30" i="18" s="1"/>
  <c r="X13" i="18"/>
  <c r="X29" i="18"/>
  <c r="Y29" i="18" s="1"/>
  <c r="X32" i="18"/>
  <c r="Y32" i="18" s="1"/>
  <c r="X21" i="18"/>
  <c r="Y21" i="18" s="1"/>
  <c r="X26" i="18"/>
  <c r="Y26" i="18" s="1"/>
  <c r="X39" i="18"/>
  <c r="Y39" i="18" s="1"/>
  <c r="J35" i="18"/>
  <c r="E35" i="18"/>
  <c r="O4" i="18"/>
  <c r="E4" i="18"/>
  <c r="P4" i="18" s="1"/>
  <c r="R4" i="18" s="1"/>
  <c r="J5" i="18"/>
  <c r="E5" i="18"/>
  <c r="Q20" i="18"/>
  <c r="J13" i="18"/>
  <c r="J25" i="18"/>
  <c r="O25" i="18" s="1"/>
  <c r="J3" i="18"/>
  <c r="E3" i="18"/>
  <c r="N28" i="18"/>
  <c r="Q28" i="18" s="1"/>
  <c r="Q13" i="18"/>
  <c r="Q19" i="18"/>
  <c r="N19" i="18"/>
  <c r="P33" i="18"/>
  <c r="R33" i="18" s="1"/>
  <c r="M35" i="18"/>
  <c r="X37" i="18"/>
  <c r="Y37" i="18" s="1"/>
  <c r="X41" i="18"/>
  <c r="Y41" i="18" s="1"/>
  <c r="M3" i="18"/>
  <c r="Q4" i="18"/>
  <c r="M5" i="18"/>
  <c r="N13" i="18"/>
  <c r="I19" i="18"/>
  <c r="N25" i="18"/>
  <c r="Q25" i="18" s="1"/>
  <c r="I28" i="18"/>
  <c r="Q33" i="18"/>
  <c r="X38" i="18"/>
  <c r="Y38" i="18" s="1"/>
  <c r="X28" i="18"/>
  <c r="I20" i="18"/>
  <c r="E20" i="18" s="1"/>
  <c r="P20" i="18" s="1"/>
  <c r="D5" i="19"/>
  <c r="D4" i="19"/>
  <c r="G72" i="17" l="1"/>
  <c r="E72" i="17"/>
  <c r="D73" i="17" s="1"/>
  <c r="X42" i="18"/>
  <c r="Y35" i="18"/>
  <c r="R20" i="18"/>
  <c r="N3" i="18"/>
  <c r="O3" i="18" s="1"/>
  <c r="O5" i="18"/>
  <c r="J19" i="18"/>
  <c r="O19" i="18" s="1"/>
  <c r="N35" i="18"/>
  <c r="Q35" i="18" s="1"/>
  <c r="N42" i="18"/>
  <c r="Q5" i="18"/>
  <c r="P5" i="18"/>
  <c r="R5" i="18" s="1"/>
  <c r="N5" i="18"/>
  <c r="E13" i="18"/>
  <c r="J28" i="18"/>
  <c r="O28" i="18" s="1"/>
  <c r="E25" i="18"/>
  <c r="E73" i="17" l="1"/>
  <c r="G73" i="17"/>
  <c r="E74" i="17" s="1"/>
  <c r="O42" i="18"/>
  <c r="Y25" i="18"/>
  <c r="P25" i="18"/>
  <c r="E19" i="18"/>
  <c r="Y19" i="18" s="1"/>
  <c r="J42" i="18"/>
  <c r="Q3" i="18"/>
  <c r="O35" i="18"/>
  <c r="P3" i="18"/>
  <c r="R3" i="18" s="1"/>
  <c r="E28" i="18"/>
  <c r="Y13" i="18"/>
  <c r="P35" i="18"/>
  <c r="R35" i="18" s="1"/>
  <c r="A31" i="2"/>
  <c r="A299" i="2"/>
  <c r="A299" i="3" s="1"/>
  <c r="A300" i="3" s="1"/>
  <c r="B257" i="2"/>
  <c r="B256" i="2"/>
  <c r="A257" i="2"/>
  <c r="A256" i="2"/>
  <c r="A246" i="2"/>
  <c r="A246" i="3" s="1"/>
  <c r="A260" i="3" s="1"/>
  <c r="I257" i="2"/>
  <c r="P28" i="18" l="1"/>
  <c r="R28" i="18" s="1"/>
  <c r="T28" i="18" s="1"/>
  <c r="Y28" i="18"/>
  <c r="Y42" i="18" s="1"/>
  <c r="E42" i="18"/>
  <c r="R25" i="18"/>
  <c r="R42" i="18" s="1"/>
  <c r="P42" i="18"/>
  <c r="A300" i="2"/>
  <c r="A260" i="2"/>
  <c r="A14" i="2"/>
  <c r="A15" i="2"/>
  <c r="Z42" i="18" l="1"/>
  <c r="AA42" i="18" s="1"/>
  <c r="B299" i="13"/>
  <c r="B130" i="13"/>
  <c r="B467" i="13"/>
  <c r="B256" i="13"/>
  <c r="B257" i="13"/>
  <c r="A257" i="13"/>
  <c r="A359" i="13" l="1"/>
  <c r="A358" i="13"/>
  <c r="A346" i="13"/>
  <c r="A299" i="13"/>
  <c r="A256" i="13"/>
  <c r="A246" i="13"/>
  <c r="A130" i="13"/>
  <c r="A129" i="13"/>
  <c r="A127" i="13"/>
  <c r="A126" i="13"/>
  <c r="F366" i="12"/>
  <c r="A360" i="13" l="1"/>
  <c r="A260" i="13"/>
  <c r="A140" i="13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L40" i="12" l="1"/>
  <c r="K9" i="12" l="1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H431" i="6" l="1"/>
  <c r="S8" i="1"/>
  <c r="B467" i="6"/>
  <c r="B468" i="6"/>
  <c r="A426" i="6"/>
  <c r="B257" i="6"/>
  <c r="B46" i="7" l="1"/>
  <c r="D51" i="6" l="1"/>
  <c r="A429" i="6" l="1"/>
  <c r="D146" i="6" l="1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D247" i="4" l="1"/>
  <c r="D51" i="4" s="1"/>
  <c r="F68" i="4"/>
  <c r="D49" i="4"/>
  <c r="D67" i="4"/>
  <c r="A78" i="4" l="1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146" i="3" l="1"/>
  <c r="A66" i="3" l="1"/>
  <c r="A66" i="4" l="1"/>
  <c r="A66" i="5" s="1"/>
  <c r="A66" i="6" s="1"/>
  <c r="A66" i="7" l="1"/>
  <c r="A66" i="8" l="1"/>
  <c r="A66" i="9" s="1"/>
  <c r="A66" i="10" s="1"/>
  <c r="A66" i="11" l="1"/>
  <c r="A66" i="12" s="1"/>
  <c r="A66" i="13" s="1"/>
  <c r="A79" i="3"/>
  <c r="A79" i="4" s="1"/>
  <c r="A79" i="5" s="1"/>
  <c r="A80" i="5" l="1"/>
  <c r="A79" i="6"/>
  <c r="A79" i="7" l="1"/>
  <c r="A80" i="6"/>
  <c r="A79" i="8" l="1"/>
  <c r="A80" i="7"/>
  <c r="A80" i="3"/>
  <c r="A80" i="4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120" i="2" s="1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20" i="2"/>
  <c r="A26" i="2"/>
  <c r="A40" i="2" s="1"/>
  <c r="A79" i="11" l="1"/>
  <c r="A80" i="10"/>
  <c r="A467" i="4"/>
  <c r="A467" i="5" s="1"/>
  <c r="A467" i="6" s="1"/>
  <c r="A467" i="7" s="1"/>
  <c r="A467" i="8" s="1"/>
  <c r="A468" i="4"/>
  <c r="A466" i="4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09" i="4" l="1"/>
  <c r="A120" i="3"/>
  <c r="A7" i="1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68" i="5"/>
  <c r="A468" i="6" s="1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9"/>
  <c r="A109" i="10" s="1"/>
  <c r="A468" i="7"/>
  <c r="A468" i="8" s="1"/>
  <c r="A468" i="9" s="1"/>
  <c r="A468" i="10" s="1"/>
  <c r="L20" i="2"/>
  <c r="A40" i="4"/>
  <c r="A40" i="5"/>
  <c r="A40" i="6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A425" i="2" l="1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I81" i="15" l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E26" i="1"/>
  <c r="E23" i="1"/>
  <c r="E29" i="1"/>
  <c r="E31" i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28" i="1"/>
  <c r="BJ28" i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43" i="1"/>
  <c r="BJ43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D83" i="15"/>
  <c r="E24" i="15"/>
  <c r="E83" i="15" s="1"/>
  <c r="K7" i="14"/>
  <c r="L8" i="14" s="1"/>
  <c r="AX38" i="1"/>
  <c r="BJ38" i="1" s="1"/>
  <c r="AX30" i="1"/>
  <c r="BJ30" i="1" s="1"/>
  <c r="AX27" i="1"/>
  <c r="BJ27" i="1" s="1"/>
  <c r="K8" i="14" l="1"/>
  <c r="L9" i="14" s="1"/>
  <c r="A246" i="5"/>
  <c r="A246" i="6" s="1"/>
  <c r="M8" i="14"/>
  <c r="N8" i="14" s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A246" i="8" s="1"/>
  <c r="A246" i="9" s="1"/>
  <c r="A246" i="10" s="1"/>
  <c r="A246" i="11" s="1"/>
  <c r="K9" i="14"/>
  <c r="L10" i="14" s="1"/>
  <c r="E46" i="1"/>
  <c r="E47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K10" i="14"/>
  <c r="L11" i="14" s="1"/>
  <c r="B22" i="14" s="1"/>
  <c r="C22" i="14" s="1"/>
  <c r="D46" i="1"/>
  <c r="D47" i="1" s="1"/>
  <c r="M10" i="14"/>
  <c r="N10" i="14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N41" i="1" l="1"/>
  <c r="AR41" i="1" l="1"/>
  <c r="AR46" i="1" s="1"/>
  <c r="AR47" i="1" s="1"/>
  <c r="AN46" i="1"/>
  <c r="AN47" i="1" s="1"/>
  <c r="AV41" i="1" l="1"/>
  <c r="AV46" i="1" l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73" i="4"/>
  <c r="A166" i="4" l="1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BJ45" i="1" s="1"/>
  <c r="F31" i="1" l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BJ31" i="1" s="1"/>
  <c r="F23" i="1" l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J23" i="1" s="1"/>
  <c r="F24" i="1" l="1"/>
  <c r="J24" i="1" s="1"/>
  <c r="N24" i="1" s="1"/>
  <c r="R24" i="1" s="1"/>
  <c r="V24" i="1" s="1"/>
  <c r="Z24" i="1" s="1"/>
  <c r="AD24" i="1" s="1"/>
  <c r="AH24" i="1" s="1"/>
  <c r="AL24" i="1" s="1"/>
  <c r="AP24" i="1" s="1"/>
  <c r="AT24" i="1" s="1"/>
  <c r="AX24" i="1" s="1"/>
  <c r="BJ24" i="1" s="1"/>
  <c r="F25" i="1" l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J25" i="1" s="1"/>
  <c r="F29" i="1" l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BJ29" i="1" s="1"/>
  <c r="F34" i="1"/>
  <c r="F39" i="1" l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BJ39" i="1" s="1"/>
  <c r="F36" i="1"/>
  <c r="J34" i="1"/>
  <c r="N34" i="1" s="1"/>
  <c r="R34" i="1" s="1"/>
  <c r="V34" i="1" s="1"/>
  <c r="Z34" i="1" s="1"/>
  <c r="AD34" i="1" s="1"/>
  <c r="BJ34" i="1"/>
  <c r="F32" i="1"/>
  <c r="F21" i="1"/>
  <c r="J21" i="1" l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J21" i="1"/>
  <c r="J36" i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BJ36" i="1"/>
  <c r="A286" i="9"/>
  <c r="AH34" i="1"/>
  <c r="AL34" i="1" s="1"/>
  <c r="AP34" i="1" s="1"/>
  <c r="AT34" i="1" s="1"/>
  <c r="AX34" i="1" s="1"/>
  <c r="J32" i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BJ32" i="1"/>
  <c r="F22" i="1"/>
  <c r="A300" i="9" l="1"/>
  <c r="A286" i="10"/>
  <c r="J22" i="1"/>
  <c r="F26" i="1"/>
  <c r="J26" i="1" l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J26" i="1"/>
  <c r="A300" i="10"/>
  <c r="A286" i="11"/>
  <c r="N22" i="1"/>
  <c r="F40" i="1" l="1"/>
  <c r="J40" i="1" s="1"/>
  <c r="N40" i="1" s="1"/>
  <c r="R40" i="1" s="1"/>
  <c r="V40" i="1" s="1"/>
  <c r="Z40" i="1" s="1"/>
  <c r="AD40" i="1" s="1"/>
  <c r="AH40" i="1" s="1"/>
  <c r="AL40" i="1" s="1"/>
  <c r="AP40" i="1" s="1"/>
  <c r="AT40" i="1" s="1"/>
  <c r="AX40" i="1" s="1"/>
  <c r="BJ40" i="1" s="1"/>
  <c r="F20" i="1"/>
  <c r="A286" i="12"/>
  <c r="A300" i="11"/>
  <c r="R22" i="1"/>
  <c r="J20" i="1" l="1"/>
  <c r="A286" i="13"/>
  <c r="A300" i="13" s="1"/>
  <c r="A300" i="12"/>
  <c r="V22" i="1"/>
  <c r="N20" i="1" l="1"/>
  <c r="Z22" i="1"/>
  <c r="R20" i="1" l="1"/>
  <c r="AD22" i="1"/>
  <c r="F35" i="1"/>
  <c r="J35" i="1" l="1"/>
  <c r="N35" i="1" s="1"/>
  <c r="R35" i="1" s="1"/>
  <c r="V35" i="1" s="1"/>
  <c r="Z35" i="1" s="1"/>
  <c r="AD35" i="1" s="1"/>
  <c r="AH35" i="1" s="1"/>
  <c r="AL35" i="1" s="1"/>
  <c r="AP35" i="1" s="1"/>
  <c r="AT35" i="1" s="1"/>
  <c r="AX35" i="1" s="1"/>
  <c r="BJ35" i="1"/>
  <c r="V20" i="1"/>
  <c r="AH22" i="1"/>
  <c r="Z20" i="1" l="1"/>
  <c r="AL22" i="1"/>
  <c r="AD20" i="1" l="1"/>
  <c r="AP22" i="1"/>
  <c r="F41" i="1" l="1"/>
  <c r="B46" i="1"/>
  <c r="C47" i="1" s="1"/>
  <c r="AH20" i="1"/>
  <c r="AT22" i="1"/>
  <c r="J41" i="1" l="1"/>
  <c r="H427" i="3" s="1"/>
  <c r="BJ41" i="1"/>
  <c r="F46" i="1"/>
  <c r="G47" i="1" s="1"/>
  <c r="AL20" i="1"/>
  <c r="AX22" i="1"/>
  <c r="N41" i="1" l="1"/>
  <c r="J46" i="1"/>
  <c r="K47" i="1" s="1"/>
  <c r="AP20" i="1"/>
  <c r="BJ22" i="1"/>
  <c r="R41" i="1" l="1"/>
  <c r="N46" i="1"/>
  <c r="O47" i="1" s="1"/>
  <c r="AT20" i="1"/>
  <c r="V41" i="1" l="1"/>
  <c r="R46" i="1"/>
  <c r="S47" i="1" s="1"/>
  <c r="AX20" i="1"/>
  <c r="Z41" i="1" l="1"/>
  <c r="V46" i="1"/>
  <c r="W47" i="1" s="1"/>
  <c r="BJ20" i="1"/>
  <c r="BJ46" i="1" s="1"/>
  <c r="AD41" i="1" l="1"/>
  <c r="Z46" i="1"/>
  <c r="AA47" i="1" s="1"/>
  <c r="AH41" i="1" l="1"/>
  <c r="AD46" i="1"/>
  <c r="AE47" i="1" s="1"/>
  <c r="AL41" i="1" l="1"/>
  <c r="AH46" i="1"/>
  <c r="AI47" i="1" s="1"/>
  <c r="AP41" i="1" l="1"/>
  <c r="AL46" i="1"/>
  <c r="AM47" i="1" s="1"/>
  <c r="AT41" i="1" l="1"/>
  <c r="AP46" i="1"/>
  <c r="AQ47" i="1" s="1"/>
  <c r="AX41" i="1" l="1"/>
  <c r="AX46" i="1" s="1"/>
  <c r="AT46" i="1"/>
  <c r="AU47" i="1" s="1"/>
</calcChain>
</file>

<file path=xl/sharedStrings.xml><?xml version="1.0" encoding="utf-8"?>
<sst xmlns="http://schemas.openxmlformats.org/spreadsheetml/2006/main" count="5805" uniqueCount="905">
  <si>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</si>
  <si>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</si>
  <si>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</si>
  <si>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</si>
  <si>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</si>
  <si>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</si>
  <si>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</si>
  <si>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</si>
  <si>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</si>
  <si>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</si>
  <si>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</si>
  <si>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</si>
  <si>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</si>
  <si>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</si>
  <si>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</si>
  <si>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</si>
  <si>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</si>
  <si>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</si>
  <si>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</si>
  <si>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</si>
  <si>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</si>
  <si>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</si>
  <si>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</si>
  <si>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</si>
  <si>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</si>
  <si>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</si>
  <si>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</si>
  <si>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</si>
  <si>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</si>
  <si>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</si>
  <si>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</si>
  <si>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</si>
  <si>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</si>
  <si>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</si>
  <si>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</si>
  <si>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</si>
  <si>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</si>
  <si>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</si>
  <si>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</si>
  <si>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</si>
  <si>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</si>
  <si>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</si>
  <si>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</si>
  <si>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</si>
  <si>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</si>
  <si>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</si>
  <si>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</si>
  <si>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</si>
  <si>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</si>
  <si>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</si>
  <si>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</si>
  <si>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</si>
  <si>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</si>
  <si>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</si>
  <si>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</si>
  <si>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</si>
  <si>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</si>
  <si>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</si>
  <si>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</si>
  <si>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</si>
  <si>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</si>
  <si>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</si>
  <si>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</si>
  <si>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</si>
  <si>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</si>
  <si>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</si>
  <si>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</si>
  <si>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</si>
  <si>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</si>
  <si>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</si>
  <si>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</si>
  <si>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</si>
  <si>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</si>
  <si>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</si>
  <si>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</si>
  <si>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</si>
  <si>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</si>
  <si>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</si>
  <si>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</si>
  <si>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</si>
  <si>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</si>
  <si>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</si>
  <si>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</si>
  <si>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</si>
  <si>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</si>
  <si>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</si>
  <si>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</si>
  <si>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</si>
  <si>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</si>
  <si>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</si>
  <si>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</si>
  <si>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</si>
  <si>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</si>
  <si>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</si>
  <si>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</si>
  <si>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</si>
  <si>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</si>
  <si>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</si>
  <si>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</si>
  <si>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</si>
  <si>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</si>
  <si>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</si>
  <si>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</si>
  <si>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</si>
  <si>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</si>
  <si>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</si>
  <si>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</si>
  <si>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</si>
  <si>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</si>
  <si>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</si>
  <si>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</si>
  <si>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</si>
  <si>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</si>
  <si>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</si>
  <si>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</si>
  <si>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</si>
  <si>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</si>
  <si>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</si>
  <si>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</si>
  <si>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</si>
  <si>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</si>
  <si>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</si>
  <si>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</si>
  <si>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</si>
  <si>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</si>
  <si>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</si>
  <si>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</si>
  <si>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</si>
  <si>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</si>
  <si>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</si>
  <si>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</si>
  <si>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</si>
  <si>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</si>
  <si>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</si>
  <si>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</si>
  <si>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</si>
  <si>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</si>
  <si>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</si>
  <si>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</si>
  <si>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</si>
  <si>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</si>
  <si>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</si>
  <si>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</si>
  <si>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</si>
  <si>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</si>
  <si>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</si>
  <si>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</si>
  <si>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</si>
  <si>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</si>
  <si>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</si>
  <si>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</si>
  <si>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</si>
  <si>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</si>
  <si>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</si>
  <si>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</si>
  <si>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</si>
  <si>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</si>
  <si>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</si>
  <si>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</si>
  <si>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</si>
  <si>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</si>
  <si>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</si>
  <si>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</si>
  <si>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</si>
  <si>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</si>
  <si>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</si>
  <si>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</si>
  <si>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</si>
  <si>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</si>
  <si>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</si>
  <si>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</si>
  <si>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Mensual (50€)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</si>
  <si>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</si>
  <si>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</si>
  <si>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</si>
  <si>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</si>
  <si>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</si>
  <si>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</si>
  <si>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</si>
  <si>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</si>
  <si>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</si>
  <si>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</si>
  <si>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</si>
  <si>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</si>
  <si>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</si>
  <si>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</si>
  <si>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</si>
  <si>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</si>
  <si>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</si>
  <si>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</si>
  <si>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</si>
  <si>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</si>
  <si>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</si>
  <si>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</si>
  <si>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</si>
  <si>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Mensual (160€)</t>
  </si>
  <si>
    <t>pp</t>
  </si>
  <si>
    <t>Seguro Alquiler (Hasta 270 €)</t>
  </si>
  <si>
    <t>Toyota</t>
  </si>
  <si>
    <t>lolo2001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</si>
  <si>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</si>
  <si>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</si>
  <si>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</si>
  <si>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</si>
  <si>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</si>
  <si>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</si>
  <si>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</si>
  <si>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</si>
  <si>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</si>
  <si>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</si>
  <si>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</si>
  <si>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</si>
  <si>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</si>
  <si>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</si>
  <si>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</si>
  <si>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</si>
  <si>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</si>
  <si>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</si>
  <si>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</si>
  <si>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</si>
  <si>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</si>
  <si>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</si>
  <si>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</si>
  <si>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</si>
  <si>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Kids &amp; Us</t>
  </si>
  <si>
    <t>allocations familier</t>
  </si>
  <si>
    <t>363-1450507-09-0 Custodia</t>
  </si>
  <si>
    <t>Fontanero</t>
  </si>
  <si>
    <t>01/02 Colruyt</t>
  </si>
  <si>
    <t>Fecha Ultima Cuota:</t>
  </si>
  <si>
    <t>alquiler+endesa</t>
  </si>
  <si>
    <t>Kids &amp; us</t>
  </si>
  <si>
    <t>Impuesto Basura (Hasta 79€)</t>
  </si>
  <si>
    <t>09/02 Action</t>
  </si>
  <si>
    <t>CAPAC</t>
  </si>
  <si>
    <t>M</t>
  </si>
  <si>
    <t>R</t>
  </si>
  <si>
    <t>19/02 Colruyt</t>
  </si>
  <si>
    <t>Fianza 550€</t>
  </si>
  <si>
    <t>Tarxeta</t>
  </si>
  <si>
    <t>. 20 de abril del _; Cristo</t>
  </si>
  <si>
    <t>Limit</t>
  </si>
  <si>
    <t>Clases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</si>
  <si>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</si>
  <si>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</si>
  <si>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</si>
  <si>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</si>
  <si>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</si>
  <si>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</si>
  <si>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</si>
  <si>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</si>
  <si>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</si>
  <si>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</si>
  <si>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</si>
  <si>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</si>
  <si>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</si>
  <si>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</si>
  <si>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</si>
  <si>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</si>
  <si>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</si>
  <si>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</si>
  <si>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</si>
  <si>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</si>
  <si>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</si>
  <si>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</si>
  <si>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</si>
  <si>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15/03 Colruyt</t>
  </si>
  <si>
    <t>15/03 Nesspreso</t>
  </si>
  <si>
    <t>14/03 Cresccendo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</si>
  <si>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</si>
  <si>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</si>
  <si>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</si>
  <si>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</si>
  <si>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</si>
  <si>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</si>
  <si>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</si>
  <si>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</si>
  <si>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</si>
  <si>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</si>
  <si>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</si>
  <si>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</si>
  <si>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</si>
  <si>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</si>
  <si>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</si>
  <si>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</si>
  <si>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</si>
  <si>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</si>
  <si>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</si>
  <si>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</si>
  <si>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</si>
  <si>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</si>
  <si>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</si>
  <si>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</si>
  <si>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</si>
  <si>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</si>
  <si>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</si>
  <si>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</si>
  <si>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</si>
  <si>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</si>
  <si>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</si>
  <si>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</si>
  <si>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</si>
  <si>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</si>
  <si>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</si>
  <si>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</si>
  <si>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</si>
  <si>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</si>
  <si>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</si>
  <si>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</si>
  <si>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</si>
  <si>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</si>
  <si>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</si>
  <si>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</si>
  <si>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</si>
  <si>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</si>
  <si>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</si>
  <si>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</si>
  <si>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</si>
  <si>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</si>
  <si>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</si>
  <si>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</si>
  <si>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</si>
  <si>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</si>
  <si>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</si>
  <si>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</si>
  <si>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</si>
  <si>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</si>
  <si>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</si>
  <si>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</si>
  <si>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</si>
  <si>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</si>
  <si>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</si>
  <si>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</si>
  <si>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</si>
  <si>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</si>
  <si>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</si>
  <si>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</si>
  <si>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</si>
  <si>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</si>
  <si>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</si>
  <si>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</si>
  <si>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</si>
  <si>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</si>
  <si>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</si>
  <si>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</si>
  <si>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</si>
  <si>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</si>
  <si>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</si>
  <si>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</si>
  <si>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</si>
  <si>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</si>
  <si>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</si>
  <si>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</si>
  <si>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</si>
  <si>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</si>
  <si>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</si>
  <si>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</si>
  <si>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</si>
  <si>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</si>
  <si>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</si>
  <si>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</si>
  <si>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</si>
  <si>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</si>
  <si>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</si>
  <si>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</si>
  <si>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</si>
  <si>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</si>
  <si>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</si>
  <si>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</si>
  <si>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</si>
  <si>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</si>
  <si>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</si>
  <si>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</si>
  <si>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</si>
  <si>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</si>
  <si>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</si>
  <si>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</si>
  <si>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</si>
  <si>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</si>
  <si>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</si>
  <si>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</si>
  <si>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</si>
  <si>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</si>
  <si>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</si>
  <si>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</si>
  <si>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</si>
  <si>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</si>
  <si>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</si>
  <si>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</si>
  <si>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</si>
  <si>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</si>
  <si>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</si>
  <si>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</si>
  <si>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</si>
  <si>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</si>
  <si>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</si>
  <si>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</si>
  <si>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</si>
  <si>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</si>
  <si>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</si>
  <si>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</si>
  <si>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</si>
  <si>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</si>
  <si>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</si>
  <si>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</si>
  <si>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</si>
  <si>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</si>
  <si>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</si>
  <si>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</si>
  <si>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</si>
  <si>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</si>
  <si>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</si>
  <si>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</si>
  <si>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</si>
  <si>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</si>
  <si>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</si>
  <si>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</si>
  <si>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</si>
  <si>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</si>
  <si>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</si>
  <si>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</si>
  <si>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</si>
  <si>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</si>
  <si>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</si>
  <si>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</si>
  <si>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71.28-76.50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</si>
  <si>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</si>
  <si>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</si>
  <si>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</si>
  <si>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</si>
  <si>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</si>
  <si>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</si>
  <si>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</si>
  <si>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</si>
  <si>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</si>
  <si>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</si>
  <si>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</si>
  <si>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</si>
  <si>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</si>
  <si>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</si>
  <si>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</si>
  <si>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</si>
  <si>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</si>
  <si>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</si>
  <si>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</si>
  <si>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</si>
  <si>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</si>
  <si>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</si>
  <si>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</si>
  <si>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</si>
  <si>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</si>
  <si>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</si>
  <si>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</si>
  <si>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</si>
  <si>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</si>
  <si>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</si>
  <si>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</si>
  <si>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</si>
  <si>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</si>
  <si>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</si>
  <si>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</si>
  <si>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</si>
  <si>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</si>
  <si>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</si>
  <si>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</si>
  <si>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</si>
  <si>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</si>
  <si>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</si>
  <si>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</si>
  <si>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</si>
  <si>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</si>
  <si>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</si>
  <si>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</si>
  <si>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</si>
  <si>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</si>
  <si>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</si>
  <si>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</si>
  <si>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</si>
  <si>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</si>
  <si>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</si>
  <si>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</si>
  <si>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</si>
  <si>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</si>
  <si>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</si>
  <si>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</si>
  <si>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</si>
  <si>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</si>
  <si>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</si>
  <si>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</si>
  <si>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</si>
  <si>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</si>
  <si>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</si>
  <si>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</si>
  <si>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</si>
  <si>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</si>
  <si>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</si>
  <si>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</si>
  <si>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</si>
  <si>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</si>
  <si>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</si>
  <si>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</si>
  <si>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</si>
  <si>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</si>
  <si>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</si>
  <si>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</si>
  <si>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</si>
  <si>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</si>
  <si>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</si>
  <si>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</si>
  <si>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</si>
  <si>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</si>
  <si>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</si>
  <si>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</si>
  <si>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</si>
  <si>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</si>
  <si>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</si>
  <si>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</si>
  <si>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</si>
  <si>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</si>
  <si>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</si>
  <si>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</si>
  <si>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</si>
  <si>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</si>
  <si>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</si>
  <si>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</si>
  <si>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</si>
  <si>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</si>
  <si>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</si>
  <si>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</si>
  <si>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</si>
  <si>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</si>
  <si>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</si>
  <si>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</si>
  <si>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</si>
  <si>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</si>
  <si>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</si>
  <si>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</si>
  <si>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</si>
  <si>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</si>
  <si>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</si>
  <si>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</si>
  <si>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</si>
  <si>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</si>
  <si>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</si>
  <si>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</si>
  <si>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</si>
  <si>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</si>
  <si>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</si>
  <si>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</si>
  <si>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</si>
  <si>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</si>
  <si>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</si>
  <si>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</si>
  <si>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</si>
  <si>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</si>
  <si>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</si>
  <si>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</si>
  <si>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</si>
  <si>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</si>
  <si>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</si>
  <si>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</si>
  <si>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</si>
  <si>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</si>
  <si>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</si>
  <si>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</si>
  <si>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</si>
  <si>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</si>
  <si>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</si>
  <si>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</si>
  <si>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</si>
  <si>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</si>
  <si>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</si>
  <si>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</si>
  <si>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</si>
  <si>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</si>
  <si>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</si>
  <si>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</si>
  <si>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</si>
  <si>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</si>
  <si>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</si>
  <si>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</si>
  <si>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</si>
  <si>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</si>
  <si>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</si>
  <si>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</si>
  <si>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</si>
  <si>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</si>
  <si>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</si>
  <si>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</si>
  <si>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</si>
  <si>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</si>
  <si>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</si>
  <si>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</si>
  <si>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</si>
  <si>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</si>
  <si>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</si>
  <si>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</si>
  <si>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</si>
  <si>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</si>
  <si>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</si>
  <si>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</si>
  <si>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</si>
  <si>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</si>
  <si>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</si>
  <si>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</si>
  <si>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</si>
  <si>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</si>
  <si>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</si>
  <si>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</si>
  <si>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</si>
  <si>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</si>
  <si>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</si>
  <si>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</si>
  <si>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</si>
  <si>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</si>
  <si>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</si>
  <si>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</si>
  <si>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</si>
  <si>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</si>
  <si>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</si>
  <si>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</si>
  <si>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</si>
  <si>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</si>
  <si>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</si>
  <si>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</si>
  <si>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</si>
  <si>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</si>
  <si>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</si>
  <si>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</si>
  <si>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</si>
  <si>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</si>
  <si>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</si>
  <si>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</si>
  <si>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</si>
  <si>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</si>
  <si>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</si>
  <si>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</si>
  <si>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</si>
  <si>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</si>
  <si>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</si>
  <si>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</si>
  <si>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</si>
  <si>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</si>
  <si>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</si>
  <si>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</si>
  <si>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</si>
  <si>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</si>
  <si>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</si>
  <si>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</si>
  <si>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</si>
  <si>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</si>
  <si>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</si>
  <si>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</si>
  <si>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</si>
  <si>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</si>
  <si>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</si>
  <si>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</si>
  <si>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</si>
  <si>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</si>
  <si>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</si>
  <si>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</si>
  <si>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</si>
  <si>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</si>
  <si>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</si>
  <si>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</si>
  <si>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</si>
  <si>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</si>
  <si>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</si>
  <si>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</si>
  <si>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</si>
  <si>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</si>
  <si>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</si>
  <si>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</si>
  <si>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</si>
  <si>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</si>
  <si>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</si>
  <si>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</si>
  <si>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</si>
  <si>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</si>
  <si>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</si>
  <si>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</si>
  <si>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</si>
  <si>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</si>
  <si>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</si>
  <si>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</si>
  <si>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</si>
  <si>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</si>
  <si>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</si>
  <si>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</si>
  <si>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</si>
  <si>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</si>
  <si>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</si>
  <si>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</si>
  <si>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</si>
  <si>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</si>
  <si>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</si>
  <si>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</si>
  <si>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</si>
  <si>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</si>
  <si>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</si>
  <si>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</si>
  <si>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</si>
  <si>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</si>
  <si>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</si>
  <si>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</si>
  <si>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</si>
  <si>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</si>
  <si>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</si>
  <si>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</si>
  <si>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</si>
  <si>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</si>
  <si>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</si>
  <si>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</si>
  <si>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</si>
  <si>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</si>
  <si>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</si>
  <si>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</si>
  <si>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</si>
  <si>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</si>
  <si>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</si>
  <si>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</si>
  <si>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</si>
  <si>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</si>
  <si>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</si>
  <si>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</si>
  <si>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</si>
  <si>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</si>
  <si>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</si>
  <si>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</si>
  <si>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</si>
  <si>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</si>
  <si>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</si>
  <si>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</si>
  <si>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</si>
  <si>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</si>
  <si>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</si>
  <si>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</si>
  <si>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</si>
  <si>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</si>
  <si>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</si>
  <si>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</si>
  <si>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</si>
  <si>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</si>
  <si>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</si>
  <si>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</si>
  <si>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</si>
  <si>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</si>
  <si>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</si>
  <si>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</si>
  <si>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</si>
  <si>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</si>
  <si>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</si>
  <si>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</si>
  <si>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</si>
  <si>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</si>
  <si>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</si>
  <si>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</si>
  <si>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</si>
  <si>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</si>
  <si>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</si>
  <si>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</si>
  <si>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</si>
  <si>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</si>
  <si>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</si>
  <si>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</si>
  <si>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</si>
  <si>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</si>
  <si>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</si>
  <si>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</si>
  <si>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</si>
  <si>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</si>
  <si>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</si>
  <si>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</si>
  <si>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</si>
  <si>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</si>
  <si>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</si>
  <si>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</si>
  <si>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</si>
  <si>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</si>
  <si>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</si>
  <si>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</si>
  <si>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</si>
  <si>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</si>
  <si>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</si>
  <si>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</si>
  <si>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</si>
  <si>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</si>
  <si>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</si>
  <si>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</si>
  <si>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</si>
  <si>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</si>
  <si>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</si>
  <si>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</si>
  <si>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</si>
  <si>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</si>
  <si>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</si>
  <si>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</si>
  <si>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</si>
  <si>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</si>
  <si>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</si>
  <si>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</si>
  <si>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</si>
  <si>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</si>
  <si>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</si>
  <si>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8. PER por debajo de 10.</t>
  </si>
  <si>
    <t>9. Dividendo por debajo del 2.5%</t>
  </si>
  <si>
    <t>Años</t>
  </si>
  <si>
    <t>Meses</t>
  </si>
  <si>
    <t>Mensualidad</t>
  </si>
  <si>
    <t xml:space="preserve">Precio </t>
  </si>
  <si>
    <t>11/12 Tom&amp;Co</t>
  </si>
  <si>
    <t>(+)Interes</t>
  </si>
  <si>
    <t>2019 Final</t>
  </si>
  <si>
    <t>Coches</t>
  </si>
  <si>
    <t>Entrada</t>
  </si>
  <si>
    <t>Precio total</t>
  </si>
  <si>
    <t>02/01 ING Comision</t>
  </si>
  <si>
    <t>02/01 Intereses</t>
  </si>
  <si>
    <t>ING Bloqueada</t>
  </si>
  <si>
    <t>ING Deposito</t>
  </si>
  <si>
    <t>02/01 ING Invest</t>
  </si>
  <si>
    <t>Mensual (200€)</t>
  </si>
  <si>
    <t>Toyota Prestamo</t>
  </si>
  <si>
    <t>Toyota  Seguro</t>
  </si>
  <si>
    <t>Toyota Prestamo (ultima 9.486,92€)</t>
  </si>
  <si>
    <t>KIA Prestamo</t>
  </si>
  <si>
    <t>KIA Seguro</t>
  </si>
  <si>
    <t>Impuestos Circulacion</t>
  </si>
  <si>
    <t>Movil HW</t>
  </si>
  <si>
    <t>Mensual (40€)</t>
  </si>
  <si>
    <t>Gb/Usados</t>
  </si>
  <si>
    <t>Gb/Disponibles</t>
  </si>
  <si>
    <t>dia</t>
  </si>
  <si>
    <t>Dias/Mes</t>
  </si>
  <si>
    <t>Mantenimiento Cuenta</t>
  </si>
  <si>
    <t>TOYOTA</t>
  </si>
  <si>
    <t>KIA</t>
  </si>
  <si>
    <t>Papa, reyes y santos</t>
  </si>
  <si>
    <t>dkv</t>
  </si>
  <si>
    <t>Deltoya_23</t>
  </si>
  <si>
    <t>rociopalominogonzalez</t>
  </si>
  <si>
    <t>03/01 DKV</t>
  </si>
  <si>
    <t>Brita</t>
  </si>
  <si>
    <t>03/01 Dominos</t>
  </si>
  <si>
    <t>04/01 Celio</t>
  </si>
  <si>
    <t>04/01 La brioche</t>
  </si>
  <si>
    <t>04/01 Aldi</t>
  </si>
  <si>
    <t>Regalos Papa</t>
  </si>
  <si>
    <t>Queda:</t>
  </si>
  <si>
    <t>06/01 Chirec</t>
  </si>
  <si>
    <t>04/01 Rebajas</t>
  </si>
  <si>
    <t>04/01 Zara</t>
  </si>
  <si>
    <t>07/01 Parking</t>
  </si>
  <si>
    <t>07/01 PayPal</t>
  </si>
  <si>
    <t>Devolucion PayPal</t>
  </si>
  <si>
    <t>08/01 Gine</t>
  </si>
  <si>
    <t>09/01 Mutua</t>
  </si>
  <si>
    <t>08/01 Delhaize</t>
  </si>
  <si>
    <t>DKV</t>
  </si>
  <si>
    <t>08/01 Shell</t>
  </si>
  <si>
    <t>10/01 Colruyt</t>
  </si>
  <si>
    <t>11/01 Delhaize</t>
  </si>
  <si>
    <t>12/01 Delhaize Proxy</t>
  </si>
  <si>
    <t>PC (hasta 301.97€)</t>
  </si>
  <si>
    <t>Fijo Mensual (140€)</t>
  </si>
  <si>
    <t>14/01 PayPal</t>
  </si>
  <si>
    <t>15/01 PayPal</t>
  </si>
  <si>
    <t>15/01 Ryanair para Mayo</t>
  </si>
  <si>
    <t>15/01 Tom&amp;Co</t>
  </si>
  <si>
    <t>IberCaja</t>
  </si>
  <si>
    <t>Ibercaja Intereses</t>
  </si>
  <si>
    <t>16/01 DKV</t>
  </si>
  <si>
    <t>Amortizar Hipoteca</t>
  </si>
  <si>
    <t>Mover dinero a depositos</t>
  </si>
  <si>
    <t>17/01 Mister Minit Pila mando</t>
  </si>
  <si>
    <t>17/01 Hoffman</t>
  </si>
  <si>
    <t>17/01 Sequoia</t>
  </si>
  <si>
    <t>20/01 Delhaize</t>
  </si>
  <si>
    <t>19/01 Indio</t>
  </si>
  <si>
    <t>11/01 Mifa</t>
  </si>
  <si>
    <t>10/01 Pain Q</t>
  </si>
  <si>
    <t>17/01 Shell</t>
  </si>
  <si>
    <t>17/01 Carrefour</t>
  </si>
  <si>
    <t>20/01 Colegio</t>
  </si>
  <si>
    <t>20/01 Action</t>
  </si>
  <si>
    <t>21/01 Medi-Market</t>
  </si>
  <si>
    <t>21/01 BugerKing</t>
  </si>
  <si>
    <t>21/01 Matricula KIA</t>
  </si>
  <si>
    <t>deltoya29</t>
  </si>
  <si>
    <t>Regalo Papa Silla Coche</t>
  </si>
  <si>
    <t>22/01 Shell</t>
  </si>
  <si>
    <t>23/01 Globo</t>
  </si>
  <si>
    <t>24/01 Aduana</t>
  </si>
  <si>
    <t>24/01 Club 117</t>
  </si>
  <si>
    <t>24/01 Di</t>
  </si>
  <si>
    <t>24/01 Silla Bamninou</t>
  </si>
  <si>
    <t>24/01 Zara</t>
  </si>
  <si>
    <t>DKV Veronique</t>
  </si>
  <si>
    <t>27/01 Carrfour 17.07 €</t>
  </si>
  <si>
    <t>27/01 Carrefour 10€</t>
  </si>
  <si>
    <t>27/01 Carrefour</t>
  </si>
  <si>
    <t>28/01 Ali Express</t>
  </si>
  <si>
    <t>29/01 Sequoia</t>
  </si>
  <si>
    <t>29/01 Paking</t>
  </si>
  <si>
    <t>29/01 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</si>
</sst>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#,##0\ &quot;€&quot;;[Red]\-#,##0\ &quot;€&quot;"/>
    <numFmt numFmtId="8" formatCode="#,##0.00\ &quot;€&quot;;[Red]\-#,##0.00\ &quot;€&quot;"/>
    <numFmt numFmtId="43" formatCode="_-* #,##0.00_-;\-* #,##0.00_-;_-* &quot;-&quot;??_-;_-@_-"/>
    <numFmt numFmtId="164" formatCode="&quot;€&quot;#,##0.00;[Red]\-&quot;€&quot;#,##0.00"/>
    <numFmt numFmtId="165" formatCode="&quot;€&quot;#,##0.00"/>
    <numFmt numFmtId="166" formatCode="#,##0.00\ &quot;€&quot;"/>
    <numFmt numFmtId="167" formatCode="#,##0.0;[Red]#,##0.0"/>
    <numFmt numFmtId="168" formatCode="0.00000"/>
    <numFmt numFmtId="169" formatCode="0.000"/>
    <numFmt numFmtId="170" formatCode="#,##0.00&quot; €&quot;"/>
    <numFmt numFmtId="171" formatCode="#,##0.00&quot; €&quot;;[Red]\-#,##0.00&quot; €&quot;"/>
    <numFmt numFmtId="172" formatCode="mmmm\-yy;@"/>
    <numFmt numFmtId="173" formatCode="#,##0.00\ [$€-80C];[Red]\-#,##0.00\ [$€-80C]"/>
    <numFmt numFmtId="174" formatCode="0.000%"/>
    <numFmt numFmtId="175" formatCode="#,##0.00&quot; €&quot;;\-#,##0.00&quot; €&quot;"/>
    <numFmt numFmtId="176" formatCode="dd/mm/yyyy;@"/>
    <numFmt numFmtId="177" formatCode="0_ ;[Red]\-0\ "/>
    <numFmt numFmtId="178" formatCode="0.00_ ;[Red]\-0.00\ "/>
  </numFmts>
  <fonts count="27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166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6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6" fontId="1" fillId="0" borderId="0" xfId="0" applyNumberFormat="1" applyFont="1"/>
    <xf numFmtId="164" fontId="1" fillId="0" borderId="0" xfId="0" applyNumberFormat="1" applyFont="1"/>
    <xf numFmtId="167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8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8" fontId="15" fillId="0" borderId="0" xfId="0" applyNumberFormat="1" applyFont="1"/>
    <xf numFmtId="1" fontId="0" fillId="0" borderId="0" xfId="0" applyNumberFormat="1"/>
    <xf numFmtId="0" fontId="14" fillId="0" borderId="0" xfId="0" applyFont="1"/>
    <xf numFmtId="169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68" fontId="0" fillId="0" borderId="0" xfId="0" applyNumberFormat="1" applyAlignment="1">
      <alignment horizontal="center"/>
    </xf>
    <xf numFmtId="170" fontId="0" fillId="0" borderId="66" xfId="0" applyNumberFormat="1" applyBorder="1" applyAlignment="1">
      <alignment horizontal="right"/>
    </xf>
    <xf numFmtId="170" fontId="0" fillId="7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right"/>
    </xf>
    <xf numFmtId="170" fontId="0" fillId="8" borderId="0" xfId="0" applyNumberFormat="1" applyFill="1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0" fontId="0" fillId="0" borderId="73" xfId="0" applyNumberFormat="1" applyBorder="1"/>
    <xf numFmtId="40" fontId="0" fillId="0" borderId="73" xfId="0" applyNumberFormat="1" applyBorder="1"/>
    <xf numFmtId="173" fontId="0" fillId="0" borderId="0" xfId="0" applyNumberFormat="1"/>
    <xf numFmtId="172" fontId="0" fillId="0" borderId="74" xfId="0" applyNumberFormat="1" applyBorder="1" applyAlignment="1">
      <alignment horizontal="center"/>
    </xf>
    <xf numFmtId="170" fontId="0" fillId="0" borderId="75" xfId="0" applyNumberFormat="1" applyBorder="1"/>
    <xf numFmtId="174" fontId="0" fillId="0" borderId="66" xfId="0" applyNumberFormat="1" applyBorder="1"/>
    <xf numFmtId="40" fontId="0" fillId="0" borderId="76" xfId="0" applyNumberFormat="1" applyBorder="1"/>
    <xf numFmtId="170" fontId="0" fillId="0" borderId="76" xfId="0" applyNumberFormat="1" applyBorder="1"/>
    <xf numFmtId="175" fontId="0" fillId="0" borderId="76" xfId="0" applyNumberFormat="1" applyBorder="1"/>
    <xf numFmtId="170" fontId="0" fillId="0" borderId="77" xfId="0" applyNumberFormat="1" applyBorder="1"/>
    <xf numFmtId="170" fontId="15" fillId="0" borderId="76" xfId="0" applyNumberFormat="1" applyFont="1" applyBorder="1"/>
    <xf numFmtId="170" fontId="15" fillId="0" borderId="77" xfId="0" applyNumberFormat="1" applyFont="1" applyBorder="1"/>
    <xf numFmtId="172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4" fontId="0" fillId="0" borderId="79" xfId="0" applyNumberFormat="1" applyBorder="1"/>
    <xf numFmtId="170" fontId="0" fillId="0" borderId="80" xfId="0" applyNumberFormat="1" applyBorder="1"/>
    <xf numFmtId="40" fontId="0" fillId="0" borderId="81" xfId="0" applyNumberFormat="1" applyBorder="1"/>
    <xf numFmtId="170" fontId="0" fillId="0" borderId="81" xfId="0" applyNumberFormat="1" applyBorder="1"/>
    <xf numFmtId="174" fontId="0" fillId="0" borderId="0" xfId="0" applyNumberFormat="1"/>
    <xf numFmtId="170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0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5" fontId="0" fillId="0" borderId="82" xfId="0" applyNumberFormat="1" applyBorder="1"/>
    <xf numFmtId="165" fontId="0" fillId="0" borderId="84" xfId="0" applyNumberFormat="1" applyBorder="1"/>
    <xf numFmtId="165" fontId="18" fillId="0" borderId="82" xfId="0" applyNumberFormat="1" applyFont="1" applyBorder="1"/>
    <xf numFmtId="43" fontId="0" fillId="0" borderId="82" xfId="0" applyNumberFormat="1" applyFont="1" applyBorder="1"/>
    <xf numFmtId="165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6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6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6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6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6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6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6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6" fontId="1" fillId="5" borderId="20" xfId="0" applyNumberFormat="1" applyFont="1" applyFill="1" applyBorder="1"/>
    <xf numFmtId="166" fontId="1" fillId="9" borderId="21" xfId="0" applyNumberFormat="1" applyFont="1" applyFill="1" applyBorder="1"/>
    <xf numFmtId="166" fontId="1" fillId="5" borderId="21" xfId="0" applyNumberFormat="1" applyFont="1" applyFill="1" applyBorder="1"/>
    <xf numFmtId="166" fontId="1" fillId="9" borderId="21" xfId="0" applyNumberFormat="1" applyFont="1" applyFill="1" applyBorder="1" applyAlignment="1">
      <alignment horizontal="right"/>
    </xf>
    <xf numFmtId="166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6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5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6" fontId="0" fillId="0" borderId="131" xfId="0" applyNumberFormat="1" applyFill="1" applyBorder="1" applyAlignment="1">
      <alignment horizontal="right"/>
    </xf>
    <xf numFmtId="177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6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7" fontId="0" fillId="17" borderId="0" xfId="0" applyNumberFormat="1" applyFill="1" applyBorder="1"/>
    <xf numFmtId="8" fontId="0" fillId="17" borderId="96" xfId="0" applyNumberFormat="1" applyFill="1" applyBorder="1"/>
    <xf numFmtId="176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6" fontId="0" fillId="0" borderId="129" xfId="0" applyNumberFormat="1" applyFill="1" applyBorder="1" applyAlignment="1">
      <alignment horizontal="right"/>
    </xf>
    <xf numFmtId="177" fontId="0" fillId="17" borderId="128" xfId="0" applyNumberFormat="1" applyFill="1" applyBorder="1"/>
    <xf numFmtId="8" fontId="0" fillId="17" borderId="130" xfId="0" applyNumberFormat="1" applyFill="1" applyBorder="1"/>
    <xf numFmtId="176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6" fontId="0" fillId="0" borderId="0" xfId="0" applyNumberFormat="1" applyAlignment="1">
      <alignment horizontal="right"/>
    </xf>
    <xf numFmtId="8" fontId="0" fillId="18" borderId="0" xfId="0" applyNumberFormat="1" applyFill="1"/>
    <xf numFmtId="177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7" fontId="0" fillId="0" borderId="134" xfId="0" applyNumberFormat="1" applyBorder="1"/>
    <xf numFmtId="0" fontId="0" fillId="0" borderId="136" xfId="0" applyBorder="1"/>
    <xf numFmtId="176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178" fontId="0" fillId="0" borderId="0" xfId="0" applyNumberFormat="1"/>
    <xf numFmtId="0" fontId="26" fillId="0" borderId="0" xfId="0" applyFont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8" zoomScaleNormal="100" workbookViewId="0">
      <pane xSplit="1" topLeftCell="B1" activePane="topRight" state="frozen"/>
      <selection pane="topRight" activeCell="C34" sqref="C34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83" t="s">
        <v>0</v>
      </c>
      <c r="D4" s="384"/>
      <c r="E4" s="384"/>
      <c r="F4" s="385"/>
      <c r="G4" s="383" t="s">
        <v>1</v>
      </c>
      <c r="H4" s="384"/>
      <c r="I4" s="384"/>
      <c r="J4" s="385"/>
      <c r="K4" s="383" t="s">
        <v>2</v>
      </c>
      <c r="L4" s="384"/>
      <c r="M4" s="384"/>
      <c r="N4" s="385"/>
      <c r="O4" s="383" t="s">
        <v>3</v>
      </c>
      <c r="P4" s="384"/>
      <c r="Q4" s="384"/>
      <c r="R4" s="385"/>
      <c r="S4" s="383" t="s">
        <v>69</v>
      </c>
      <c r="T4" s="384"/>
      <c r="U4" s="384"/>
      <c r="V4" s="385"/>
      <c r="W4" s="383" t="s">
        <v>68</v>
      </c>
      <c r="X4" s="384"/>
      <c r="Y4" s="384"/>
      <c r="Z4" s="385"/>
      <c r="AA4" s="383" t="s">
        <v>70</v>
      </c>
      <c r="AB4" s="384"/>
      <c r="AC4" s="384"/>
      <c r="AD4" s="385"/>
      <c r="AE4" s="383" t="s">
        <v>71</v>
      </c>
      <c r="AF4" s="384"/>
      <c r="AG4" s="384"/>
      <c r="AH4" s="385"/>
      <c r="AI4" s="383" t="s">
        <v>73</v>
      </c>
      <c r="AJ4" s="384"/>
      <c r="AK4" s="384"/>
      <c r="AL4" s="385"/>
      <c r="AM4" s="383" t="s">
        <v>75</v>
      </c>
      <c r="AN4" s="384"/>
      <c r="AO4" s="384"/>
      <c r="AP4" s="385"/>
      <c r="AQ4" s="383" t="s">
        <v>77</v>
      </c>
      <c r="AR4" s="384"/>
      <c r="AS4" s="384"/>
      <c r="AT4" s="385"/>
      <c r="AU4" s="383" t="s">
        <v>82</v>
      </c>
      <c r="AV4" s="384"/>
      <c r="AW4" s="384"/>
      <c r="AX4" s="385"/>
      <c r="AZ4" s="1"/>
      <c r="BA4" s="1"/>
      <c r="BB4" s="1"/>
      <c r="BC4" s="1"/>
    </row>
    <row r="5" spans="1:55" ht="16.5" thickBot="1">
      <c r="A5" s="204" t="s">
        <v>5</v>
      </c>
      <c r="B5" s="228">
        <v>30685.88</v>
      </c>
      <c r="C5" s="392">
        <f>'01'!K19</f>
        <v>33579</v>
      </c>
      <c r="D5" s="390"/>
      <c r="E5" s="390"/>
      <c r="F5" s="391"/>
      <c r="G5" s="392">
        <f>'02'!K19</f>
        <v>34721.86</v>
      </c>
      <c r="H5" s="390"/>
      <c r="I5" s="390"/>
      <c r="J5" s="391"/>
      <c r="K5" s="389">
        <f>'03'!K19</f>
        <v>25574.760000000002</v>
      </c>
      <c r="L5" s="390"/>
      <c r="M5" s="390"/>
      <c r="N5" s="391"/>
      <c r="O5" s="389">
        <f>'04'!K19</f>
        <v>26443.759999999998</v>
      </c>
      <c r="P5" s="390"/>
      <c r="Q5" s="390"/>
      <c r="R5" s="391"/>
      <c r="S5" s="389">
        <f>'05'!K19</f>
        <v>27163.090000000004</v>
      </c>
      <c r="T5" s="390"/>
      <c r="U5" s="390"/>
      <c r="V5" s="391"/>
      <c r="W5" s="389">
        <f>'06'!K19</f>
        <v>29014.079999999998</v>
      </c>
      <c r="X5" s="390"/>
      <c r="Y5" s="390"/>
      <c r="Z5" s="391"/>
      <c r="AA5" s="389">
        <f>'07'!K19</f>
        <v>29282.959999999999</v>
      </c>
      <c r="AB5" s="390"/>
      <c r="AC5" s="390"/>
      <c r="AD5" s="391"/>
      <c r="AE5" s="389">
        <f>'08'!K19</f>
        <v>29166.850000000002</v>
      </c>
      <c r="AF5" s="390"/>
      <c r="AG5" s="390"/>
      <c r="AH5" s="391"/>
      <c r="AI5" s="389">
        <f>'09'!K19</f>
        <v>29258.260000000002</v>
      </c>
      <c r="AJ5" s="390"/>
      <c r="AK5" s="390"/>
      <c r="AL5" s="391"/>
      <c r="AM5" s="389">
        <f>'10'!K19</f>
        <v>30089.47</v>
      </c>
      <c r="AN5" s="390"/>
      <c r="AO5" s="390"/>
      <c r="AP5" s="391"/>
      <c r="AQ5" s="389">
        <f>'11'!K19</f>
        <v>30103.380000000005</v>
      </c>
      <c r="AR5" s="390"/>
      <c r="AS5" s="390"/>
      <c r="AT5" s="391"/>
      <c r="AU5" s="389">
        <f>'12'!K19</f>
        <v>30103.380000000005</v>
      </c>
      <c r="AV5" s="390"/>
      <c r="AW5" s="390"/>
      <c r="AX5" s="391"/>
      <c r="AZ5" s="6"/>
      <c r="BA5" s="7"/>
      <c r="BB5" s="1"/>
      <c r="BC5" s="1"/>
    </row>
    <row r="6" spans="1:55" ht="17.25" thickTop="1" thickBot="1">
      <c r="A6" s="205"/>
      <c r="B6" s="8"/>
      <c r="C6" s="343"/>
      <c r="D6" s="343"/>
      <c r="E6" s="343"/>
      <c r="F6" s="343"/>
      <c r="G6" s="343"/>
      <c r="H6" s="343"/>
      <c r="I6" s="343"/>
      <c r="J6" s="343"/>
      <c r="K6" s="343"/>
      <c r="L6" s="343"/>
      <c r="M6" s="343"/>
      <c r="N6" s="343"/>
      <c r="O6" s="343"/>
      <c r="P6" s="343"/>
      <c r="Q6" s="343"/>
      <c r="R6" s="343"/>
      <c r="S6" s="343"/>
      <c r="T6" s="343"/>
      <c r="U6" s="343"/>
      <c r="V6" s="343"/>
      <c r="W6" s="343"/>
      <c r="X6" s="343"/>
      <c r="Y6" s="343"/>
      <c r="Z6" s="343"/>
      <c r="AA6" s="343"/>
      <c r="AB6" s="343"/>
      <c r="AC6" s="343"/>
      <c r="AD6" s="343"/>
      <c r="AE6" s="343"/>
      <c r="AF6" s="343"/>
      <c r="AG6" s="343"/>
      <c r="AH6" s="343"/>
      <c r="AI6" s="343"/>
      <c r="AJ6" s="343"/>
      <c r="AK6" s="343"/>
      <c r="AL6" s="343"/>
      <c r="AM6" s="343"/>
      <c r="AN6" s="343"/>
      <c r="AO6" s="343"/>
      <c r="AP6" s="343"/>
      <c r="AQ6" s="343"/>
      <c r="AR6" s="343"/>
      <c r="AS6" s="343"/>
      <c r="AT6" s="343"/>
      <c r="AU6" s="343"/>
      <c r="AV6" s="343"/>
      <c r="AW6" s="343"/>
      <c r="AX6" s="343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86" t="s">
        <v>218</v>
      </c>
      <c r="D7" s="387"/>
      <c r="E7" s="387"/>
      <c r="F7" s="388"/>
      <c r="G7" s="386" t="s">
        <v>218</v>
      </c>
      <c r="H7" s="387"/>
      <c r="I7" s="387"/>
      <c r="J7" s="388"/>
      <c r="K7" s="386" t="s">
        <v>218</v>
      </c>
      <c r="L7" s="387"/>
      <c r="M7" s="387"/>
      <c r="N7" s="388"/>
      <c r="O7" s="386" t="s">
        <v>218</v>
      </c>
      <c r="P7" s="387"/>
      <c r="Q7" s="387"/>
      <c r="R7" s="388"/>
      <c r="S7" s="386" t="s">
        <v>218</v>
      </c>
      <c r="T7" s="387"/>
      <c r="U7" s="387"/>
      <c r="V7" s="388"/>
      <c r="W7" s="386" t="s">
        <v>218</v>
      </c>
      <c r="X7" s="387"/>
      <c r="Y7" s="387"/>
      <c r="Z7" s="388"/>
      <c r="AA7" s="386" t="s">
        <v>218</v>
      </c>
      <c r="AB7" s="387"/>
      <c r="AC7" s="387"/>
      <c r="AD7" s="388"/>
      <c r="AE7" s="386" t="s">
        <v>218</v>
      </c>
      <c r="AF7" s="387"/>
      <c r="AG7" s="387"/>
      <c r="AH7" s="388"/>
      <c r="AI7" s="386" t="s">
        <v>218</v>
      </c>
      <c r="AJ7" s="387"/>
      <c r="AK7" s="387"/>
      <c r="AL7" s="388"/>
      <c r="AM7" s="386" t="s">
        <v>218</v>
      </c>
      <c r="AN7" s="387"/>
      <c r="AO7" s="387"/>
      <c r="AP7" s="388"/>
      <c r="AQ7" s="386" t="s">
        <v>218</v>
      </c>
      <c r="AR7" s="387"/>
      <c r="AS7" s="387"/>
      <c r="AT7" s="388"/>
      <c r="AU7" s="386" t="s">
        <v>218</v>
      </c>
      <c r="AV7" s="387"/>
      <c r="AW7" s="387"/>
      <c r="AX7" s="388"/>
      <c r="AZ7" s="9" t="s">
        <v>220</v>
      </c>
      <c r="BA7" s="13" t="s">
        <v>183</v>
      </c>
      <c r="BB7" s="1"/>
      <c r="BC7" s="1"/>
    </row>
    <row r="8" spans="1:55" ht="15.75">
      <c r="A8" s="206" t="s">
        <v>201</v>
      </c>
      <c r="B8" s="192">
        <v>35000.47</v>
      </c>
      <c r="C8" s="393">
        <f>SUM('01'!L25:'01'!L29)</f>
        <v>2583.61</v>
      </c>
      <c r="D8" s="394"/>
      <c r="E8" s="394"/>
      <c r="F8" s="395"/>
      <c r="G8" s="393">
        <f>SUM('02'!L25:'02'!L29)</f>
        <v>0</v>
      </c>
      <c r="H8" s="394"/>
      <c r="I8" s="394"/>
      <c r="J8" s="395"/>
      <c r="K8" s="393">
        <f>SUM('03'!L25:'03'!L29)</f>
        <v>2526.87</v>
      </c>
      <c r="L8" s="394"/>
      <c r="M8" s="394"/>
      <c r="N8" s="395"/>
      <c r="O8" s="393">
        <f>SUM('04'!L25:'04'!L29)</f>
        <v>2570.56</v>
      </c>
      <c r="P8" s="394"/>
      <c r="Q8" s="394"/>
      <c r="R8" s="395"/>
      <c r="S8" s="393">
        <f>SUM('05'!L25:'05'!L29)</f>
        <v>4448.8500000000004</v>
      </c>
      <c r="T8" s="394"/>
      <c r="U8" s="394"/>
      <c r="V8" s="395"/>
      <c r="W8" s="393">
        <f>SUM('06'!L25:'06'!L29)</f>
        <v>2574.61</v>
      </c>
      <c r="X8" s="394"/>
      <c r="Y8" s="394"/>
      <c r="Z8" s="395"/>
      <c r="AA8" s="393">
        <f>SUM('07'!L25:'07'!L29)</f>
        <v>2568.54</v>
      </c>
      <c r="AB8" s="394"/>
      <c r="AC8" s="394"/>
      <c r="AD8" s="395"/>
      <c r="AE8" s="393">
        <f>SUM('08'!L25:'08'!L29)</f>
        <v>2571.5500000000002</v>
      </c>
      <c r="AF8" s="394"/>
      <c r="AG8" s="394"/>
      <c r="AH8" s="395"/>
      <c r="AI8" s="393">
        <f>SUM('09'!L25:'09'!L29)</f>
        <v>2573.7399999999998</v>
      </c>
      <c r="AJ8" s="394"/>
      <c r="AK8" s="394"/>
      <c r="AL8" s="395"/>
      <c r="AM8" s="393">
        <f>SUM('10'!L25:'10'!L29)</f>
        <v>2617.69</v>
      </c>
      <c r="AN8" s="394"/>
      <c r="AO8" s="394"/>
      <c r="AP8" s="395"/>
      <c r="AQ8" s="393">
        <f>SUM('11'!L25:'11'!L29)</f>
        <v>2588.0700000000002</v>
      </c>
      <c r="AR8" s="394"/>
      <c r="AS8" s="394"/>
      <c r="AT8" s="395"/>
      <c r="AU8" s="393">
        <f>SUM('12'!L25:'12'!L29)</f>
        <v>0</v>
      </c>
      <c r="AV8" s="394"/>
      <c r="AW8" s="394"/>
      <c r="AX8" s="395"/>
      <c r="AZ8" s="209">
        <f>SUM(C8:AU8)</f>
        <v>27624.09</v>
      </c>
      <c r="BA8" s="112">
        <f t="shared" ref="BA8:BA16" ca="1" si="0">AZ8/BC$17</f>
        <v>27624.09</v>
      </c>
      <c r="BB8" s="1"/>
      <c r="BC8" s="1"/>
    </row>
    <row r="9" spans="1:55" ht="15.75">
      <c r="A9" s="189" t="s">
        <v>202</v>
      </c>
      <c r="B9" s="193">
        <v>6335.2300000000014</v>
      </c>
      <c r="C9" s="380">
        <f>SUM('01'!L30:'01'!L34)</f>
        <v>133.94</v>
      </c>
      <c r="D9" s="381"/>
      <c r="E9" s="381"/>
      <c r="F9" s="382"/>
      <c r="G9" s="380">
        <f>SUM('02'!L30:'02'!L34)</f>
        <v>0</v>
      </c>
      <c r="H9" s="381"/>
      <c r="I9" s="381"/>
      <c r="J9" s="382"/>
      <c r="K9" s="380">
        <f>SUM('03'!L30:'03'!L34)</f>
        <v>516.44000000000005</v>
      </c>
      <c r="L9" s="381"/>
      <c r="M9" s="381"/>
      <c r="N9" s="382"/>
      <c r="O9" s="380">
        <f>SUM('04'!L30:'04'!L34)</f>
        <v>507.54</v>
      </c>
      <c r="P9" s="381"/>
      <c r="Q9" s="381"/>
      <c r="R9" s="382"/>
      <c r="S9" s="380">
        <f>SUM('05'!L30:'05'!L34)</f>
        <v>578.16999999999996</v>
      </c>
      <c r="T9" s="381"/>
      <c r="U9" s="381"/>
      <c r="V9" s="382"/>
      <c r="W9" s="380">
        <f>SUM('06'!L30:'06'!L34)</f>
        <v>613.67000000000007</v>
      </c>
      <c r="X9" s="381"/>
      <c r="Y9" s="381"/>
      <c r="Z9" s="382"/>
      <c r="AA9" s="380">
        <f>SUM('07'!L30:'07'!L34)</f>
        <v>1147.52</v>
      </c>
      <c r="AB9" s="381"/>
      <c r="AC9" s="381"/>
      <c r="AD9" s="382"/>
      <c r="AE9" s="380">
        <f>SUM('08'!L30:'08'!L34)</f>
        <v>291.60000000000002</v>
      </c>
      <c r="AF9" s="381"/>
      <c r="AG9" s="381"/>
      <c r="AH9" s="382"/>
      <c r="AI9" s="380">
        <f>SUM('09'!L30:'09'!L34)</f>
        <v>291.60000000000002</v>
      </c>
      <c r="AJ9" s="381"/>
      <c r="AK9" s="381"/>
      <c r="AL9" s="382"/>
      <c r="AM9" s="380">
        <f>SUM('10'!L30:'10'!L34)</f>
        <v>599.04999999999995</v>
      </c>
      <c r="AN9" s="381"/>
      <c r="AO9" s="381"/>
      <c r="AP9" s="382"/>
      <c r="AQ9" s="380">
        <f>SUM('11'!L30:'11'!L34)</f>
        <v>302.78999999999996</v>
      </c>
      <c r="AR9" s="381"/>
      <c r="AS9" s="381"/>
      <c r="AT9" s="382"/>
      <c r="AU9" s="380">
        <f>SUM('12'!L30:'12'!L34)</f>
        <v>0</v>
      </c>
      <c r="AV9" s="381"/>
      <c r="AW9" s="381"/>
      <c r="AX9" s="382"/>
      <c r="AZ9" s="210">
        <f t="shared" ref="AZ9:AZ16" si="1">SUM(C9:AW9)</f>
        <v>4982.32</v>
      </c>
      <c r="BA9" s="112">
        <f t="shared" ca="1" si="0"/>
        <v>4982.32</v>
      </c>
      <c r="BB9" s="1"/>
      <c r="BC9" s="1"/>
    </row>
    <row r="10" spans="1:55" ht="15.75">
      <c r="A10" s="190" t="s">
        <v>207</v>
      </c>
      <c r="B10" s="194">
        <v>1156.51</v>
      </c>
      <c r="C10" s="380">
        <f>SUM('01'!L35:'01'!L39)</f>
        <v>0</v>
      </c>
      <c r="D10" s="381"/>
      <c r="E10" s="381"/>
      <c r="F10" s="382"/>
      <c r="G10" s="380">
        <f>SUM('02'!L35:'02'!L39)</f>
        <v>0</v>
      </c>
      <c r="H10" s="381"/>
      <c r="I10" s="381"/>
      <c r="J10" s="382"/>
      <c r="K10" s="380">
        <f>SUM('03'!L35:'03'!L39)</f>
        <v>91.73</v>
      </c>
      <c r="L10" s="381"/>
      <c r="M10" s="381"/>
      <c r="N10" s="382"/>
      <c r="O10" s="380">
        <f>SUM('04'!L35:'04'!L39)</f>
        <v>204.23</v>
      </c>
      <c r="P10" s="381"/>
      <c r="Q10" s="381"/>
      <c r="R10" s="382"/>
      <c r="S10" s="380">
        <f>SUM('05'!L35:'05'!L39)</f>
        <v>119.85</v>
      </c>
      <c r="T10" s="381"/>
      <c r="U10" s="381"/>
      <c r="V10" s="382"/>
      <c r="W10" s="396">
        <f>SUM('06'!L35:'06'!L39)</f>
        <v>55.09</v>
      </c>
      <c r="X10" s="397"/>
      <c r="Y10" s="397"/>
      <c r="Z10" s="398"/>
      <c r="AA10" s="396">
        <f>SUM('07'!L35:'07'!L39)</f>
        <v>124.52</v>
      </c>
      <c r="AB10" s="397"/>
      <c r="AC10" s="397"/>
      <c r="AD10" s="398"/>
      <c r="AE10" s="396">
        <f>SUM('08'!L35:'08'!L39)</f>
        <v>164.91</v>
      </c>
      <c r="AF10" s="397"/>
      <c r="AG10" s="397"/>
      <c r="AH10" s="398"/>
      <c r="AI10" s="396">
        <f>SUM('09'!L35:'09'!L39)</f>
        <v>167.95</v>
      </c>
      <c r="AJ10" s="397"/>
      <c r="AK10" s="397"/>
      <c r="AL10" s="398"/>
      <c r="AM10" s="396">
        <f>SUM('10'!L35:'10'!L39)</f>
        <v>0</v>
      </c>
      <c r="AN10" s="397"/>
      <c r="AO10" s="397"/>
      <c r="AP10" s="398"/>
      <c r="AQ10" s="396">
        <f>SUM('11'!L35:'11'!L39)</f>
        <v>0</v>
      </c>
      <c r="AR10" s="397"/>
      <c r="AS10" s="397"/>
      <c r="AT10" s="398"/>
      <c r="AU10" s="396">
        <f>SUM('12'!L35:'12'!L39)</f>
        <v>0</v>
      </c>
      <c r="AV10" s="397"/>
      <c r="AW10" s="397"/>
      <c r="AX10" s="398"/>
      <c r="AZ10" s="211">
        <f t="shared" si="1"/>
        <v>928.28</v>
      </c>
      <c r="BA10" s="112">
        <f t="shared" ca="1" si="0"/>
        <v>928.28</v>
      </c>
      <c r="BB10" s="1"/>
      <c r="BC10" s="1"/>
    </row>
    <row r="11" spans="1:55" ht="15.75">
      <c r="A11" s="189" t="s">
        <v>203</v>
      </c>
      <c r="B11" s="193">
        <v>1224.4499999999998</v>
      </c>
      <c r="C11" s="380">
        <f>SUM('01'!L40:'01'!L44)</f>
        <v>2.63</v>
      </c>
      <c r="D11" s="381"/>
      <c r="E11" s="381"/>
      <c r="F11" s="382"/>
      <c r="G11" s="380">
        <f>SUM('02'!L40:'02'!L44)</f>
        <v>0</v>
      </c>
      <c r="H11" s="381"/>
      <c r="I11" s="381"/>
      <c r="J11" s="382"/>
      <c r="K11" s="380">
        <f>SUM('03'!L40:'03'!L44)</f>
        <v>0</v>
      </c>
      <c r="L11" s="381"/>
      <c r="M11" s="381"/>
      <c r="N11" s="382"/>
      <c r="O11" s="380">
        <f>SUM('04'!L40:'04'!L44)</f>
        <v>356.59</v>
      </c>
      <c r="P11" s="381"/>
      <c r="Q11" s="381"/>
      <c r="R11" s="382"/>
      <c r="S11" s="380">
        <f>SUM('05'!L40:'05'!L44)</f>
        <v>45.86</v>
      </c>
      <c r="T11" s="381"/>
      <c r="U11" s="381"/>
      <c r="V11" s="382"/>
      <c r="W11" s="380">
        <f>SUM('06'!L40:'06'!L44)</f>
        <v>0</v>
      </c>
      <c r="X11" s="381"/>
      <c r="Y11" s="381"/>
      <c r="Z11" s="382"/>
      <c r="AA11" s="380">
        <f>SUM('07'!L40:'07'!L44)</f>
        <v>1.02</v>
      </c>
      <c r="AB11" s="381"/>
      <c r="AC11" s="381"/>
      <c r="AD11" s="382"/>
      <c r="AE11" s="380">
        <f>SUM('08'!L40:'08'!L44)</f>
        <v>0</v>
      </c>
      <c r="AF11" s="381"/>
      <c r="AG11" s="381"/>
      <c r="AH11" s="382"/>
      <c r="AI11" s="380">
        <f>SUM('09'!L40:'09'!L44)</f>
        <v>0</v>
      </c>
      <c r="AJ11" s="381"/>
      <c r="AK11" s="381"/>
      <c r="AL11" s="382"/>
      <c r="AM11" s="380">
        <f>SUM('10'!L40:'10'!L44)</f>
        <v>52.97</v>
      </c>
      <c r="AN11" s="381"/>
      <c r="AO11" s="381"/>
      <c r="AP11" s="382"/>
      <c r="AQ11" s="380">
        <f>SUM('11'!L40:'11'!L44)</f>
        <v>42.84</v>
      </c>
      <c r="AR11" s="381"/>
      <c r="AS11" s="381"/>
      <c r="AT11" s="382"/>
      <c r="AU11" s="380">
        <f>SUM('12'!L40:'12'!L44)</f>
        <v>0</v>
      </c>
      <c r="AV11" s="381"/>
      <c r="AW11" s="381"/>
      <c r="AX11" s="382"/>
      <c r="AZ11" s="210">
        <f t="shared" si="1"/>
        <v>501.90999999999997</v>
      </c>
      <c r="BA11" s="112">
        <f t="shared" ca="1" si="0"/>
        <v>501.90999999999997</v>
      </c>
      <c r="BB11" s="1"/>
      <c r="BC11" s="1"/>
    </row>
    <row r="12" spans="1:55" ht="15.75">
      <c r="A12" s="190" t="s">
        <v>22</v>
      </c>
      <c r="B12" s="194">
        <v>2312.4300000000003</v>
      </c>
      <c r="C12" s="380">
        <f>SUM('01'!L45:'01'!L49)</f>
        <v>1142.8599999999999</v>
      </c>
      <c r="D12" s="381"/>
      <c r="E12" s="381"/>
      <c r="F12" s="382"/>
      <c r="G12" s="380">
        <f>SUM('02'!L45:'02'!L49)</f>
        <v>0</v>
      </c>
      <c r="H12" s="381"/>
      <c r="I12" s="381"/>
      <c r="J12" s="382"/>
      <c r="K12" s="380">
        <f>SUM('03'!L45:'03'!L49)</f>
        <v>380</v>
      </c>
      <c r="L12" s="381"/>
      <c r="M12" s="381"/>
      <c r="N12" s="382"/>
      <c r="O12" s="380">
        <f>SUM('04'!L45:'04'!L49)</f>
        <v>0</v>
      </c>
      <c r="P12" s="381"/>
      <c r="Q12" s="381"/>
      <c r="R12" s="382"/>
      <c r="S12" s="380">
        <f>SUM('05'!L45:'05'!L49)</f>
        <v>0</v>
      </c>
      <c r="T12" s="381"/>
      <c r="U12" s="381"/>
      <c r="V12" s="382"/>
      <c r="W12" s="396">
        <f>SUM('06'!L45:'06'!L49)</f>
        <v>242.41</v>
      </c>
      <c r="X12" s="397"/>
      <c r="Y12" s="397"/>
      <c r="Z12" s="398"/>
      <c r="AA12" s="396">
        <f>SUM('07'!L45:'07'!L49)</f>
        <v>0</v>
      </c>
      <c r="AB12" s="397"/>
      <c r="AC12" s="397"/>
      <c r="AD12" s="398"/>
      <c r="AE12" s="396">
        <f>SUM('08'!L45:'08'!L49)</f>
        <v>222.98</v>
      </c>
      <c r="AF12" s="397"/>
      <c r="AG12" s="397"/>
      <c r="AH12" s="398"/>
      <c r="AI12" s="396">
        <f>SUM('09'!L45:'09'!L49)</f>
        <v>200</v>
      </c>
      <c r="AJ12" s="397"/>
      <c r="AK12" s="397"/>
      <c r="AL12" s="398"/>
      <c r="AM12" s="396">
        <f>SUM('10'!L45:'10'!L49)</f>
        <v>0</v>
      </c>
      <c r="AN12" s="397"/>
      <c r="AO12" s="397"/>
      <c r="AP12" s="398"/>
      <c r="AQ12" s="396">
        <f>SUM('11'!L45:'11'!L49)</f>
        <v>430</v>
      </c>
      <c r="AR12" s="397"/>
      <c r="AS12" s="397"/>
      <c r="AT12" s="398"/>
      <c r="AU12" s="396">
        <f>SUM('12'!L45:'12'!L49)</f>
        <v>0</v>
      </c>
      <c r="AV12" s="397"/>
      <c r="AW12" s="397"/>
      <c r="AX12" s="398"/>
      <c r="AZ12" s="211">
        <f t="shared" si="1"/>
        <v>2618.25</v>
      </c>
      <c r="BA12" s="112">
        <f t="shared" ca="1" si="0"/>
        <v>2618.25</v>
      </c>
      <c r="BB12" s="1"/>
      <c r="BC12" s="1"/>
    </row>
    <row r="13" spans="1:55" ht="15.75">
      <c r="A13" s="189" t="s">
        <v>204</v>
      </c>
      <c r="B13" s="195">
        <v>10099.5</v>
      </c>
      <c r="C13" s="380">
        <f>SUM('01'!L50:'01'!L54)</f>
        <v>273.07</v>
      </c>
      <c r="D13" s="381"/>
      <c r="E13" s="381"/>
      <c r="F13" s="382"/>
      <c r="G13" s="380">
        <f>SUM('02'!L50:'02'!L54)</f>
        <v>0</v>
      </c>
      <c r="H13" s="381"/>
      <c r="I13" s="381"/>
      <c r="J13" s="382"/>
      <c r="K13" s="380">
        <f>SUM('03'!L50:'03'!L54)</f>
        <v>4517.74</v>
      </c>
      <c r="L13" s="381"/>
      <c r="M13" s="381"/>
      <c r="N13" s="382"/>
      <c r="O13" s="380">
        <f>SUM('04'!L50:'04'!L54)</f>
        <v>95.8</v>
      </c>
      <c r="P13" s="381"/>
      <c r="Q13" s="381"/>
      <c r="R13" s="382"/>
      <c r="S13" s="380">
        <f>SUM('05'!L50:'05'!L54)</f>
        <v>95.8</v>
      </c>
      <c r="T13" s="381"/>
      <c r="U13" s="381"/>
      <c r="V13" s="382"/>
      <c r="W13" s="380">
        <f>SUM('06'!L50:'06'!L54)</f>
        <v>95.8</v>
      </c>
      <c r="X13" s="381"/>
      <c r="Y13" s="381"/>
      <c r="Z13" s="382"/>
      <c r="AA13" s="380">
        <f>SUM('07'!L50:'07'!L54)</f>
        <v>95.8</v>
      </c>
      <c r="AB13" s="381"/>
      <c r="AC13" s="381"/>
      <c r="AD13" s="382"/>
      <c r="AE13" s="380">
        <f>SUM('08'!L50:'08'!L54)</f>
        <v>117.03</v>
      </c>
      <c r="AF13" s="381"/>
      <c r="AG13" s="381"/>
      <c r="AH13" s="382"/>
      <c r="AI13" s="380">
        <f>SUM('09'!L50:'09'!L54)</f>
        <v>1072.33</v>
      </c>
      <c r="AJ13" s="381"/>
      <c r="AK13" s="381"/>
      <c r="AL13" s="382"/>
      <c r="AM13" s="380">
        <f>SUM('10'!L50:'10'!L54)</f>
        <v>95.8</v>
      </c>
      <c r="AN13" s="381"/>
      <c r="AO13" s="381"/>
      <c r="AP13" s="382"/>
      <c r="AQ13" s="380">
        <f>SUM('11'!L50:'11'!L54)</f>
        <v>95.8</v>
      </c>
      <c r="AR13" s="381"/>
      <c r="AS13" s="381"/>
      <c r="AT13" s="382"/>
      <c r="AU13" s="380">
        <f>SUM('12'!L50:'12'!L54)</f>
        <v>0</v>
      </c>
      <c r="AV13" s="381"/>
      <c r="AW13" s="381"/>
      <c r="AX13" s="382"/>
      <c r="AZ13" s="212">
        <f t="shared" si="1"/>
        <v>6554.97</v>
      </c>
      <c r="BA13" s="112">
        <f t="shared" ca="1" si="0"/>
        <v>6554.97</v>
      </c>
      <c r="BB13" s="1"/>
      <c r="BC13" s="1"/>
    </row>
    <row r="14" spans="1:55" ht="15.75">
      <c r="A14" s="190" t="s">
        <v>205</v>
      </c>
      <c r="B14" s="194">
        <v>768.34999999999991</v>
      </c>
      <c r="C14" s="380">
        <f>SUM('01'!L55:'01'!L59)</f>
        <v>776.51</v>
      </c>
      <c r="D14" s="381"/>
      <c r="E14" s="381"/>
      <c r="F14" s="382"/>
      <c r="G14" s="380">
        <f>SUM('02'!L55:'02'!L59)</f>
        <v>0</v>
      </c>
      <c r="H14" s="381"/>
      <c r="I14" s="381"/>
      <c r="J14" s="382"/>
      <c r="K14" s="380">
        <f>SUM('03'!L55:'03'!L59)</f>
        <v>9.44</v>
      </c>
      <c r="L14" s="381"/>
      <c r="M14" s="381"/>
      <c r="N14" s="382"/>
      <c r="O14" s="380">
        <f>SUM('04'!L55:'04'!L59)</f>
        <v>37.980000000000004</v>
      </c>
      <c r="P14" s="381"/>
      <c r="Q14" s="381"/>
      <c r="R14" s="382"/>
      <c r="S14" s="380">
        <f>SUM('05'!L55:'05'!L59)</f>
        <v>17.350000000000001</v>
      </c>
      <c r="T14" s="381"/>
      <c r="U14" s="381"/>
      <c r="V14" s="382"/>
      <c r="W14" s="396">
        <f>SUM('06'!L55:'06'!L59)</f>
        <v>0</v>
      </c>
      <c r="X14" s="397"/>
      <c r="Y14" s="397"/>
      <c r="Z14" s="398"/>
      <c r="AA14" s="396">
        <f>SUM('07'!L55:'07'!L59)</f>
        <v>51.759999999999991</v>
      </c>
      <c r="AB14" s="397"/>
      <c r="AC14" s="397"/>
      <c r="AD14" s="398"/>
      <c r="AE14" s="396">
        <f>SUM('08'!L55:'08'!L59)</f>
        <v>27.42</v>
      </c>
      <c r="AF14" s="397"/>
      <c r="AG14" s="397"/>
      <c r="AH14" s="398"/>
      <c r="AI14" s="396">
        <f>SUM('09'!L55:'09'!L59)</f>
        <v>0</v>
      </c>
      <c r="AJ14" s="397"/>
      <c r="AK14" s="397"/>
      <c r="AL14" s="398"/>
      <c r="AM14" s="396">
        <f>SUM('10'!L55:'10'!L59)</f>
        <v>57.08</v>
      </c>
      <c r="AN14" s="397"/>
      <c r="AO14" s="397"/>
      <c r="AP14" s="398"/>
      <c r="AQ14" s="396">
        <f>SUM('11'!L55:'11'!L59)</f>
        <v>393.02</v>
      </c>
      <c r="AR14" s="397"/>
      <c r="AS14" s="397"/>
      <c r="AT14" s="398"/>
      <c r="AU14" s="396">
        <f>SUM('12'!L55:'12'!L59)</f>
        <v>0</v>
      </c>
      <c r="AV14" s="397"/>
      <c r="AW14" s="397"/>
      <c r="AX14" s="398"/>
      <c r="AZ14" s="211">
        <f t="shared" si="1"/>
        <v>1370.56</v>
      </c>
      <c r="BA14" s="112">
        <f t="shared" ca="1" si="0"/>
        <v>1370.56</v>
      </c>
      <c r="BB14" s="3"/>
      <c r="BC14" s="3"/>
    </row>
    <row r="15" spans="1:55" ht="15.75">
      <c r="A15" s="189" t="s">
        <v>206</v>
      </c>
      <c r="B15" s="193">
        <v>7259.8400000000011</v>
      </c>
      <c r="C15" s="380">
        <f>SUM('01'!L60:'01'!L64)</f>
        <v>0</v>
      </c>
      <c r="D15" s="381"/>
      <c r="E15" s="381"/>
      <c r="F15" s="382"/>
      <c r="G15" s="380">
        <f>SUM('02'!L60:'02'!L64)</f>
        <v>0</v>
      </c>
      <c r="H15" s="381"/>
      <c r="I15" s="381"/>
      <c r="J15" s="382"/>
      <c r="K15" s="380">
        <f>SUM('03'!L60:'03'!L64)</f>
        <v>682.39</v>
      </c>
      <c r="L15" s="381"/>
      <c r="M15" s="381"/>
      <c r="N15" s="382"/>
      <c r="O15" s="380">
        <f>SUM('04'!L60:'04'!L64)</f>
        <v>550</v>
      </c>
      <c r="P15" s="381"/>
      <c r="Q15" s="381"/>
      <c r="R15" s="382"/>
      <c r="S15" s="380">
        <f>SUM('05'!L60:'05'!L64)</f>
        <v>652.44000000000005</v>
      </c>
      <c r="T15" s="381"/>
      <c r="U15" s="381"/>
      <c r="V15" s="382"/>
      <c r="W15" s="380">
        <f>SUM('06'!L60:'06'!L64)</f>
        <v>511.74</v>
      </c>
      <c r="X15" s="381"/>
      <c r="Y15" s="381"/>
      <c r="Z15" s="382"/>
      <c r="AA15" s="380">
        <f>SUM('07'!L60:'07'!L64)</f>
        <v>649.1</v>
      </c>
      <c r="AB15" s="381"/>
      <c r="AC15" s="381"/>
      <c r="AD15" s="382"/>
      <c r="AE15" s="380">
        <f>SUM('08'!L60:'08'!L64)</f>
        <v>550</v>
      </c>
      <c r="AF15" s="381"/>
      <c r="AG15" s="381"/>
      <c r="AH15" s="382"/>
      <c r="AI15" s="380">
        <f>SUM('09'!L60:'09'!L64)</f>
        <v>676.35</v>
      </c>
      <c r="AJ15" s="381"/>
      <c r="AK15" s="381"/>
      <c r="AL15" s="382"/>
      <c r="AM15" s="380">
        <f>SUM('10'!L60:'10'!L64)</f>
        <v>550</v>
      </c>
      <c r="AN15" s="381"/>
      <c r="AO15" s="381"/>
      <c r="AP15" s="382"/>
      <c r="AQ15" s="380">
        <f>SUM('11'!L60:'11'!L64)</f>
        <v>647.88</v>
      </c>
      <c r="AR15" s="381"/>
      <c r="AS15" s="381"/>
      <c r="AT15" s="382"/>
      <c r="AU15" s="380">
        <f>SUM('12'!L60:'12'!L64)</f>
        <v>0</v>
      </c>
      <c r="AV15" s="381"/>
      <c r="AW15" s="381"/>
      <c r="AX15" s="382"/>
      <c r="AZ15" s="210">
        <f t="shared" si="1"/>
        <v>5469.9</v>
      </c>
      <c r="BA15" s="112">
        <f t="shared" ca="1" si="0"/>
        <v>5469.9</v>
      </c>
      <c r="BB15" s="1"/>
      <c r="BC15" s="1"/>
    </row>
    <row r="16" spans="1:55" ht="16.5" thickBot="1">
      <c r="A16" s="191" t="s">
        <v>40</v>
      </c>
      <c r="B16" s="196">
        <v>185</v>
      </c>
      <c r="C16" s="380">
        <f>SUM('01'!L65:'01'!L69)</f>
        <v>87.95</v>
      </c>
      <c r="D16" s="381"/>
      <c r="E16" s="381"/>
      <c r="F16" s="382"/>
      <c r="G16" s="380">
        <f>SUM('02'!L65:'02'!L69)</f>
        <v>0</v>
      </c>
      <c r="H16" s="381"/>
      <c r="I16" s="381"/>
      <c r="J16" s="382"/>
      <c r="K16" s="380">
        <f>SUM('03'!L65:'03'!L69)</f>
        <v>0</v>
      </c>
      <c r="L16" s="381"/>
      <c r="M16" s="381"/>
      <c r="N16" s="382"/>
      <c r="O16" s="380">
        <f>SUM('04'!L65:'04'!L69)</f>
        <v>0</v>
      </c>
      <c r="P16" s="381"/>
      <c r="Q16" s="381"/>
      <c r="R16" s="382"/>
      <c r="S16" s="380">
        <f>SUM('05'!L65:'05'!L69)</f>
        <v>0</v>
      </c>
      <c r="T16" s="381"/>
      <c r="U16" s="381"/>
      <c r="V16" s="382"/>
      <c r="W16" s="399">
        <f>SUM('06'!L65:'06'!L69)</f>
        <v>0</v>
      </c>
      <c r="X16" s="400"/>
      <c r="Y16" s="400"/>
      <c r="Z16" s="401"/>
      <c r="AA16" s="399">
        <f>SUM('07'!L65:'07'!L69)</f>
        <v>0</v>
      </c>
      <c r="AB16" s="400"/>
      <c r="AC16" s="400"/>
      <c r="AD16" s="401"/>
      <c r="AE16" s="399">
        <f>SUM('08'!L65:'08'!L69)</f>
        <v>0</v>
      </c>
      <c r="AF16" s="400"/>
      <c r="AG16" s="400"/>
      <c r="AH16" s="401"/>
      <c r="AI16" s="399">
        <f>SUM('09'!L65:'09'!L69)</f>
        <v>0</v>
      </c>
      <c r="AJ16" s="400"/>
      <c r="AK16" s="400"/>
      <c r="AL16" s="401"/>
      <c r="AM16" s="399">
        <f>SUM('10'!L65:'10'!L69)</f>
        <v>0</v>
      </c>
      <c r="AN16" s="400"/>
      <c r="AO16" s="400"/>
      <c r="AP16" s="401"/>
      <c r="AQ16" s="399">
        <f>SUM('11'!L65:'11'!L69)</f>
        <v>0</v>
      </c>
      <c r="AR16" s="400"/>
      <c r="AS16" s="400"/>
      <c r="AT16" s="401"/>
      <c r="AU16" s="399">
        <f>SUM('12'!L65:'12'!L69)</f>
        <v>0</v>
      </c>
      <c r="AV16" s="400"/>
      <c r="AW16" s="400"/>
      <c r="AX16" s="401"/>
      <c r="AZ16" s="213">
        <f t="shared" si="1"/>
        <v>87.95</v>
      </c>
      <c r="BA16" s="112">
        <f t="shared" ca="1" si="0"/>
        <v>87.95</v>
      </c>
      <c r="BB16" s="3"/>
      <c r="BC16" s="3"/>
    </row>
    <row r="17" spans="1:62" ht="16.5" thickBot="1">
      <c r="A17" s="215" t="s">
        <v>5</v>
      </c>
      <c r="B17" s="221">
        <f>SUM(B8:B16)</f>
        <v>64341.780000000006</v>
      </c>
      <c r="C17" s="376">
        <f>SUM(C8:C16)</f>
        <v>5000.57</v>
      </c>
      <c r="D17" s="377"/>
      <c r="E17" s="377"/>
      <c r="F17" s="378"/>
      <c r="G17" s="376">
        <f>SUM(G8:G16)</f>
        <v>0</v>
      </c>
      <c r="H17" s="377"/>
      <c r="I17" s="377"/>
      <c r="J17" s="378"/>
      <c r="K17" s="376">
        <f>SUM(K8:K16)</f>
        <v>8724.6099999999988</v>
      </c>
      <c r="L17" s="377"/>
      <c r="M17" s="377"/>
      <c r="N17" s="378"/>
      <c r="O17" s="376">
        <f>SUM(O8:O16)</f>
        <v>4322.7000000000007</v>
      </c>
      <c r="P17" s="377"/>
      <c r="Q17" s="377"/>
      <c r="R17" s="378"/>
      <c r="S17" s="376">
        <f>SUM(S8:S16)</f>
        <v>5958.3200000000015</v>
      </c>
      <c r="T17" s="377"/>
      <c r="U17" s="377"/>
      <c r="V17" s="378"/>
      <c r="W17" s="376">
        <f>SUM(W8:W16)</f>
        <v>4093.3200000000006</v>
      </c>
      <c r="X17" s="377"/>
      <c r="Y17" s="377"/>
      <c r="Z17" s="378"/>
      <c r="AA17" s="376">
        <f>SUM(AA8:AA16)</f>
        <v>4638.26</v>
      </c>
      <c r="AB17" s="377"/>
      <c r="AC17" s="377"/>
      <c r="AD17" s="378"/>
      <c r="AE17" s="376">
        <f>SUM(AE8:AE16)</f>
        <v>3945.4900000000002</v>
      </c>
      <c r="AF17" s="377"/>
      <c r="AG17" s="377"/>
      <c r="AH17" s="378"/>
      <c r="AI17" s="376">
        <f>SUM(AI8:AI16)</f>
        <v>4981.9699999999993</v>
      </c>
      <c r="AJ17" s="377"/>
      <c r="AK17" s="377"/>
      <c r="AL17" s="378"/>
      <c r="AM17" s="376">
        <f>SUM(AM8:AM16)</f>
        <v>3972.5899999999997</v>
      </c>
      <c r="AN17" s="377"/>
      <c r="AO17" s="377"/>
      <c r="AP17" s="378"/>
      <c r="AQ17" s="376">
        <f>SUM(AQ8:AQ16)</f>
        <v>4500.4000000000005</v>
      </c>
      <c r="AR17" s="377"/>
      <c r="AS17" s="377"/>
      <c r="AT17" s="378"/>
      <c r="AU17" s="376">
        <f>SUM(AU8:AU16)</f>
        <v>0</v>
      </c>
      <c r="AV17" s="377"/>
      <c r="AW17" s="377"/>
      <c r="AX17" s="378"/>
      <c r="AZ17" s="227">
        <f>SUM(AZ8:AZ16)</f>
        <v>50138.23</v>
      </c>
      <c r="BA17" s="112">
        <f ca="1">AZ17/BC$17</f>
        <v>50138.23</v>
      </c>
      <c r="BB17" s="1" t="s">
        <v>81</v>
      </c>
      <c r="BC17" s="1">
        <f ca="1">MONTH(TODAY())</f>
        <v>1</v>
      </c>
      <c r="BD17" s="39"/>
    </row>
    <row r="18" spans="1:62" ht="32.25" customHeight="1" thickTop="1" thickBot="1">
      <c r="A18" s="10"/>
      <c r="B18" s="10"/>
      <c r="C18" s="379"/>
      <c r="D18" s="379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79"/>
      <c r="AG18" s="379"/>
      <c r="AH18" s="379"/>
      <c r="AI18" s="379"/>
      <c r="AJ18" s="379"/>
      <c r="AK18" s="379"/>
      <c r="AL18" s="379"/>
      <c r="AM18" s="379"/>
      <c r="AN18" s="379"/>
      <c r="AO18" s="379"/>
      <c r="AP18" s="379"/>
      <c r="AQ18" s="379"/>
      <c r="AR18" s="379"/>
      <c r="AS18" s="379"/>
      <c r="AT18" s="379"/>
      <c r="AU18" s="379" t="s">
        <v>170</v>
      </c>
      <c r="AV18" s="379"/>
      <c r="AW18" s="379"/>
      <c r="AX18" s="379"/>
      <c r="AZ18" s="131">
        <f>(2700*13)+(600*12)+(550*12)+(273*12)</f>
        <v>52176</v>
      </c>
      <c r="BA18" s="131">
        <f ca="1">12*BA17</f>
        <v>601658.76</v>
      </c>
      <c r="BB18" s="1"/>
      <c r="BC18" s="1"/>
    </row>
    <row r="19" spans="1:62" ht="17.25" thickTop="1" thickBot="1">
      <c r="A19" s="24" t="s">
        <v>7</v>
      </c>
      <c r="B19" s="24" t="s">
        <v>812</v>
      </c>
      <c r="C19" s="178" t="s">
        <v>52</v>
      </c>
      <c r="D19" s="179" t="s">
        <v>200</v>
      </c>
      <c r="E19" s="179" t="s">
        <v>9</v>
      </c>
      <c r="F19" s="180" t="s">
        <v>10</v>
      </c>
      <c r="G19" s="178" t="s">
        <v>52</v>
      </c>
      <c r="H19" s="179" t="s">
        <v>200</v>
      </c>
      <c r="I19" s="179" t="s">
        <v>9</v>
      </c>
      <c r="J19" s="180" t="s">
        <v>10</v>
      </c>
      <c r="K19" s="178" t="s">
        <v>52</v>
      </c>
      <c r="L19" s="179" t="s">
        <v>200</v>
      </c>
      <c r="M19" s="179" t="s">
        <v>9</v>
      </c>
      <c r="N19" s="180" t="s">
        <v>10</v>
      </c>
      <c r="O19" s="178" t="s">
        <v>52</v>
      </c>
      <c r="P19" s="179" t="s">
        <v>200</v>
      </c>
      <c r="Q19" s="179" t="s">
        <v>9</v>
      </c>
      <c r="R19" s="180" t="s">
        <v>10</v>
      </c>
      <c r="S19" s="178" t="s">
        <v>52</v>
      </c>
      <c r="T19" s="179" t="s">
        <v>200</v>
      </c>
      <c r="U19" s="179" t="s">
        <v>9</v>
      </c>
      <c r="V19" s="180" t="s">
        <v>10</v>
      </c>
      <c r="W19" s="178" t="s">
        <v>52</v>
      </c>
      <c r="X19" s="179" t="s">
        <v>200</v>
      </c>
      <c r="Y19" s="179" t="s">
        <v>9</v>
      </c>
      <c r="Z19" s="180" t="s">
        <v>10</v>
      </c>
      <c r="AA19" s="178" t="s">
        <v>52</v>
      </c>
      <c r="AB19" s="179" t="s">
        <v>200</v>
      </c>
      <c r="AC19" s="179" t="s">
        <v>9</v>
      </c>
      <c r="AD19" s="180" t="s">
        <v>10</v>
      </c>
      <c r="AE19" s="178" t="s">
        <v>52</v>
      </c>
      <c r="AF19" s="179" t="s">
        <v>200</v>
      </c>
      <c r="AG19" s="179" t="s">
        <v>9</v>
      </c>
      <c r="AH19" s="180" t="s">
        <v>10</v>
      </c>
      <c r="AI19" s="178" t="s">
        <v>52</v>
      </c>
      <c r="AJ19" s="179" t="s">
        <v>200</v>
      </c>
      <c r="AK19" s="179" t="s">
        <v>9</v>
      </c>
      <c r="AL19" s="180" t="s">
        <v>10</v>
      </c>
      <c r="AM19" s="178" t="s">
        <v>52</v>
      </c>
      <c r="AN19" s="179" t="s">
        <v>200</v>
      </c>
      <c r="AO19" s="179" t="s">
        <v>9</v>
      </c>
      <c r="AP19" s="180" t="s">
        <v>10</v>
      </c>
      <c r="AQ19" s="178" t="s">
        <v>52</v>
      </c>
      <c r="AR19" s="179" t="s">
        <v>200</v>
      </c>
      <c r="AS19" s="179" t="s">
        <v>9</v>
      </c>
      <c r="AT19" s="180" t="s">
        <v>10</v>
      </c>
      <c r="AU19" s="178" t="s">
        <v>52</v>
      </c>
      <c r="AV19" s="179" t="s">
        <v>200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184</v>
      </c>
      <c r="BF19" s="13" t="s">
        <v>187</v>
      </c>
      <c r="BG19" s="13" t="s">
        <v>185</v>
      </c>
      <c r="BH19" s="13" t="s">
        <v>186</v>
      </c>
      <c r="BJ19" s="12" t="s">
        <v>219</v>
      </c>
    </row>
    <row r="20" spans="1:62" ht="15.75">
      <c r="A20" s="141" t="s">
        <v>797</v>
      </c>
      <c r="B20" s="142">
        <v>2471.7591905564918</v>
      </c>
      <c r="C20" s="143" t="s">
        <v>0</v>
      </c>
      <c r="D20" s="144">
        <f>'01'!B20</f>
        <v>576.78000000000009</v>
      </c>
      <c r="E20" s="144">
        <f>SUM('01'!D20:F20)</f>
        <v>42.239999999999995</v>
      </c>
      <c r="F20" s="145">
        <f t="shared" ref="F20:F45" si="2">B20+D20-E20</f>
        <v>3006.2991905564922</v>
      </c>
      <c r="G20" s="143" t="s">
        <v>1</v>
      </c>
      <c r="H20" s="144">
        <f>'02'!B20</f>
        <v>576.78000000000009</v>
      </c>
      <c r="I20" s="144">
        <f>SUM('02'!D20:F20)</f>
        <v>0</v>
      </c>
      <c r="J20" s="145">
        <f t="shared" ref="J20:J45" si="3">F20+H20-I20</f>
        <v>3583.0791905564924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2981.8291905564924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2978.0691905564927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3179.1891905564926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3178.8591905564926</v>
      </c>
      <c r="AA20" s="143" t="s">
        <v>70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3376.6491905564926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3371.5691905564927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3573.9291905564928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3549.7291905564925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4110.5591905564925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4352.6991905564928</v>
      </c>
      <c r="AZ20" s="123">
        <f t="shared" ref="AZ20:AZ27" si="14">E20+I20+M20+Q20+U20+Y20+AC20+AG20+AK20+AO20+AS20+AW20</f>
        <v>4907.9299999999994</v>
      </c>
      <c r="BA20" s="21">
        <f t="shared" ref="BA20:BA45" si="15">AZ20/AZ$46</f>
        <v>0.11235156928170882</v>
      </c>
      <c r="BB20" s="22">
        <f>_xlfn.RANK.EQ(BA20,$BA$20:$BA$45,)</f>
        <v>2</v>
      </c>
      <c r="BC20" s="22">
        <f t="shared" ref="BC20:BC45" ca="1" si="16">AZ20/BC$17</f>
        <v>4907.9299999999994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576.78000000000009</v>
      </c>
      <c r="BF20" s="21">
        <f t="shared" ref="BF20:BF45" ca="1" si="18">BE20/BE$46</f>
        <v>0.11540308445845909</v>
      </c>
      <c r="BG20" s="22">
        <f ca="1">_xlfn.RANK.EQ(BF20,$BF$20:$BF$45,)</f>
        <v>4</v>
      </c>
      <c r="BH20" s="22">
        <f t="shared" ref="BH20:BH45" ca="1" si="19">BE20/BC$17</f>
        <v>576.78000000000009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534.54000000000042</v>
      </c>
    </row>
    <row r="21" spans="1:62" ht="15.75">
      <c r="A21" s="146" t="s">
        <v>47</v>
      </c>
      <c r="B21" s="147">
        <v>300.72999999999934</v>
      </c>
      <c r="C21" s="148" t="s">
        <v>0</v>
      </c>
      <c r="D21" s="149">
        <f>'01'!B40</f>
        <v>1164</v>
      </c>
      <c r="E21" s="150">
        <f>SUM('01'!D40:F40)</f>
        <v>1208.8</v>
      </c>
      <c r="F21" s="151">
        <f t="shared" si="2"/>
        <v>255.92999999999938</v>
      </c>
      <c r="G21" s="148" t="s">
        <v>1</v>
      </c>
      <c r="H21" s="149">
        <f>'02'!B40</f>
        <v>1164</v>
      </c>
      <c r="I21" s="150">
        <f>SUM('02'!D40:F40)</f>
        <v>0</v>
      </c>
      <c r="J21" s="151">
        <f t="shared" si="3"/>
        <v>1419.9299999999994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1052.6999999999994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1096.7599999999993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972.99999999999932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1017.059999999999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1061.119999999999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1000.9899999999989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1045.0499999999988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984.91999999999871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1028.3099999999988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2181.3099999999986</v>
      </c>
      <c r="AZ21" s="152">
        <f t="shared" si="14"/>
        <v>11912.420000000002</v>
      </c>
      <c r="BA21" s="21">
        <f t="shared" si="15"/>
        <v>0.27269726360050245</v>
      </c>
      <c r="BB21" s="22">
        <f t="shared" ref="BB21:BB45" si="20">_xlfn.RANK.EQ(BA21,$BA$20:$BA$45,)</f>
        <v>1</v>
      </c>
      <c r="BC21" s="22">
        <f t="shared" ca="1" si="16"/>
        <v>11912.420000000002</v>
      </c>
      <c r="BE21" s="224">
        <f t="shared" ca="1" si="17"/>
        <v>1164</v>
      </c>
      <c r="BF21" s="21">
        <f t="shared" ca="1" si="18"/>
        <v>0.23289502116863683</v>
      </c>
      <c r="BG21" s="22">
        <f t="shared" ref="BG21:BG45" ca="1" si="21">_xlfn.RANK.EQ(BF21,$BF$20:$BF$45,)</f>
        <v>2</v>
      </c>
      <c r="BH21" s="22">
        <f t="shared" ca="1" si="19"/>
        <v>1164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-44.799999999999955</v>
      </c>
    </row>
    <row r="22" spans="1:62" ht="15.75">
      <c r="A22" s="153" t="s">
        <v>798</v>
      </c>
      <c r="B22" s="154">
        <v>63.379999999999995</v>
      </c>
      <c r="C22" s="143" t="s">
        <v>0</v>
      </c>
      <c r="D22" s="155">
        <f>'01'!B60</f>
        <v>395</v>
      </c>
      <c r="E22" s="155">
        <f>SUM('01'!D60:F60)</f>
        <v>445.09000000000003</v>
      </c>
      <c r="F22" s="156">
        <f t="shared" si="2"/>
        <v>13.289999999999964</v>
      </c>
      <c r="G22" s="143" t="s">
        <v>1</v>
      </c>
      <c r="H22" s="155">
        <f>'02'!B60</f>
        <v>395</v>
      </c>
      <c r="I22" s="155">
        <f>SUM('02'!D60:F60)</f>
        <v>0</v>
      </c>
      <c r="J22" s="156">
        <f t="shared" si="3"/>
        <v>408.28999999999996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502.40999999999991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660.99999999999989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629.7399999999999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636.51999999999987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636.51999999999987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636.51999999999975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651.81999999999971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624.60999999999967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528.40999999999963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843.40999999999963</v>
      </c>
      <c r="AZ22" s="157">
        <f t="shared" si="14"/>
        <v>2891.2</v>
      </c>
      <c r="BA22" s="21">
        <f t="shared" si="15"/>
        <v>6.6184900173245451E-2</v>
      </c>
      <c r="BB22" s="22">
        <f t="shared" si="20"/>
        <v>5</v>
      </c>
      <c r="BC22" s="22">
        <f t="shared" ca="1" si="16"/>
        <v>2891.2</v>
      </c>
      <c r="BE22" s="225">
        <f t="shared" ca="1" si="17"/>
        <v>395</v>
      </c>
      <c r="BF22" s="21">
        <f t="shared" ca="1" si="18"/>
        <v>7.9032245156023667E-2</v>
      </c>
      <c r="BG22" s="22">
        <f t="shared" ca="1" si="21"/>
        <v>5</v>
      </c>
      <c r="BH22" s="22">
        <f t="shared" ca="1" si="19"/>
        <v>395</v>
      </c>
      <c r="BJ22" s="225">
        <f t="shared" ca="1" si="22"/>
        <v>-50.090000000000032</v>
      </c>
    </row>
    <row r="23" spans="1:62" ht="15.75">
      <c r="A23" s="146" t="s">
        <v>15</v>
      </c>
      <c r="B23" s="147">
        <v>180.9500000000001</v>
      </c>
      <c r="C23" s="148" t="s">
        <v>0</v>
      </c>
      <c r="D23" s="149">
        <f>'01'!B80</f>
        <v>180</v>
      </c>
      <c r="E23" s="150">
        <f>SUM('01'!D80:F80)</f>
        <v>130.55000000000001</v>
      </c>
      <c r="F23" s="151">
        <f t="shared" si="2"/>
        <v>230.40000000000009</v>
      </c>
      <c r="G23" s="148" t="s">
        <v>1</v>
      </c>
      <c r="H23" s="149">
        <f>'02'!B80</f>
        <v>200</v>
      </c>
      <c r="I23" s="150">
        <f>SUM('02'!D80:F80)</f>
        <v>0</v>
      </c>
      <c r="J23" s="151">
        <f t="shared" si="3"/>
        <v>430.40000000000009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453.88000000000011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522.88000000000011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480.03000000000009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482.38000000000011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510.18000000000012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503.53000000000009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510.63000000000005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527.25000000000011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559.05000000000018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744.05000000000018</v>
      </c>
      <c r="AZ23" s="152">
        <f t="shared" si="14"/>
        <v>1746.9000000000003</v>
      </c>
      <c r="BA23" s="21">
        <f t="shared" si="15"/>
        <v>3.9989762767239381E-2</v>
      </c>
      <c r="BB23" s="22">
        <f t="shared" si="20"/>
        <v>9</v>
      </c>
      <c r="BC23" s="22">
        <f t="shared" ca="1" si="16"/>
        <v>1746.9000000000003</v>
      </c>
      <c r="BE23" s="224">
        <f t="shared" ca="1" si="17"/>
        <v>180</v>
      </c>
      <c r="BF23" s="21">
        <f t="shared" ca="1" si="18"/>
        <v>3.6014693995150025E-2</v>
      </c>
      <c r="BG23" s="22">
        <f t="shared" ca="1" si="21"/>
        <v>9</v>
      </c>
      <c r="BH23" s="22">
        <f t="shared" ca="1" si="19"/>
        <v>180</v>
      </c>
      <c r="BJ23" s="224">
        <f t="shared" ca="1" si="22"/>
        <v>49.449999999999989</v>
      </c>
    </row>
    <row r="24" spans="1:62" ht="15.75">
      <c r="A24" s="153" t="s">
        <v>16</v>
      </c>
      <c r="B24" s="154">
        <v>236.62000000000003</v>
      </c>
      <c r="C24" s="143" t="s">
        <v>0</v>
      </c>
      <c r="D24" s="155">
        <f>'01'!B100</f>
        <v>200</v>
      </c>
      <c r="E24" s="155">
        <f>SUM('01'!D100:F100)</f>
        <v>205.4</v>
      </c>
      <c r="F24" s="156">
        <f t="shared" si="2"/>
        <v>231.22</v>
      </c>
      <c r="G24" s="143" t="s">
        <v>1</v>
      </c>
      <c r="H24" s="155">
        <f>'02'!B100</f>
        <v>200</v>
      </c>
      <c r="I24" s="155">
        <f>SUM('02'!D100:F100)</f>
        <v>0</v>
      </c>
      <c r="J24" s="156">
        <f t="shared" si="3"/>
        <v>431.22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495.13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541.74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526.26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493.4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598.29999999999995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614.48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609.82000000000005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549.6400000000001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656.36000000000013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806.36000000000013</v>
      </c>
      <c r="AZ24" s="157">
        <f t="shared" si="14"/>
        <v>1420.2600000000002</v>
      </c>
      <c r="BA24" s="21">
        <f t="shared" si="15"/>
        <v>3.2512370752647207E-2</v>
      </c>
      <c r="BB24" s="22">
        <f t="shared" si="20"/>
        <v>10</v>
      </c>
      <c r="BC24" s="22">
        <f t="shared" ca="1" si="16"/>
        <v>1420.2600000000002</v>
      </c>
      <c r="BE24" s="225">
        <f t="shared" ca="1" si="17"/>
        <v>200</v>
      </c>
      <c r="BF24" s="21">
        <f t="shared" ca="1" si="18"/>
        <v>4.0016326661277808E-2</v>
      </c>
      <c r="BG24" s="22">
        <f t="shared" ca="1" si="21"/>
        <v>7</v>
      </c>
      <c r="BH24" s="22">
        <f t="shared" ca="1" si="19"/>
        <v>200</v>
      </c>
      <c r="BJ24" s="225">
        <f t="shared" ca="1" si="22"/>
        <v>-5.4000000000000341</v>
      </c>
    </row>
    <row r="25" spans="1:62" ht="15.75">
      <c r="A25" s="146" t="s">
        <v>813</v>
      </c>
      <c r="B25" s="147">
        <v>4951.5215974244966</v>
      </c>
      <c r="C25" s="148" t="s">
        <v>0</v>
      </c>
      <c r="D25" s="149">
        <f>'01'!B120</f>
        <v>1931.3799999999999</v>
      </c>
      <c r="E25" s="150">
        <f>SUM('01'!D120:F120)</f>
        <v>886.41000000000008</v>
      </c>
      <c r="F25" s="151">
        <f t="shared" si="2"/>
        <v>5996.4915974244968</v>
      </c>
      <c r="G25" s="148" t="s">
        <v>1</v>
      </c>
      <c r="H25" s="149">
        <f>'02'!B120</f>
        <v>853.47</v>
      </c>
      <c r="I25" s="150">
        <f>SUM('02'!D120:F120)</f>
        <v>328.83000000000004</v>
      </c>
      <c r="J25" s="151">
        <f t="shared" si="3"/>
        <v>6521.1315974244972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5328.751597424497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6870.7215974244964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6058.3415974244963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6175.9615974244962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6493.5815974244961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7161.201597424496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7278.8215974244958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7712.7731948489936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7842.8631948489938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8300.333194848994</v>
      </c>
      <c r="AZ25" s="152">
        <f t="shared" si="14"/>
        <v>4225.6600000000008</v>
      </c>
      <c r="BA25" s="21">
        <f t="shared" si="15"/>
        <v>9.6733150686938454E-2</v>
      </c>
      <c r="BB25" s="22">
        <f t="shared" si="20"/>
        <v>3</v>
      </c>
      <c r="BC25" s="22">
        <f t="shared" ca="1" si="16"/>
        <v>4225.6600000000008</v>
      </c>
      <c r="BE25" s="224">
        <f t="shared" ca="1" si="17"/>
        <v>1931.3799999999999</v>
      </c>
      <c r="BF25" s="21">
        <f t="shared" ca="1" si="18"/>
        <v>0.38643366493529363</v>
      </c>
      <c r="BG25" s="22">
        <f t="shared" ca="1" si="21"/>
        <v>1</v>
      </c>
      <c r="BH25" s="22">
        <f t="shared" ca="1" si="19"/>
        <v>1931.3799999999999</v>
      </c>
      <c r="BJ25" s="224">
        <f t="shared" ca="1" si="22"/>
        <v>1044.9700000000003</v>
      </c>
    </row>
    <row r="26" spans="1:62" ht="15.75">
      <c r="A26" s="153" t="s">
        <v>49</v>
      </c>
      <c r="B26" s="154">
        <v>45.579999999999984</v>
      </c>
      <c r="C26" s="143" t="s">
        <v>0</v>
      </c>
      <c r="D26" s="155">
        <f>'01'!B140</f>
        <v>53</v>
      </c>
      <c r="E26" s="155">
        <f>SUM('01'!D140:F140)</f>
        <v>55.49</v>
      </c>
      <c r="F26" s="156">
        <f t="shared" si="2"/>
        <v>43.089999999999982</v>
      </c>
      <c r="G26" s="143" t="s">
        <v>1</v>
      </c>
      <c r="H26" s="155">
        <f>'02'!B140</f>
        <v>53</v>
      </c>
      <c r="I26" s="155">
        <f>SUM('02'!D140:F140)</f>
        <v>7.99</v>
      </c>
      <c r="J26" s="156">
        <f t="shared" si="3"/>
        <v>88.09999999999998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95.599999999999966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93.109999999999957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110.61999999999995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108.12999999999994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115.63999999999993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113.14999999999992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120.65999999999991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63.169999999999916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70.679999999999922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138.67999999999992</v>
      </c>
      <c r="AZ26" s="157">
        <f t="shared" si="14"/>
        <v>562.9</v>
      </c>
      <c r="BA26" s="21">
        <f t="shared" si="15"/>
        <v>1.2885819143442123E-2</v>
      </c>
      <c r="BB26" s="22">
        <f t="shared" si="20"/>
        <v>14</v>
      </c>
      <c r="BC26" s="22">
        <f t="shared" ca="1" si="16"/>
        <v>562.9</v>
      </c>
      <c r="BE26" s="225">
        <f t="shared" ca="1" si="17"/>
        <v>53</v>
      </c>
      <c r="BF26" s="21">
        <f t="shared" ca="1" si="18"/>
        <v>1.0604326565238619E-2</v>
      </c>
      <c r="BG26" s="22">
        <f t="shared" ca="1" si="21"/>
        <v>13</v>
      </c>
      <c r="BH26" s="22">
        <f t="shared" ca="1" si="19"/>
        <v>53</v>
      </c>
      <c r="BJ26" s="225">
        <f t="shared" ca="1" si="22"/>
        <v>-2.490000000000002</v>
      </c>
    </row>
    <row r="27" spans="1:62" ht="16.5" thickBot="1">
      <c r="A27" s="183" t="s">
        <v>17</v>
      </c>
      <c r="B27" s="184">
        <v>399.41000000000008</v>
      </c>
      <c r="C27" s="185" t="s">
        <v>0</v>
      </c>
      <c r="D27" s="186">
        <f>'01'!B160</f>
        <v>40</v>
      </c>
      <c r="E27" s="186">
        <f>SUM('01'!D160:F160)</f>
        <v>24.87</v>
      </c>
      <c r="F27" s="187">
        <f t="shared" si="2"/>
        <v>414.54000000000008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411.07000000000005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357.41000000000008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390.8300000000001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356.96000000000009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313.80000000000007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363.80000000000007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376.51000000000005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426.51000000000005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429.75000000000006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463.17000000000007</v>
      </c>
      <c r="AU27" s="185" t="s">
        <v>82</v>
      </c>
      <c r="AV27" s="186">
        <f>'12'!B160</f>
        <v>50</v>
      </c>
      <c r="AW27" s="186">
        <f>SUM('12'!D160:F160)</f>
        <v>24.87</v>
      </c>
      <c r="AX27" s="187">
        <f t="shared" si="13"/>
        <v>488.30000000000007</v>
      </c>
      <c r="AZ27" s="188">
        <f t="shared" si="14"/>
        <v>441.11</v>
      </c>
      <c r="BA27" s="21">
        <f t="shared" si="15"/>
        <v>1.0097821428963857E-2</v>
      </c>
      <c r="BB27" s="22">
        <f t="shared" si="20"/>
        <v>16</v>
      </c>
      <c r="BC27" s="22">
        <f t="shared" ca="1" si="16"/>
        <v>441.11</v>
      </c>
      <c r="BE27" s="224">
        <f t="shared" ca="1" si="17"/>
        <v>40</v>
      </c>
      <c r="BF27" s="21">
        <f t="shared" ca="1" si="18"/>
        <v>8.0032653322555623E-3</v>
      </c>
      <c r="BG27" s="22">
        <f t="shared" ca="1" si="21"/>
        <v>15</v>
      </c>
      <c r="BH27" s="22">
        <f t="shared" ca="1" si="19"/>
        <v>40</v>
      </c>
      <c r="BJ27" s="224">
        <f t="shared" ca="1" si="22"/>
        <v>15.129999999999995</v>
      </c>
    </row>
    <row r="28" spans="1:62" ht="15.75">
      <c r="A28" s="163" t="s">
        <v>18</v>
      </c>
      <c r="B28" s="142">
        <v>1289.0000000000002</v>
      </c>
      <c r="C28" s="181" t="s">
        <v>0</v>
      </c>
      <c r="D28" s="155">
        <f>'01'!B180</f>
        <v>200</v>
      </c>
      <c r="E28" s="155">
        <f>SUM('01'!D180:F180)</f>
        <v>374.94</v>
      </c>
      <c r="F28" s="159">
        <f t="shared" si="2"/>
        <v>1114.0600000000002</v>
      </c>
      <c r="G28" s="181" t="s">
        <v>1</v>
      </c>
      <c r="H28" s="155">
        <f>'02'!B180</f>
        <v>200</v>
      </c>
      <c r="I28" s="155">
        <f>SUM('02'!D180:F180)</f>
        <v>0</v>
      </c>
      <c r="J28" s="159">
        <f t="shared" si="3"/>
        <v>1314.0600000000002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1704.0600000000002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1013.2000000000002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2063.2000000000003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2263.2000000000003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1099.9200000000003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1299.9200000000003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1455.9200000000003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1655.9200000000003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1855.9200000000003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2055.92</v>
      </c>
      <c r="AZ28" s="182">
        <f t="shared" ref="AZ28:AZ45" si="23">E28+I28+M28+Q28+U28+Y28+AC28+AG28+AK28+AO28+AS28+AW28</f>
        <v>2713.08</v>
      </c>
      <c r="BA28" s="21">
        <f t="shared" si="15"/>
        <v>6.2107404870651903E-2</v>
      </c>
      <c r="BB28" s="22">
        <f t="shared" si="20"/>
        <v>6</v>
      </c>
      <c r="BC28" s="22">
        <f t="shared" ca="1" si="16"/>
        <v>2713.08</v>
      </c>
      <c r="BE28" s="223">
        <f t="shared" ca="1" si="17"/>
        <v>200</v>
      </c>
      <c r="BF28" s="21">
        <f t="shared" ca="1" si="18"/>
        <v>4.0016326661277808E-2</v>
      </c>
      <c r="BG28" s="22">
        <f t="shared" ca="1" si="21"/>
        <v>7</v>
      </c>
      <c r="BH28" s="22">
        <f t="shared" ca="1" si="19"/>
        <v>200</v>
      </c>
      <c r="BJ28" s="223">
        <f t="shared" ca="1" si="22"/>
        <v>-174.94000000000005</v>
      </c>
    </row>
    <row r="29" spans="1:62" ht="15.75">
      <c r="A29" s="146" t="s">
        <v>19</v>
      </c>
      <c r="B29" s="147">
        <v>125.57999999999998</v>
      </c>
      <c r="C29" s="148" t="s">
        <v>0</v>
      </c>
      <c r="D29" s="149">
        <f>'01'!B200</f>
        <v>144.94999999999999</v>
      </c>
      <c r="E29" s="150">
        <f>SUM('01'!D200:F200)</f>
        <v>160.91999999999999</v>
      </c>
      <c r="F29" s="160">
        <f t="shared" si="2"/>
        <v>109.60999999999999</v>
      </c>
      <c r="G29" s="148" t="s">
        <v>1</v>
      </c>
      <c r="H29" s="149">
        <f>'02'!B200</f>
        <v>80</v>
      </c>
      <c r="I29" s="150">
        <f>SUM('02'!D200:F200)</f>
        <v>0</v>
      </c>
      <c r="J29" s="160">
        <f t="shared" si="3"/>
        <v>189.60999999999999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229.11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233.12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259.49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201.71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170.67000000000004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190.47000000000003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156.69000000000005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92.900000000000034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98.740000000000038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203.74000000000004</v>
      </c>
      <c r="AZ29" s="152">
        <f t="shared" si="23"/>
        <v>1122.4500000000003</v>
      </c>
      <c r="BA29" s="21">
        <f t="shared" si="15"/>
        <v>2.5694950608556786E-2</v>
      </c>
      <c r="BB29" s="22">
        <f t="shared" si="20"/>
        <v>12</v>
      </c>
      <c r="BC29" s="22">
        <f t="shared" ca="1" si="16"/>
        <v>1122.4500000000003</v>
      </c>
      <c r="BE29" s="224">
        <f t="shared" ca="1" si="17"/>
        <v>144.94999999999999</v>
      </c>
      <c r="BF29" s="21">
        <f t="shared" ca="1" si="18"/>
        <v>2.9001832747761091E-2</v>
      </c>
      <c r="BG29" s="22">
        <f t="shared" ca="1" si="21"/>
        <v>10</v>
      </c>
      <c r="BH29" s="22">
        <f t="shared" ca="1" si="19"/>
        <v>144.94999999999999</v>
      </c>
      <c r="BJ29" s="224">
        <f t="shared" ca="1" si="22"/>
        <v>-15.969999999999999</v>
      </c>
    </row>
    <row r="30" spans="1:62" ht="15.75">
      <c r="A30" s="153" t="s">
        <v>20</v>
      </c>
      <c r="B30" s="154">
        <v>63.749999999999957</v>
      </c>
      <c r="C30" s="143" t="s">
        <v>0</v>
      </c>
      <c r="D30" s="155">
        <f>'01'!B220</f>
        <v>35</v>
      </c>
      <c r="E30" s="155">
        <f>SUM('01'!D220:F220)</f>
        <v>93.039999999999992</v>
      </c>
      <c r="F30" s="161">
        <f t="shared" si="2"/>
        <v>5.7099999999999653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40.709999999999965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73.57999999999997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74.249999999999972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96.689999999999969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131.68999999999997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90.519999999999968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102.51999999999997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125.01999999999998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136.51999999999998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171.51999999999998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206.51999999999998</v>
      </c>
      <c r="AZ30" s="157">
        <f t="shared" si="23"/>
        <v>317.23</v>
      </c>
      <c r="BA30" s="21">
        <f t="shared" si="15"/>
        <v>7.2619797599469621E-3</v>
      </c>
      <c r="BB30" s="22">
        <f t="shared" si="20"/>
        <v>17</v>
      </c>
      <c r="BC30" s="22">
        <f t="shared" ca="1" si="16"/>
        <v>317.23</v>
      </c>
      <c r="BE30" s="225">
        <f t="shared" ca="1" si="17"/>
        <v>35</v>
      </c>
      <c r="BF30" s="21">
        <f t="shared" ca="1" si="18"/>
        <v>7.0028571657236166E-3</v>
      </c>
      <c r="BG30" s="22">
        <f t="shared" ca="1" si="21"/>
        <v>16</v>
      </c>
      <c r="BH30" s="22">
        <f t="shared" ca="1" si="19"/>
        <v>35</v>
      </c>
      <c r="BJ30" s="225">
        <f t="shared" ca="1" si="22"/>
        <v>-58.039999999999992</v>
      </c>
    </row>
    <row r="31" spans="1:62" ht="15.75">
      <c r="A31" s="146" t="s">
        <v>21</v>
      </c>
      <c r="B31" s="147">
        <v>53.099999999999966</v>
      </c>
      <c r="C31" s="148" t="s">
        <v>0</v>
      </c>
      <c r="D31" s="149">
        <f>'01'!B240</f>
        <v>21</v>
      </c>
      <c r="E31" s="150">
        <f>SUM('01'!D240:F240)</f>
        <v>0</v>
      </c>
      <c r="F31" s="160">
        <f t="shared" si="2"/>
        <v>74.099999999999966</v>
      </c>
      <c r="G31" s="148" t="s">
        <v>1</v>
      </c>
      <c r="H31" s="149">
        <f>'02'!B240</f>
        <v>21</v>
      </c>
      <c r="I31" s="150">
        <f>SUM('02'!D240:F240)</f>
        <v>0</v>
      </c>
      <c r="J31" s="160">
        <f t="shared" si="3"/>
        <v>95.099999999999966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73.139999999999958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93.139999999999958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71.17999999999995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70.199999999999946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69.219999999999942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68.239999999999938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67.259999999999934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66.27999999999993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86.27999999999993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106.27999999999993</v>
      </c>
      <c r="AZ31" s="152">
        <f t="shared" si="23"/>
        <v>188.82</v>
      </c>
      <c r="BA31" s="21">
        <f t="shared" si="15"/>
        <v>4.3224380363559101E-3</v>
      </c>
      <c r="BB31" s="22">
        <f t="shared" si="20"/>
        <v>18</v>
      </c>
      <c r="BC31" s="22">
        <f t="shared" ca="1" si="16"/>
        <v>188.82</v>
      </c>
      <c r="BE31" s="224">
        <f t="shared" ca="1" si="17"/>
        <v>21</v>
      </c>
      <c r="BF31" s="21">
        <f t="shared" ca="1" si="18"/>
        <v>4.2017142994341698E-3</v>
      </c>
      <c r="BG31" s="22">
        <f t="shared" ca="1" si="21"/>
        <v>18</v>
      </c>
      <c r="BH31" s="22">
        <f t="shared" ca="1" si="19"/>
        <v>21</v>
      </c>
      <c r="BJ31" s="224">
        <f t="shared" ca="1" si="22"/>
        <v>21</v>
      </c>
    </row>
    <row r="32" spans="1:62" ht="15.75">
      <c r="A32" s="153" t="s">
        <v>150</v>
      </c>
      <c r="B32" s="154">
        <v>466.89999999999975</v>
      </c>
      <c r="C32" s="143" t="s">
        <v>0</v>
      </c>
      <c r="D32" s="155">
        <f>'01'!B260</f>
        <v>50</v>
      </c>
      <c r="E32" s="155">
        <f>SUM('01'!D260:F260)</f>
        <v>24.46</v>
      </c>
      <c r="F32" s="161">
        <f t="shared" si="2"/>
        <v>492.43999999999977</v>
      </c>
      <c r="G32" s="143" t="s">
        <v>1</v>
      </c>
      <c r="H32" s="155">
        <f>'02'!B260</f>
        <v>50</v>
      </c>
      <c r="I32" s="155">
        <f>SUM('02'!D260:F260)</f>
        <v>0</v>
      </c>
      <c r="J32" s="161">
        <f t="shared" si="3"/>
        <v>542.43999999999983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627.15999999999985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896.28999999999985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1401.05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1295.73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1071.33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1113.5599999999997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957.21999999999957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880.01999999999953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975.01999999999953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1225.0199999999995</v>
      </c>
      <c r="AZ32" s="157">
        <f t="shared" si="23"/>
        <v>1784.2100000000003</v>
      </c>
      <c r="BA32" s="21">
        <f t="shared" si="15"/>
        <v>4.0843857477208874E-2</v>
      </c>
      <c r="BB32" s="22">
        <f t="shared" si="20"/>
        <v>8</v>
      </c>
      <c r="BC32" s="22">
        <f t="shared" ca="1" si="16"/>
        <v>1784.2100000000003</v>
      </c>
      <c r="BE32" s="225">
        <f t="shared" ca="1" si="17"/>
        <v>50</v>
      </c>
      <c r="BF32" s="21">
        <f t="shared" ca="1" si="18"/>
        <v>1.0004081665319452E-2</v>
      </c>
      <c r="BG32" s="22">
        <f t="shared" ca="1" si="21"/>
        <v>14</v>
      </c>
      <c r="BH32" s="22">
        <f t="shared" ca="1" si="19"/>
        <v>50</v>
      </c>
      <c r="BJ32" s="225">
        <f t="shared" ca="1" si="22"/>
        <v>25.54000000000002</v>
      </c>
    </row>
    <row r="33" spans="1:62" ht="15.75">
      <c r="A33" s="146" t="s">
        <v>83</v>
      </c>
      <c r="B33" s="147">
        <v>600.09000000000026</v>
      </c>
      <c r="C33" s="148" t="s">
        <v>0</v>
      </c>
      <c r="D33" s="149">
        <f>'01'!B280</f>
        <v>10</v>
      </c>
      <c r="E33" s="150">
        <f>SUM('01'!D280:F280)</f>
        <v>0</v>
      </c>
      <c r="F33" s="160">
        <f t="shared" si="2"/>
        <v>610.09000000000026</v>
      </c>
      <c r="G33" s="148" t="s">
        <v>1</v>
      </c>
      <c r="H33" s="149">
        <f>'02'!B280</f>
        <v>0</v>
      </c>
      <c r="I33" s="150">
        <f>SUM('02'!D280:F280)</f>
        <v>0</v>
      </c>
      <c r="J33" s="160">
        <f t="shared" si="3"/>
        <v>610.09000000000026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1304.4300000000007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1343.9800000000007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1301.0900000000006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1159.5900000000006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1209.5900000000006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1278.5900000000006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1283.5900000000006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1321.5900000000006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1381.5900000000006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1421.5900000000006</v>
      </c>
      <c r="AZ33" s="152">
        <f t="shared" si="23"/>
        <v>3760.4399999999996</v>
      </c>
      <c r="BA33" s="21">
        <f t="shared" si="15"/>
        <v>8.6083406892459566E-2</v>
      </c>
      <c r="BB33" s="22">
        <f t="shared" si="20"/>
        <v>4</v>
      </c>
      <c r="BC33" s="22">
        <f t="shared" ca="1" si="16"/>
        <v>3760.4399999999996</v>
      </c>
      <c r="BE33" s="224">
        <f t="shared" ca="1" si="17"/>
        <v>10</v>
      </c>
      <c r="BF33" s="21">
        <f t="shared" ca="1" si="18"/>
        <v>2.0008163330638906E-3</v>
      </c>
      <c r="BG33" s="22">
        <f t="shared" ca="1" si="21"/>
        <v>19</v>
      </c>
      <c r="BH33" s="22">
        <f t="shared" ca="1" si="19"/>
        <v>10</v>
      </c>
      <c r="BJ33" s="224">
        <f t="shared" ca="1" si="22"/>
        <v>10</v>
      </c>
    </row>
    <row r="34" spans="1:62" ht="15.75">
      <c r="A34" s="153" t="s">
        <v>22</v>
      </c>
      <c r="B34" s="154">
        <v>14.829999999999814</v>
      </c>
      <c r="C34" s="143" t="s">
        <v>0</v>
      </c>
      <c r="D34" s="155">
        <f>'01'!B300</f>
        <v>215.01999999999998</v>
      </c>
      <c r="E34" s="155">
        <f>SUM('01'!D300:F300)</f>
        <v>192.54</v>
      </c>
      <c r="F34" s="161">
        <f t="shared" si="2"/>
        <v>37.309999999999803</v>
      </c>
      <c r="G34" s="143" t="s">
        <v>1</v>
      </c>
      <c r="H34" s="155">
        <f>'02'!B300</f>
        <v>110</v>
      </c>
      <c r="I34" s="155">
        <f>SUM('02'!D300:F300)</f>
        <v>0</v>
      </c>
      <c r="J34" s="161">
        <f t="shared" si="3"/>
        <v>147.3099999999998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237.3099999999998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283.30999999999983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47.669999999999789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147.66999999999973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54.409999999999741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130.11999999999975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149.11999999999975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193.21999999999974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283.21999999999974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378.21999999999974</v>
      </c>
      <c r="AZ34" s="152">
        <f t="shared" si="23"/>
        <v>1154.0400000000002</v>
      </c>
      <c r="BA34" s="21">
        <f t="shared" si="15"/>
        <v>2.6418103969262658E-2</v>
      </c>
      <c r="BB34" s="22">
        <f t="shared" si="20"/>
        <v>11</v>
      </c>
      <c r="BC34" s="22">
        <f t="shared" ca="1" si="16"/>
        <v>1154.0400000000002</v>
      </c>
      <c r="BE34" s="225">
        <f t="shared" ca="1" si="17"/>
        <v>215.01999999999998</v>
      </c>
      <c r="BF34" s="21">
        <f t="shared" ca="1" si="18"/>
        <v>4.3021552793539766E-2</v>
      </c>
      <c r="BG34" s="22">
        <f t="shared" ca="1" si="21"/>
        <v>6</v>
      </c>
      <c r="BH34" s="22">
        <f t="shared" ca="1" si="19"/>
        <v>215.01999999999998</v>
      </c>
      <c r="BJ34" s="225">
        <f t="shared" ca="1" si="22"/>
        <v>22.47999999999999</v>
      </c>
    </row>
    <row r="35" spans="1:62" ht="16.5" thickBot="1">
      <c r="A35" s="183" t="s">
        <v>84</v>
      </c>
      <c r="B35" s="184">
        <v>1581.3600000000006</v>
      </c>
      <c r="C35" s="185" t="s">
        <v>0</v>
      </c>
      <c r="D35" s="186">
        <f>'01'!B320</f>
        <v>889.43999999999994</v>
      </c>
      <c r="E35" s="186">
        <f>SUM('01'!D320:F320)</f>
        <v>421.77</v>
      </c>
      <c r="F35" s="187">
        <f t="shared" si="2"/>
        <v>2049.0300000000007</v>
      </c>
      <c r="G35" s="185" t="s">
        <v>1</v>
      </c>
      <c r="H35" s="186">
        <f>'02'!B320</f>
        <v>140</v>
      </c>
      <c r="I35" s="186">
        <f>SUM('02'!D320:F320)</f>
        <v>0</v>
      </c>
      <c r="J35" s="187">
        <f t="shared" si="3"/>
        <v>2189.0300000000007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2177.0500000000006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2149.6300000000006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2276.1200000000003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2253.5200000000004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2297.0500000000006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2339.8300000000008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2273.3200000000006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1955.6300000000006</v>
      </c>
      <c r="AQ35" s="185" t="s">
        <v>78</v>
      </c>
      <c r="AR35" s="186">
        <f>'11'!B320</f>
        <v>523.02</v>
      </c>
      <c r="AS35" s="186">
        <f>SUM('11'!D320:F320)</f>
        <v>469.05</v>
      </c>
      <c r="AT35" s="187">
        <f t="shared" si="12"/>
        <v>2009.6000000000006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2139.6000000000004</v>
      </c>
      <c r="AZ35" s="188">
        <f t="shared" si="23"/>
        <v>2559.6200000000003</v>
      </c>
      <c r="BA35" s="21">
        <f t="shared" si="15"/>
        <v>5.859442244792562E-2</v>
      </c>
      <c r="BB35" s="22">
        <f t="shared" si="20"/>
        <v>7</v>
      </c>
      <c r="BC35" s="22">
        <f t="shared" ca="1" si="16"/>
        <v>2559.6200000000003</v>
      </c>
      <c r="BE35" s="224">
        <f t="shared" ca="1" si="17"/>
        <v>889.43999999999994</v>
      </c>
      <c r="BF35" s="21">
        <f t="shared" ca="1" si="18"/>
        <v>0.17796060792803467</v>
      </c>
      <c r="BG35" s="22">
        <f t="shared" ca="1" si="21"/>
        <v>3</v>
      </c>
      <c r="BH35" s="22">
        <f t="shared" ca="1" si="19"/>
        <v>889.43999999999994</v>
      </c>
      <c r="BJ35" s="224">
        <f t="shared" ca="1" si="22"/>
        <v>467.67000000000007</v>
      </c>
    </row>
    <row r="36" spans="1:62" ht="15.75">
      <c r="A36" s="163" t="s">
        <v>430</v>
      </c>
      <c r="B36" s="142">
        <v>1087.4900000000002</v>
      </c>
      <c r="C36" s="143" t="s">
        <v>0</v>
      </c>
      <c r="D36" s="164">
        <f>'01'!B340</f>
        <v>90.02</v>
      </c>
      <c r="E36" s="164">
        <f>SUM('01'!D340:F340)</f>
        <v>15</v>
      </c>
      <c r="F36" s="156">
        <f t="shared" si="2"/>
        <v>1162.5100000000002</v>
      </c>
      <c r="G36" s="143" t="s">
        <v>1</v>
      </c>
      <c r="H36" s="164">
        <f>'02'!B340</f>
        <v>90</v>
      </c>
      <c r="I36" s="164">
        <f>SUM('02'!D340:F340)</f>
        <v>0</v>
      </c>
      <c r="J36" s="156">
        <f t="shared" si="3"/>
        <v>1252.5100000000002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1443.4200000000003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1533.4400000000003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1449.4400000000003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1457.4400000000003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1632.4400000000003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1294.8900000000003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1553.0100000000004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1638.0100000000004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2143.0100000000002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2233.0100000000002</v>
      </c>
      <c r="AZ36" s="182">
        <f t="shared" si="23"/>
        <v>1023.47</v>
      </c>
      <c r="BA36" s="21">
        <f t="shared" si="15"/>
        <v>2.3429115862033594E-2</v>
      </c>
      <c r="BB36" s="22">
        <f t="shared" si="20"/>
        <v>13</v>
      </c>
      <c r="BC36" s="22">
        <f t="shared" ca="1" si="16"/>
        <v>1023.47</v>
      </c>
      <c r="BE36" s="223">
        <f t="shared" ca="1" si="17"/>
        <v>90.02</v>
      </c>
      <c r="BF36" s="21">
        <f t="shared" ca="1" si="18"/>
        <v>1.801134863024114E-2</v>
      </c>
      <c r="BG36" s="22">
        <f t="shared" ca="1" si="21"/>
        <v>11</v>
      </c>
      <c r="BH36" s="22">
        <f t="shared" ca="1" si="19"/>
        <v>90.02</v>
      </c>
      <c r="BJ36" s="223">
        <f t="shared" ca="1" si="22"/>
        <v>75.019999999999982</v>
      </c>
    </row>
    <row r="37" spans="1:62" ht="15.75">
      <c r="A37" s="146" t="s">
        <v>799</v>
      </c>
      <c r="B37" s="147">
        <v>230.73</v>
      </c>
      <c r="C37" s="148" t="s">
        <v>0</v>
      </c>
      <c r="D37" s="165">
        <f>'01'!B360</f>
        <v>5</v>
      </c>
      <c r="E37" s="165">
        <f>SUM('01'!D360:F360)</f>
        <v>0</v>
      </c>
      <c r="F37" s="151">
        <f t="shared" si="2"/>
        <v>235.73</v>
      </c>
      <c r="G37" s="148" t="s">
        <v>1</v>
      </c>
      <c r="H37" s="165">
        <f>'02'!B360</f>
        <v>5</v>
      </c>
      <c r="I37" s="165">
        <f>SUM('02'!D360:F360)</f>
        <v>0</v>
      </c>
      <c r="J37" s="151">
        <f t="shared" si="3"/>
        <v>240.73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243.73000000000002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288.73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333.73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418.73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423.73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468.73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513.73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558.73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538.73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583.73</v>
      </c>
      <c r="AZ37" s="152">
        <f t="shared" si="23"/>
        <v>181.3</v>
      </c>
      <c r="BA37" s="21">
        <f t="shared" si="15"/>
        <v>4.1502913673939551E-3</v>
      </c>
      <c r="BB37" s="22">
        <f t="shared" si="20"/>
        <v>19</v>
      </c>
      <c r="BC37" s="22">
        <f t="shared" ca="1" si="16"/>
        <v>181.3</v>
      </c>
      <c r="BE37" s="224">
        <f t="shared" ca="1" si="17"/>
        <v>5</v>
      </c>
      <c r="BF37" s="21">
        <f t="shared" ca="1" si="18"/>
        <v>1.0004081665319453E-3</v>
      </c>
      <c r="BG37" s="22">
        <f t="shared" ca="1" si="21"/>
        <v>21</v>
      </c>
      <c r="BH37" s="22">
        <f t="shared" ca="1" si="19"/>
        <v>5</v>
      </c>
      <c r="BJ37" s="224">
        <f t="shared" ca="1" si="22"/>
        <v>5</v>
      </c>
    </row>
    <row r="38" spans="1:62" ht="15.75">
      <c r="A38" s="153" t="s">
        <v>23</v>
      </c>
      <c r="B38" s="154">
        <v>174.50000000000009</v>
      </c>
      <c r="C38" s="143" t="s">
        <v>0</v>
      </c>
      <c r="D38" s="166">
        <f>'01'!B380</f>
        <v>60</v>
      </c>
      <c r="E38" s="166">
        <f>SUM('01'!D380:F380)</f>
        <v>24.41</v>
      </c>
      <c r="F38" s="156">
        <f t="shared" si="2"/>
        <v>210.09000000000009</v>
      </c>
      <c r="G38" s="143" t="s">
        <v>1</v>
      </c>
      <c r="H38" s="166">
        <f>'02'!B380</f>
        <v>60</v>
      </c>
      <c r="I38" s="166">
        <f>SUM('02'!D380:F380)</f>
        <v>0</v>
      </c>
      <c r="J38" s="156">
        <f t="shared" si="3"/>
        <v>270.09000000000009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295.49000000000012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341.19000000000011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328.90000000000009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329.80000000000007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356.20000000000005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384.90000000000003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406.90000000000003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454.40000000000003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436.37000000000012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496.37000000000012</v>
      </c>
      <c r="AZ38" s="157">
        <f t="shared" si="23"/>
        <v>473.13</v>
      </c>
      <c r="BA38" s="21">
        <f t="shared" si="15"/>
        <v>1.0830818282708779E-2</v>
      </c>
      <c r="BB38" s="22">
        <f t="shared" si="20"/>
        <v>15</v>
      </c>
      <c r="BC38" s="22">
        <f t="shared" ca="1" si="16"/>
        <v>473.13</v>
      </c>
      <c r="BE38" s="225">
        <f t="shared" ca="1" si="17"/>
        <v>60</v>
      </c>
      <c r="BF38" s="21">
        <f t="shared" ca="1" si="18"/>
        <v>1.2004897998383342E-2</v>
      </c>
      <c r="BG38" s="22">
        <f t="shared" ca="1" si="21"/>
        <v>12</v>
      </c>
      <c r="BH38" s="22">
        <f t="shared" ca="1" si="19"/>
        <v>60</v>
      </c>
      <c r="BJ38" s="225">
        <f t="shared" ca="1" si="22"/>
        <v>35.590000000000003</v>
      </c>
    </row>
    <row r="39" spans="1:62" ht="15.75">
      <c r="A39" s="146" t="s">
        <v>24</v>
      </c>
      <c r="B39" s="147">
        <v>1499.2807879809902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1509.2807879809902</v>
      </c>
      <c r="G39" s="148" t="s">
        <v>1</v>
      </c>
      <c r="H39" s="165">
        <f>'02'!B400</f>
        <v>10</v>
      </c>
      <c r="I39" s="165">
        <f>SUM('02'!D400:F400)</f>
        <v>0</v>
      </c>
      <c r="J39" s="151">
        <f t="shared" si="3"/>
        <v>1519.2807879809902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299.28078798099023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1650.5407879809902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315.54078798099022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335.54078798099022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295.54078798099022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310.54078798099022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325.54078798099022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1758.5615759619805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1773.5615759619805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1783.5615759619805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10</v>
      </c>
      <c r="BF39" s="21">
        <f t="shared" ca="1" si="18"/>
        <v>2.0008163330638906E-3</v>
      </c>
      <c r="BG39" s="22">
        <f t="shared" ca="1" si="21"/>
        <v>19</v>
      </c>
      <c r="BH39" s="22">
        <f t="shared" ca="1" si="19"/>
        <v>10</v>
      </c>
      <c r="BJ39" s="224">
        <f t="shared" ca="1" si="22"/>
        <v>10</v>
      </c>
    </row>
    <row r="40" spans="1:62" ht="15.75">
      <c r="A40" s="153" t="s">
        <v>50</v>
      </c>
      <c r="B40" s="154">
        <v>7334.3661040380202</v>
      </c>
      <c r="C40" s="143" t="s">
        <v>0</v>
      </c>
      <c r="D40" s="166">
        <f>'01'!B420</f>
        <v>31.749999999999996</v>
      </c>
      <c r="E40" s="166">
        <f>SUM('01'!D420:F420)</f>
        <v>14.45</v>
      </c>
      <c r="F40" s="156">
        <f t="shared" si="2"/>
        <v>7351.6661040380204</v>
      </c>
      <c r="G40" s="143" t="s">
        <v>1</v>
      </c>
      <c r="H40" s="166">
        <f>'02'!B420</f>
        <v>31.12</v>
      </c>
      <c r="I40" s="166">
        <f>SUM('02'!D420:F420)</f>
        <v>0</v>
      </c>
      <c r="J40" s="156">
        <f t="shared" si="3"/>
        <v>7382.7861040380203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6446.3961040380209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7546.276104038021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6550.4161040380213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6597.4361040380218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6495.3961040380218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6542.2861040380221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6589.196104038022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7897.2322080760414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7987.7622080760411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8037.7622080760411</v>
      </c>
      <c r="AZ40" s="157">
        <f t="shared" si="23"/>
        <v>149.18000000000004</v>
      </c>
      <c r="BA40" s="21">
        <f t="shared" si="15"/>
        <v>3.4150053292213473E-3</v>
      </c>
      <c r="BB40" s="22">
        <f t="shared" si="20"/>
        <v>20</v>
      </c>
      <c r="BC40" s="22">
        <f t="shared" ca="1" si="16"/>
        <v>149.18000000000004</v>
      </c>
      <c r="BE40" s="225">
        <f t="shared" ca="1" si="17"/>
        <v>31.749999999999996</v>
      </c>
      <c r="BF40" s="21">
        <f t="shared" ca="1" si="18"/>
        <v>6.3525918574778512E-3</v>
      </c>
      <c r="BG40" s="22">
        <f t="shared" ca="1" si="21"/>
        <v>17</v>
      </c>
      <c r="BH40" s="22">
        <f t="shared" ca="1" si="19"/>
        <v>31.749999999999996</v>
      </c>
      <c r="BJ40" s="225">
        <f t="shared" ca="1" si="22"/>
        <v>17.300000000000182</v>
      </c>
    </row>
    <row r="41" spans="1:62" ht="15.75">
      <c r="A41" s="146" t="s">
        <v>25</v>
      </c>
      <c r="B41" s="147">
        <v>8575.1200000000026</v>
      </c>
      <c r="C41" s="148" t="s">
        <v>0</v>
      </c>
      <c r="D41" s="165">
        <f>'01'!B440</f>
        <v>-1309.3800000000001</v>
      </c>
      <c r="E41" s="165">
        <f>SUM('01'!D440:F440)</f>
        <v>0</v>
      </c>
      <c r="F41" s="151">
        <f t="shared" si="2"/>
        <v>7265.7400000000025</v>
      </c>
      <c r="G41" s="148" t="s">
        <v>1</v>
      </c>
      <c r="H41" s="165">
        <f>'02'!B440</f>
        <v>-4300</v>
      </c>
      <c r="I41" s="165">
        <f>SUM('02'!D440:F440)</f>
        <v>0</v>
      </c>
      <c r="J41" s="151">
        <f t="shared" si="3"/>
        <v>2965.7400000000025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2846.5800000000008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2846.5800000000022</v>
      </c>
      <c r="S41" s="148" t="s">
        <v>69</v>
      </c>
      <c r="T41" s="165">
        <f>'05'!B440</f>
        <v>0.28000000000156433</v>
      </c>
      <c r="U41" s="165">
        <f>SUM('05'!D440:F440)</f>
        <v>0</v>
      </c>
      <c r="V41" s="151">
        <f t="shared" si="6"/>
        <v>2846.8600000000038</v>
      </c>
      <c r="W41" s="148" t="s">
        <v>68</v>
      </c>
      <c r="X41" s="165">
        <f>'06'!B440</f>
        <v>-0.82999999999901775</v>
      </c>
      <c r="Y41" s="165">
        <f>SUM('06'!D440:F440)</f>
        <v>0</v>
      </c>
      <c r="Z41" s="151">
        <f t="shared" si="7"/>
        <v>2846.0300000000047</v>
      </c>
      <c r="AA41" s="148" t="s">
        <v>70</v>
      </c>
      <c r="AB41" s="165">
        <f>'07'!B440</f>
        <v>465.44999999999982</v>
      </c>
      <c r="AC41" s="165">
        <f>SUM('07'!D440:F440)</f>
        <v>0</v>
      </c>
      <c r="AD41" s="151">
        <f t="shared" si="8"/>
        <v>3311.4800000000046</v>
      </c>
      <c r="AE41" s="148" t="s">
        <v>71</v>
      </c>
      <c r="AF41" s="165">
        <f>'08'!B440</f>
        <v>-300.89999999999918</v>
      </c>
      <c r="AG41" s="165">
        <f>SUM('08'!D440:F440)</f>
        <v>0</v>
      </c>
      <c r="AH41" s="151">
        <f t="shared" si="9"/>
        <v>3010.5800000000054</v>
      </c>
      <c r="AI41" s="148" t="s">
        <v>74</v>
      </c>
      <c r="AJ41" s="165">
        <f>'09'!B440</f>
        <v>0</v>
      </c>
      <c r="AK41" s="165">
        <f>SUM('09'!D440:F440)</f>
        <v>0</v>
      </c>
      <c r="AL41" s="151">
        <f t="shared" si="10"/>
        <v>3010.5800000000054</v>
      </c>
      <c r="AM41" s="148" t="s">
        <v>75</v>
      </c>
      <c r="AN41" s="165">
        <f>'10'!B440</f>
        <v>-37.460000000000036</v>
      </c>
      <c r="AO41" s="165">
        <f>SUM('10'!D440:F440)</f>
        <v>0</v>
      </c>
      <c r="AP41" s="151">
        <f t="shared" si="11"/>
        <v>2973.1200000000053</v>
      </c>
      <c r="AQ41" s="148" t="s">
        <v>78</v>
      </c>
      <c r="AR41" s="165">
        <f>'11'!B440</f>
        <v>-363.34000000000015</v>
      </c>
      <c r="AS41" s="165">
        <f>SUM('11'!D440:F440)</f>
        <v>0</v>
      </c>
      <c r="AT41" s="151">
        <f t="shared" si="12"/>
        <v>2609.7800000000052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-1290.2199999999948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-1309.3800000000001</v>
      </c>
      <c r="BF41" s="21">
        <f t="shared" ca="1" si="18"/>
        <v>-0.26198288901871969</v>
      </c>
      <c r="BG41" s="22">
        <f t="shared" ca="1" si="21"/>
        <v>26</v>
      </c>
      <c r="BH41" s="22">
        <f t="shared" ca="1" si="19"/>
        <v>-1309.3800000000001</v>
      </c>
      <c r="BJ41" s="224">
        <f t="shared" ca="1" si="22"/>
        <v>-1309.3800000000001</v>
      </c>
    </row>
    <row r="42" spans="1:62" ht="15" customHeight="1">
      <c r="A42" s="153" t="s">
        <v>152</v>
      </c>
      <c r="B42" s="154">
        <v>1802.0200000000004</v>
      </c>
      <c r="C42" s="143" t="s">
        <v>0</v>
      </c>
      <c r="D42" s="166">
        <f>'01'!B460</f>
        <v>0</v>
      </c>
      <c r="E42" s="166">
        <f>SUM('01'!D460:F460)</f>
        <v>1.98</v>
      </c>
      <c r="F42" s="156">
        <f t="shared" si="2"/>
        <v>1800.0400000000004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1800.0400000000004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5884.24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1800.04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5844.3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5844.3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5844.3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5844.3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5844.3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1800.04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1800.04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1800.04</v>
      </c>
      <c r="AZ42" s="157">
        <f t="shared" si="23"/>
        <v>1.98</v>
      </c>
      <c r="BA42" s="21">
        <f t="shared" si="15"/>
        <v>4.5325851668174458E-5</v>
      </c>
      <c r="BB42" s="22">
        <f t="shared" si="20"/>
        <v>22</v>
      </c>
      <c r="BC42" s="22">
        <f t="shared" ca="1" si="16"/>
        <v>1.98</v>
      </c>
      <c r="BE42" s="225">
        <f t="shared" ca="1" si="17"/>
        <v>0</v>
      </c>
      <c r="BF42" s="21">
        <f t="shared" ca="1" si="18"/>
        <v>0</v>
      </c>
      <c r="BG42" s="22">
        <f t="shared" ca="1" si="21"/>
        <v>23</v>
      </c>
      <c r="BH42" s="22">
        <f t="shared" ca="1" si="19"/>
        <v>0</v>
      </c>
      <c r="BJ42" s="225">
        <f t="shared" ca="1" si="22"/>
        <v>-1.9800000000000182</v>
      </c>
    </row>
    <row r="43" spans="1:62" ht="15.75">
      <c r="A43" s="162" t="s">
        <v>27</v>
      </c>
      <c r="B43" s="158">
        <v>0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0</v>
      </c>
      <c r="G43" s="148" t="s">
        <v>1</v>
      </c>
      <c r="H43" s="149">
        <f>'02'!B480</f>
        <v>0</v>
      </c>
      <c r="I43" s="149">
        <f>SUM('02'!D480:F480)</f>
        <v>0</v>
      </c>
      <c r="J43" s="151">
        <f t="shared" si="3"/>
        <v>0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-405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218.19000000000005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-181.80999999999995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-171.80999999999995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-106.80999999999995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-591.80999999999995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-526.80999999999995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673.69919055649234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760.04919055649236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904.43919055649235</v>
      </c>
      <c r="AZ43" s="152">
        <f t="shared" si="23"/>
        <v>0</v>
      </c>
      <c r="BA43" s="21">
        <f t="shared" si="15"/>
        <v>0</v>
      </c>
      <c r="BB43" s="22">
        <f t="shared" si="20"/>
        <v>23</v>
      </c>
      <c r="BC43" s="22">
        <f t="shared" ca="1" si="16"/>
        <v>0</v>
      </c>
      <c r="BE43" s="224">
        <f t="shared" ca="1" si="17"/>
        <v>0</v>
      </c>
      <c r="BF43" s="21">
        <f t="shared" ca="1" si="18"/>
        <v>0</v>
      </c>
      <c r="BG43" s="22">
        <f t="shared" ca="1" si="21"/>
        <v>23</v>
      </c>
      <c r="BH43" s="22">
        <f t="shared" ca="1" si="19"/>
        <v>0</v>
      </c>
      <c r="BJ43" s="224">
        <f t="shared" ca="1" si="22"/>
        <v>0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23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30.930000000000035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35.930000000000035</v>
      </c>
      <c r="G45" s="173" t="s">
        <v>1</v>
      </c>
      <c r="H45" s="174">
        <f>'02'!B520</f>
        <v>5</v>
      </c>
      <c r="I45" s="175">
        <f>SUM('02'!D520:F520)</f>
        <v>0</v>
      </c>
      <c r="J45" s="176">
        <f t="shared" si="3"/>
        <v>40.930000000000035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14.990000000000034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14.990000000000034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14.990000000000034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14.990000000000034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14.990000000000034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11.560000000000038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6.5600000000000378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-75.419999999999959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-85.419999999999959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-80.419999999999959</v>
      </c>
      <c r="AZ45" s="177">
        <f t="shared" si="23"/>
        <v>146.35000000000002</v>
      </c>
      <c r="BA45" s="21">
        <f t="shared" si="15"/>
        <v>3.3502214099178453E-3</v>
      </c>
      <c r="BB45" s="22">
        <f t="shared" si="20"/>
        <v>21</v>
      </c>
      <c r="BC45" s="22">
        <f t="shared" ca="1" si="16"/>
        <v>146.35000000000002</v>
      </c>
      <c r="BE45" s="226">
        <f t="shared" ca="1" si="17"/>
        <v>5</v>
      </c>
      <c r="BF45" s="21">
        <f t="shared" ca="1" si="18"/>
        <v>1.0004081665319453E-3</v>
      </c>
      <c r="BG45" s="22">
        <f t="shared" ca="1" si="21"/>
        <v>21</v>
      </c>
      <c r="BH45" s="22">
        <f t="shared" ca="1" si="19"/>
        <v>5</v>
      </c>
      <c r="BJ45" s="226">
        <f t="shared" ca="1" si="22"/>
        <v>5</v>
      </c>
    </row>
    <row r="46" spans="1:62" ht="17.25" thickTop="1" thickBot="1">
      <c r="A46" s="216" t="s">
        <v>5</v>
      </c>
      <c r="B46" s="217">
        <f>SUM(B20:B45)</f>
        <v>33578.99768</v>
      </c>
      <c r="C46" s="218"/>
      <c r="D46" s="219">
        <f>SUM(D20:D45)</f>
        <v>4997.9599999999991</v>
      </c>
      <c r="E46" s="219">
        <f>SUM(E20:E45)</f>
        <v>4322.3599999999997</v>
      </c>
      <c r="F46" s="220">
        <f>SUM(F20:F45)</f>
        <v>34254.597679999999</v>
      </c>
      <c r="G46" s="218"/>
      <c r="H46" s="219">
        <f>SUM(H20:H45)</f>
        <v>29.369999999999891</v>
      </c>
      <c r="I46" s="219">
        <f>SUM(I20:I45)</f>
        <v>390.29000000000008</v>
      </c>
      <c r="J46" s="220">
        <f>SUM(J20:J45)</f>
        <v>33893.677680000001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34762.677680000001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35482.007680000002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37332.99768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37601.877679999998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37485.767680000004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37577.177680000008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38408.387680000014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38422.295360000011</v>
      </c>
      <c r="AQ46" s="218"/>
      <c r="AR46" s="219">
        <f>SUM(AR20:AR45)</f>
        <v>4500.3999999999996</v>
      </c>
      <c r="AS46" s="219">
        <f>SUM(AS20:AS45)</f>
        <v>2837.52</v>
      </c>
      <c r="AT46" s="220">
        <f>SUM(AT20:AT45)</f>
        <v>40085.175360000016</v>
      </c>
      <c r="AU46" s="218"/>
      <c r="AV46" s="219">
        <f>SUM(AV20:AV45)</f>
        <v>-3.4106051316484809E-13</v>
      </c>
      <c r="AW46" s="219">
        <f>SUM(AW20:AW45)</f>
        <v>24.87</v>
      </c>
      <c r="AX46" s="220">
        <f>SUM(AX20:AX45)</f>
        <v>40060.305360000006</v>
      </c>
      <c r="AZ46" s="227">
        <f>SUM(AZ20:AZ45)</f>
        <v>43683.680000000015</v>
      </c>
      <c r="BA46" s="1"/>
      <c r="BB46" s="1"/>
      <c r="BC46" s="124">
        <f ca="1">SUM(BC20:BC45)</f>
        <v>43683.680000000015</v>
      </c>
      <c r="BE46" s="227">
        <f ca="1">SUM(BE20:BE45)</f>
        <v>4997.9599999999991</v>
      </c>
      <c r="BF46" s="1"/>
      <c r="BG46" s="1"/>
      <c r="BH46" s="124">
        <f ca="1">SUM(BH20:BH45)</f>
        <v>4997.9599999999991</v>
      </c>
      <c r="BJ46" s="227">
        <f ca="1">SUM(BJ20:BJ45)</f>
        <v>675.60000000000036</v>
      </c>
    </row>
    <row r="47" spans="1:62" s="29" customFormat="1" ht="12.75">
      <c r="A47" s="207" t="s">
        <v>158</v>
      </c>
      <c r="B47" s="125"/>
      <c r="C47" s="125">
        <f>C5-B46</f>
        <v>2.3199999995995313E-3</v>
      </c>
      <c r="D47" s="125">
        <f>C17-D46</f>
        <v>2.6100000000005821</v>
      </c>
      <c r="E47" s="125">
        <f>C17-E46</f>
        <v>678.21</v>
      </c>
      <c r="F47" s="125"/>
      <c r="G47" s="125">
        <f>G5-F46</f>
        <v>467.26232000000164</v>
      </c>
      <c r="H47" s="125">
        <f>G17-H46</f>
        <v>-29.369999999999891</v>
      </c>
      <c r="I47" s="125">
        <f>G17-I46</f>
        <v>-390.29000000000008</v>
      </c>
      <c r="J47" s="125"/>
      <c r="K47" s="125">
        <f>K5-J46</f>
        <v>-8318.9176799999987</v>
      </c>
      <c r="L47" s="125">
        <f>K17-L46</f>
        <v>0</v>
      </c>
      <c r="M47" s="125">
        <f>K17-M46</f>
        <v>868.99999999999818</v>
      </c>
      <c r="N47" s="125"/>
      <c r="O47" s="125">
        <f>O5-N46</f>
        <v>-8318.9176800000023</v>
      </c>
      <c r="P47" s="125">
        <f>O17-P46</f>
        <v>0</v>
      </c>
      <c r="Q47" s="125">
        <f>O17-Q46</f>
        <v>719.33000000000084</v>
      </c>
      <c r="R47" s="125"/>
      <c r="S47" s="125">
        <f>S5-R46</f>
        <v>-8318.9176799999987</v>
      </c>
      <c r="T47" s="125">
        <f>S17-T46</f>
        <v>0</v>
      </c>
      <c r="U47" s="125">
        <f>S17-U46</f>
        <v>1850.9900000000016</v>
      </c>
      <c r="V47" s="125"/>
      <c r="W47" s="125">
        <f>W5-V46</f>
        <v>-8318.9176800000023</v>
      </c>
      <c r="X47" s="125">
        <f>W17-X46</f>
        <v>0</v>
      </c>
      <c r="Y47" s="125">
        <f>W17-Y46</f>
        <v>268.88000000000056</v>
      </c>
      <c r="Z47" s="125"/>
      <c r="AA47" s="125">
        <f>AA5-Z46</f>
        <v>-8318.9176799999987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-8318.9176800000023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-8318.9176800000059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-8318.9176800000132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-8318.9153600000063</v>
      </c>
      <c r="AR47" s="125">
        <f>AQ17-AR46</f>
        <v>0</v>
      </c>
      <c r="AS47" s="125">
        <f>AQ17-AS46</f>
        <v>1662.8800000000006</v>
      </c>
      <c r="AT47" s="140"/>
      <c r="AU47" s="125">
        <f>AU5-AT46</f>
        <v>-9981.795360000011</v>
      </c>
      <c r="AV47" s="125">
        <f>AU17-AV46</f>
        <v>3.4106051316484809E-13</v>
      </c>
      <c r="AW47" s="125">
        <f>AU17-AW46</f>
        <v>-24.87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190</v>
      </c>
      <c r="AW48" s="5"/>
      <c r="AX48" s="5"/>
      <c r="AZ48" s="112">
        <f>4350*12</f>
        <v>52200</v>
      </c>
      <c r="BA48" s="112"/>
      <c r="BB48" s="1" t="s">
        <v>191</v>
      </c>
      <c r="BC48" s="112">
        <f ca="1">12*BC46</f>
        <v>524204.16000000015</v>
      </c>
    </row>
    <row r="49" spans="2:62">
      <c r="C49" s="38"/>
      <c r="AZ49" s="38"/>
      <c r="BE49" s="111"/>
      <c r="BJ49" s="111"/>
    </row>
    <row r="50" spans="2:62"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Z50" s="119"/>
    </row>
    <row r="51" spans="2:62" ht="15.75" thickBot="1"/>
    <row r="52" spans="2:62">
      <c r="C52" s="348" t="s">
        <v>147</v>
      </c>
      <c r="D52" s="349"/>
      <c r="E52" s="349"/>
      <c r="F52" s="350"/>
      <c r="G52" s="348" t="s">
        <v>147</v>
      </c>
      <c r="H52" s="349"/>
      <c r="I52" s="349"/>
      <c r="J52" s="350"/>
      <c r="K52" s="348" t="s">
        <v>147</v>
      </c>
      <c r="L52" s="349"/>
      <c r="M52" s="349"/>
      <c r="N52" s="350"/>
      <c r="O52" s="348" t="s">
        <v>147</v>
      </c>
      <c r="P52" s="349"/>
      <c r="Q52" s="349"/>
      <c r="R52" s="350"/>
      <c r="S52" s="348" t="s">
        <v>147</v>
      </c>
      <c r="T52" s="349"/>
      <c r="U52" s="349"/>
      <c r="V52" s="350"/>
      <c r="W52" s="348" t="s">
        <v>147</v>
      </c>
      <c r="X52" s="349"/>
      <c r="Y52" s="349"/>
      <c r="Z52" s="350"/>
      <c r="AA52" s="348" t="s">
        <v>147</v>
      </c>
      <c r="AB52" s="349"/>
      <c r="AC52" s="349"/>
      <c r="AD52" s="350"/>
      <c r="AE52" s="348" t="s">
        <v>147</v>
      </c>
      <c r="AF52" s="349"/>
      <c r="AG52" s="349"/>
      <c r="AH52" s="350"/>
      <c r="AI52" s="348" t="s">
        <v>147</v>
      </c>
      <c r="AJ52" s="349"/>
      <c r="AK52" s="349"/>
      <c r="AL52" s="350"/>
      <c r="AM52" s="348" t="s">
        <v>147</v>
      </c>
      <c r="AN52" s="349"/>
      <c r="AO52" s="349"/>
      <c r="AP52" s="350"/>
      <c r="AQ52" s="348" t="s">
        <v>147</v>
      </c>
      <c r="AR52" s="349"/>
      <c r="AS52" s="349"/>
      <c r="AT52" s="350"/>
      <c r="AU52" s="348" t="s">
        <v>147</v>
      </c>
      <c r="AV52" s="349"/>
      <c r="AW52" s="349"/>
      <c r="AX52" s="350"/>
    </row>
    <row r="53" spans="2:62" ht="15.75" thickBot="1">
      <c r="C53" s="93" t="s">
        <v>148</v>
      </c>
      <c r="D53" s="351" t="s">
        <v>29</v>
      </c>
      <c r="E53" s="352"/>
      <c r="F53" s="94" t="s">
        <v>86</v>
      </c>
      <c r="G53" s="93" t="s">
        <v>148</v>
      </c>
      <c r="H53" s="351" t="s">
        <v>29</v>
      </c>
      <c r="I53" s="352"/>
      <c r="J53" s="94" t="s">
        <v>86</v>
      </c>
      <c r="K53" s="93" t="s">
        <v>148</v>
      </c>
      <c r="L53" s="351" t="s">
        <v>29</v>
      </c>
      <c r="M53" s="352"/>
      <c r="N53" s="94" t="s">
        <v>86</v>
      </c>
      <c r="O53" s="93" t="s">
        <v>148</v>
      </c>
      <c r="P53" s="351" t="s">
        <v>29</v>
      </c>
      <c r="Q53" s="352"/>
      <c r="R53" s="94" t="s">
        <v>86</v>
      </c>
      <c r="S53" s="93" t="s">
        <v>148</v>
      </c>
      <c r="T53" s="351" t="s">
        <v>29</v>
      </c>
      <c r="U53" s="352"/>
      <c r="V53" s="94" t="s">
        <v>86</v>
      </c>
      <c r="W53" s="93" t="s">
        <v>148</v>
      </c>
      <c r="X53" s="351" t="s">
        <v>29</v>
      </c>
      <c r="Y53" s="352"/>
      <c r="Z53" s="94" t="s">
        <v>86</v>
      </c>
      <c r="AA53" s="93" t="s">
        <v>148</v>
      </c>
      <c r="AB53" s="351" t="s">
        <v>29</v>
      </c>
      <c r="AC53" s="352"/>
      <c r="AD53" s="94" t="s">
        <v>86</v>
      </c>
      <c r="AE53" s="93" t="s">
        <v>148</v>
      </c>
      <c r="AF53" s="351" t="s">
        <v>29</v>
      </c>
      <c r="AG53" s="352"/>
      <c r="AH53" s="94" t="s">
        <v>86</v>
      </c>
      <c r="AI53" s="93" t="s">
        <v>148</v>
      </c>
      <c r="AJ53" s="351" t="s">
        <v>29</v>
      </c>
      <c r="AK53" s="352"/>
      <c r="AL53" s="94" t="s">
        <v>86</v>
      </c>
      <c r="AM53" s="93" t="s">
        <v>148</v>
      </c>
      <c r="AN53" s="351" t="s">
        <v>29</v>
      </c>
      <c r="AO53" s="352"/>
      <c r="AP53" s="94" t="s">
        <v>86</v>
      </c>
      <c r="AQ53" s="93" t="s">
        <v>148</v>
      </c>
      <c r="AR53" s="351" t="s">
        <v>29</v>
      </c>
      <c r="AS53" s="352"/>
      <c r="AT53" s="94" t="s">
        <v>86</v>
      </c>
      <c r="AU53" s="93" t="s">
        <v>148</v>
      </c>
      <c r="AV53" s="351" t="s">
        <v>29</v>
      </c>
      <c r="AW53" s="352"/>
      <c r="AX53" s="94" t="s">
        <v>86</v>
      </c>
    </row>
    <row r="54" spans="2:62">
      <c r="C54" s="95">
        <v>43832</v>
      </c>
      <c r="D54" s="353" t="s">
        <v>842</v>
      </c>
      <c r="E54" s="354"/>
      <c r="F54" s="98"/>
      <c r="G54" s="95">
        <v>43862</v>
      </c>
      <c r="H54" s="353" t="s">
        <v>872</v>
      </c>
      <c r="I54" s="354"/>
      <c r="J54" s="100">
        <v>1200</v>
      </c>
      <c r="K54" s="95"/>
      <c r="L54" s="369"/>
      <c r="M54" s="370"/>
      <c r="N54" s="100"/>
      <c r="O54" s="95"/>
      <c r="P54" s="371"/>
      <c r="Q54" s="372"/>
      <c r="R54" s="102"/>
      <c r="S54" s="95"/>
      <c r="T54" s="369"/>
      <c r="U54" s="370"/>
      <c r="V54" s="103"/>
      <c r="W54" s="95"/>
      <c r="X54" s="369"/>
      <c r="Y54" s="370"/>
      <c r="Z54" s="104"/>
      <c r="AA54" s="95"/>
      <c r="AB54" s="359"/>
      <c r="AC54" s="360"/>
      <c r="AD54" s="239"/>
      <c r="AE54" s="95"/>
      <c r="AF54" s="359"/>
      <c r="AG54" s="360"/>
      <c r="AH54" s="239"/>
      <c r="AI54" s="95"/>
      <c r="AJ54" s="359"/>
      <c r="AK54" s="360"/>
      <c r="AL54" s="239"/>
      <c r="AM54" s="95"/>
      <c r="AN54" s="359"/>
      <c r="AO54" s="360"/>
      <c r="AP54" s="239"/>
      <c r="AQ54" s="95"/>
      <c r="AR54" s="359"/>
      <c r="AS54" s="360"/>
      <c r="AT54" s="239"/>
      <c r="AU54" s="95"/>
      <c r="AV54" s="353"/>
      <c r="AW54" s="354"/>
      <c r="AX54" s="100"/>
    </row>
    <row r="55" spans="2:62">
      <c r="C55" s="96"/>
      <c r="D55" s="344"/>
      <c r="E55" s="345"/>
      <c r="F55" s="98"/>
      <c r="G55" s="96">
        <v>43862</v>
      </c>
      <c r="H55" s="344" t="s">
        <v>873</v>
      </c>
      <c r="I55" s="345"/>
      <c r="J55" s="100"/>
      <c r="K55" s="96"/>
      <c r="L55" s="344"/>
      <c r="M55" s="345"/>
      <c r="N55" s="100"/>
      <c r="O55" s="96"/>
      <c r="P55" s="344"/>
      <c r="Q55" s="345"/>
      <c r="R55" s="100"/>
      <c r="S55" s="96"/>
      <c r="T55" s="344"/>
      <c r="U55" s="345"/>
      <c r="V55" s="100"/>
      <c r="W55" s="96"/>
      <c r="X55" s="344"/>
      <c r="Y55" s="345"/>
      <c r="Z55" s="100"/>
      <c r="AA55" s="96"/>
      <c r="AB55" s="344"/>
      <c r="AC55" s="345"/>
      <c r="AD55" s="100"/>
      <c r="AE55" s="96"/>
      <c r="AF55" s="344"/>
      <c r="AG55" s="345"/>
      <c r="AH55" s="100"/>
      <c r="AI55" s="96"/>
      <c r="AJ55" s="344"/>
      <c r="AK55" s="345"/>
      <c r="AL55" s="100"/>
      <c r="AM55" s="96"/>
      <c r="AN55" s="361"/>
      <c r="AO55" s="362"/>
      <c r="AP55" s="100"/>
      <c r="AQ55" s="96"/>
      <c r="AR55" s="344"/>
      <c r="AS55" s="345"/>
      <c r="AT55" s="100"/>
      <c r="AU55" s="96"/>
      <c r="AV55" s="344"/>
      <c r="AW55" s="345"/>
      <c r="AX55" s="100"/>
    </row>
    <row r="56" spans="2:62">
      <c r="B56" s="119"/>
      <c r="C56" s="96">
        <v>43860</v>
      </c>
      <c r="D56" s="344" t="s">
        <v>151</v>
      </c>
      <c r="E56" s="345"/>
      <c r="F56" s="98"/>
      <c r="G56" s="96"/>
      <c r="H56" s="344"/>
      <c r="I56" s="345"/>
      <c r="J56" s="100"/>
      <c r="K56" s="96"/>
      <c r="L56" s="344"/>
      <c r="M56" s="345"/>
      <c r="N56" s="100"/>
      <c r="O56" s="96"/>
      <c r="P56" s="359"/>
      <c r="Q56" s="360"/>
      <c r="R56" s="102"/>
      <c r="S56" s="96"/>
      <c r="T56" s="344"/>
      <c r="U56" s="345"/>
      <c r="V56" s="100"/>
      <c r="W56" s="96"/>
      <c r="X56" s="344"/>
      <c r="Y56" s="345"/>
      <c r="Z56" s="100"/>
      <c r="AA56" s="96"/>
      <c r="AB56" s="344"/>
      <c r="AC56" s="345"/>
      <c r="AD56" s="100"/>
      <c r="AE56" s="96"/>
      <c r="AF56" s="344"/>
      <c r="AG56" s="345"/>
      <c r="AH56" s="100"/>
      <c r="AI56" s="96"/>
      <c r="AJ56" s="361"/>
      <c r="AK56" s="362"/>
      <c r="AL56" s="100"/>
      <c r="AM56" s="96"/>
      <c r="AN56" s="361"/>
      <c r="AO56" s="362"/>
      <c r="AP56" s="100"/>
      <c r="AQ56" s="96"/>
      <c r="AR56" s="344"/>
      <c r="AS56" s="345"/>
      <c r="AT56" s="100"/>
      <c r="AU56" s="96"/>
      <c r="AV56" s="344"/>
      <c r="AW56" s="345"/>
      <c r="AX56" s="100"/>
    </row>
    <row r="57" spans="2:62">
      <c r="C57" s="96"/>
      <c r="D57" s="344"/>
      <c r="E57" s="345"/>
      <c r="F57" s="98"/>
      <c r="G57" s="96"/>
      <c r="H57" s="344"/>
      <c r="I57" s="345"/>
      <c r="J57" s="100"/>
      <c r="K57" s="96"/>
      <c r="L57" s="344"/>
      <c r="M57" s="345"/>
      <c r="N57" s="100"/>
      <c r="O57" s="96"/>
      <c r="P57" s="373"/>
      <c r="Q57" s="374"/>
      <c r="R57" s="100"/>
      <c r="S57" s="96"/>
      <c r="T57" s="344"/>
      <c r="U57" s="345"/>
      <c r="V57" s="100"/>
      <c r="W57" s="96"/>
      <c r="X57" s="344"/>
      <c r="Y57" s="345"/>
      <c r="Z57" s="100"/>
      <c r="AA57" s="96"/>
      <c r="AB57" s="367"/>
      <c r="AC57" s="368"/>
      <c r="AD57" s="100"/>
      <c r="AE57" s="96"/>
      <c r="AF57" s="344"/>
      <c r="AG57" s="345"/>
      <c r="AH57" s="100"/>
      <c r="AI57" s="96"/>
      <c r="AJ57" s="361"/>
      <c r="AK57" s="362"/>
      <c r="AL57" s="100"/>
      <c r="AM57" s="96"/>
      <c r="AN57" s="361"/>
      <c r="AO57" s="362"/>
      <c r="AP57" s="100"/>
      <c r="AQ57" s="96"/>
      <c r="AR57" s="344"/>
      <c r="AS57" s="345"/>
      <c r="AT57" s="100"/>
      <c r="AU57" s="96"/>
      <c r="AV57" s="344"/>
      <c r="AW57" s="345"/>
      <c r="AX57" s="100"/>
    </row>
    <row r="58" spans="2:62">
      <c r="C58" s="96"/>
      <c r="D58" s="344"/>
      <c r="E58" s="345"/>
      <c r="F58" s="98"/>
      <c r="G58" s="96"/>
      <c r="H58" s="344"/>
      <c r="I58" s="345"/>
      <c r="J58" s="100"/>
      <c r="K58" s="96"/>
      <c r="L58" s="344"/>
      <c r="M58" s="345"/>
      <c r="N58" s="100"/>
      <c r="O58" s="96"/>
      <c r="P58" s="344"/>
      <c r="Q58" s="345"/>
      <c r="R58" s="100"/>
      <c r="S58" s="96"/>
      <c r="T58" s="344"/>
      <c r="U58" s="345"/>
      <c r="V58" s="100"/>
      <c r="W58" s="96"/>
      <c r="X58" s="344"/>
      <c r="Y58" s="345"/>
      <c r="Z58" s="100"/>
      <c r="AA58" s="96"/>
      <c r="AB58" s="367"/>
      <c r="AC58" s="368"/>
      <c r="AD58" s="100"/>
      <c r="AE58" s="96"/>
      <c r="AF58" s="344"/>
      <c r="AG58" s="345"/>
      <c r="AH58" s="100"/>
      <c r="AI58" s="96"/>
      <c r="AJ58" s="355"/>
      <c r="AK58" s="356"/>
      <c r="AL58" s="100"/>
      <c r="AM58" s="96"/>
      <c r="AN58" s="361"/>
      <c r="AO58" s="362"/>
      <c r="AP58" s="100"/>
      <c r="AQ58" s="96"/>
      <c r="AR58" s="344"/>
      <c r="AS58" s="345"/>
      <c r="AT58" s="100"/>
      <c r="AU58" s="96"/>
      <c r="AV58" s="344"/>
      <c r="AW58" s="345"/>
      <c r="AX58" s="100"/>
    </row>
    <row r="59" spans="2:62">
      <c r="C59" s="96"/>
      <c r="D59" s="344"/>
      <c r="E59" s="345"/>
      <c r="F59" s="98"/>
      <c r="G59" s="96"/>
      <c r="H59" s="344"/>
      <c r="I59" s="345"/>
      <c r="J59" s="100"/>
      <c r="K59" s="96"/>
      <c r="L59" s="344"/>
      <c r="M59" s="345"/>
      <c r="N59" s="100"/>
      <c r="O59" s="96"/>
      <c r="P59" s="344"/>
      <c r="Q59" s="345"/>
      <c r="R59" s="100"/>
      <c r="S59" s="96"/>
      <c r="T59" s="361"/>
      <c r="U59" s="362"/>
      <c r="V59" s="100"/>
      <c r="W59" s="96"/>
      <c r="X59" s="361"/>
      <c r="Y59" s="362"/>
      <c r="Z59" s="100"/>
      <c r="AA59" s="96"/>
      <c r="AB59" s="361"/>
      <c r="AC59" s="362"/>
      <c r="AD59" s="100"/>
      <c r="AE59" s="96"/>
      <c r="AF59" s="344"/>
      <c r="AG59" s="345"/>
      <c r="AH59" s="100"/>
      <c r="AI59" s="96"/>
      <c r="AJ59" s="355"/>
      <c r="AK59" s="356"/>
      <c r="AL59" s="100"/>
      <c r="AM59" s="96"/>
      <c r="AN59" s="363"/>
      <c r="AO59" s="364"/>
      <c r="AP59" s="100"/>
      <c r="AQ59" s="96"/>
      <c r="AR59" s="344"/>
      <c r="AS59" s="345"/>
      <c r="AT59" s="100"/>
      <c r="AU59" s="96"/>
      <c r="AV59" s="344"/>
      <c r="AW59" s="345"/>
      <c r="AX59" s="100"/>
    </row>
    <row r="60" spans="2:62">
      <c r="C60" s="96"/>
      <c r="D60" s="344"/>
      <c r="E60" s="345"/>
      <c r="F60" s="98"/>
      <c r="G60" s="96"/>
      <c r="H60" s="344"/>
      <c r="I60" s="345"/>
      <c r="J60" s="100"/>
      <c r="K60" s="235"/>
      <c r="L60" s="373"/>
      <c r="M60" s="374"/>
      <c r="N60" s="236"/>
      <c r="O60" s="96"/>
      <c r="P60" s="344"/>
      <c r="Q60" s="345"/>
      <c r="R60" s="100"/>
      <c r="S60" s="96"/>
      <c r="T60" s="361"/>
      <c r="U60" s="362"/>
      <c r="V60" s="100"/>
      <c r="W60" s="96"/>
      <c r="X60" s="355"/>
      <c r="Y60" s="356"/>
      <c r="Z60" s="100"/>
      <c r="AA60" s="96"/>
      <c r="AB60" s="355"/>
      <c r="AC60" s="356"/>
      <c r="AD60" s="100"/>
      <c r="AE60" s="96"/>
      <c r="AF60" s="361"/>
      <c r="AG60" s="362"/>
      <c r="AH60" s="100"/>
      <c r="AI60" s="96"/>
      <c r="AJ60" s="355"/>
      <c r="AK60" s="356"/>
      <c r="AL60" s="100"/>
      <c r="AM60" s="96"/>
      <c r="AN60" s="355"/>
      <c r="AO60" s="356"/>
      <c r="AP60" s="100"/>
      <c r="AQ60" s="96"/>
      <c r="AR60" s="344"/>
      <c r="AS60" s="345"/>
      <c r="AT60" s="100"/>
      <c r="AU60" s="96"/>
      <c r="AV60" s="344"/>
      <c r="AW60" s="345"/>
      <c r="AX60" s="100"/>
    </row>
    <row r="61" spans="2:62">
      <c r="C61" s="96"/>
      <c r="D61" s="344"/>
      <c r="E61" s="345"/>
      <c r="F61" s="98"/>
      <c r="G61" s="96"/>
      <c r="H61" s="344"/>
      <c r="I61" s="345"/>
      <c r="J61" s="100"/>
      <c r="K61" s="96"/>
      <c r="L61" s="375"/>
      <c r="M61" s="345"/>
      <c r="N61" s="100"/>
      <c r="O61" s="96"/>
      <c r="P61" s="344"/>
      <c r="Q61" s="345"/>
      <c r="R61" s="100"/>
      <c r="S61" s="96"/>
      <c r="T61" s="361"/>
      <c r="U61" s="362"/>
      <c r="V61" s="100"/>
      <c r="W61" s="96"/>
      <c r="X61" s="355"/>
      <c r="Y61" s="356"/>
      <c r="Z61" s="100"/>
      <c r="AA61" s="96"/>
      <c r="AB61" s="355"/>
      <c r="AC61" s="356"/>
      <c r="AD61" s="100"/>
      <c r="AE61" s="96"/>
      <c r="AF61" s="355"/>
      <c r="AG61" s="356"/>
      <c r="AH61" s="100"/>
      <c r="AI61" s="96"/>
      <c r="AJ61" s="355"/>
      <c r="AK61" s="356"/>
      <c r="AL61" s="100"/>
      <c r="AM61" s="96"/>
      <c r="AN61" s="355"/>
      <c r="AO61" s="356"/>
      <c r="AP61" s="100"/>
      <c r="AQ61" s="96"/>
      <c r="AR61" s="344"/>
      <c r="AS61" s="345"/>
      <c r="AT61" s="100"/>
      <c r="AU61" s="96"/>
      <c r="AV61" s="344"/>
      <c r="AW61" s="345"/>
      <c r="AX61" s="100"/>
    </row>
    <row r="62" spans="2:62">
      <c r="C62" s="96"/>
      <c r="D62" s="344"/>
      <c r="E62" s="345"/>
      <c r="F62" s="98"/>
      <c r="G62" s="96"/>
      <c r="H62" s="344"/>
      <c r="I62" s="345"/>
      <c r="J62" s="100"/>
      <c r="K62" s="96"/>
      <c r="L62" s="344"/>
      <c r="M62" s="345"/>
      <c r="N62" s="100"/>
      <c r="O62" s="96"/>
      <c r="P62" s="344"/>
      <c r="Q62" s="345"/>
      <c r="R62" s="100"/>
      <c r="S62" s="96"/>
      <c r="T62" s="361"/>
      <c r="U62" s="362"/>
      <c r="V62" s="100"/>
      <c r="W62" s="96"/>
      <c r="X62" s="355"/>
      <c r="Y62" s="356"/>
      <c r="Z62" s="100"/>
      <c r="AA62" s="96"/>
      <c r="AB62" s="355"/>
      <c r="AC62" s="356"/>
      <c r="AD62" s="100"/>
      <c r="AE62" s="96"/>
      <c r="AF62" s="355"/>
      <c r="AG62" s="356"/>
      <c r="AH62" s="100"/>
      <c r="AI62" s="96"/>
      <c r="AJ62" s="355"/>
      <c r="AK62" s="356"/>
      <c r="AL62" s="100"/>
      <c r="AM62" s="96"/>
      <c r="AN62" s="355"/>
      <c r="AO62" s="356"/>
      <c r="AP62" s="100"/>
      <c r="AQ62" s="96"/>
      <c r="AR62" s="344"/>
      <c r="AS62" s="345"/>
      <c r="AT62" s="100"/>
      <c r="AU62" s="96"/>
      <c r="AV62" s="344"/>
      <c r="AW62" s="345"/>
      <c r="AX62" s="100"/>
    </row>
    <row r="63" spans="2:62">
      <c r="C63" s="96"/>
      <c r="D63" s="344"/>
      <c r="E63" s="345"/>
      <c r="F63" s="98"/>
      <c r="G63" s="96"/>
      <c r="H63" s="344"/>
      <c r="I63" s="345"/>
      <c r="J63" s="100"/>
      <c r="K63" s="96"/>
      <c r="L63" s="344"/>
      <c r="M63" s="345"/>
      <c r="N63" s="100"/>
      <c r="O63" s="96"/>
      <c r="P63" s="344"/>
      <c r="Q63" s="345"/>
      <c r="R63" s="100"/>
      <c r="S63" s="96"/>
      <c r="T63" s="361"/>
      <c r="U63" s="362"/>
      <c r="V63" s="100"/>
      <c r="W63" s="96"/>
      <c r="X63" s="355"/>
      <c r="Y63" s="356"/>
      <c r="Z63" s="100"/>
      <c r="AA63" s="96"/>
      <c r="AB63" s="355"/>
      <c r="AC63" s="356"/>
      <c r="AD63" s="100"/>
      <c r="AE63" s="96"/>
      <c r="AF63" s="355"/>
      <c r="AG63" s="356"/>
      <c r="AH63" s="100"/>
      <c r="AI63" s="96"/>
      <c r="AJ63" s="355"/>
      <c r="AK63" s="356"/>
      <c r="AL63" s="100"/>
      <c r="AM63" s="96"/>
      <c r="AN63" s="355"/>
      <c r="AO63" s="356"/>
      <c r="AP63" s="100"/>
      <c r="AQ63" s="96"/>
      <c r="AR63" s="344"/>
      <c r="AS63" s="345"/>
      <c r="AT63" s="100"/>
      <c r="AU63" s="96"/>
      <c r="AV63" s="344"/>
      <c r="AW63" s="345"/>
      <c r="AX63" s="100"/>
    </row>
    <row r="64" spans="2:62">
      <c r="C64" s="96"/>
      <c r="D64" s="344"/>
      <c r="E64" s="345"/>
      <c r="F64" s="98"/>
      <c r="G64" s="96"/>
      <c r="H64" s="344"/>
      <c r="I64" s="345"/>
      <c r="J64" s="100"/>
      <c r="K64" s="96"/>
      <c r="L64" s="344"/>
      <c r="M64" s="345"/>
      <c r="N64" s="100"/>
      <c r="O64" s="96"/>
      <c r="P64" s="344"/>
      <c r="Q64" s="345"/>
      <c r="R64" s="100"/>
      <c r="S64" s="96"/>
      <c r="T64" s="361"/>
      <c r="U64" s="362"/>
      <c r="V64" s="100"/>
      <c r="W64" s="96"/>
      <c r="X64" s="355"/>
      <c r="Y64" s="356"/>
      <c r="Z64" s="100"/>
      <c r="AA64" s="96"/>
      <c r="AB64" s="355"/>
      <c r="AC64" s="356"/>
      <c r="AD64" s="100"/>
      <c r="AE64" s="96"/>
      <c r="AF64" s="355"/>
      <c r="AG64" s="356"/>
      <c r="AH64" s="100"/>
      <c r="AI64" s="96"/>
      <c r="AJ64" s="355"/>
      <c r="AK64" s="356"/>
      <c r="AL64" s="100"/>
      <c r="AM64" s="96"/>
      <c r="AN64" s="355"/>
      <c r="AO64" s="356"/>
      <c r="AP64" s="100"/>
      <c r="AQ64" s="96"/>
      <c r="AR64" s="344"/>
      <c r="AS64" s="345"/>
      <c r="AT64" s="100"/>
      <c r="AU64" s="96"/>
      <c r="AV64" s="344"/>
      <c r="AW64" s="345"/>
      <c r="AX64" s="100"/>
    </row>
    <row r="65" spans="1:50">
      <c r="C65" s="96"/>
      <c r="D65" s="344"/>
      <c r="E65" s="345"/>
      <c r="F65" s="98"/>
      <c r="G65" s="96"/>
      <c r="H65" s="344"/>
      <c r="I65" s="345"/>
      <c r="J65" s="100"/>
      <c r="K65" s="96"/>
      <c r="L65" s="344"/>
      <c r="M65" s="345"/>
      <c r="N65" s="100"/>
      <c r="O65" s="96"/>
      <c r="P65" s="344"/>
      <c r="Q65" s="345"/>
      <c r="R65" s="100"/>
      <c r="S65" s="96"/>
      <c r="T65" s="361"/>
      <c r="U65" s="362"/>
      <c r="V65" s="100"/>
      <c r="W65" s="96"/>
      <c r="X65" s="355"/>
      <c r="Y65" s="356"/>
      <c r="Z65" s="100"/>
      <c r="AA65" s="96"/>
      <c r="AB65" s="355"/>
      <c r="AC65" s="356"/>
      <c r="AD65" s="100"/>
      <c r="AE65" s="96"/>
      <c r="AF65" s="355"/>
      <c r="AG65" s="356"/>
      <c r="AH65" s="100"/>
      <c r="AI65" s="96"/>
      <c r="AJ65" s="355"/>
      <c r="AK65" s="356"/>
      <c r="AL65" s="100"/>
      <c r="AM65" s="96"/>
      <c r="AN65" s="355"/>
      <c r="AO65" s="356"/>
      <c r="AP65" s="100"/>
      <c r="AQ65" s="96"/>
      <c r="AR65" s="344"/>
      <c r="AS65" s="345"/>
      <c r="AT65" s="100"/>
      <c r="AU65" s="96"/>
      <c r="AV65" s="344"/>
      <c r="AW65" s="345"/>
      <c r="AX65" s="100"/>
    </row>
    <row r="66" spans="1:50">
      <c r="C66" s="96"/>
      <c r="D66" s="344"/>
      <c r="E66" s="345"/>
      <c r="F66" s="98"/>
      <c r="G66" s="96"/>
      <c r="H66" s="344"/>
      <c r="I66" s="345"/>
      <c r="J66" s="100"/>
      <c r="K66" s="96"/>
      <c r="L66" s="344"/>
      <c r="M66" s="345"/>
      <c r="N66" s="100"/>
      <c r="O66" s="96"/>
      <c r="P66" s="344"/>
      <c r="Q66" s="345"/>
      <c r="R66" s="100"/>
      <c r="S66" s="96"/>
      <c r="T66" s="355"/>
      <c r="U66" s="356"/>
      <c r="V66" s="100"/>
      <c r="W66" s="96"/>
      <c r="X66" s="355"/>
      <c r="Y66" s="356"/>
      <c r="Z66" s="100"/>
      <c r="AA66" s="96"/>
      <c r="AB66" s="355"/>
      <c r="AC66" s="356"/>
      <c r="AD66" s="100"/>
      <c r="AE66" s="96"/>
      <c r="AF66" s="355"/>
      <c r="AG66" s="356"/>
      <c r="AH66" s="100"/>
      <c r="AI66" s="96"/>
      <c r="AJ66" s="355"/>
      <c r="AK66" s="356"/>
      <c r="AL66" s="100"/>
      <c r="AM66" s="96"/>
      <c r="AN66" s="355"/>
      <c r="AO66" s="356"/>
      <c r="AP66" s="100"/>
      <c r="AQ66" s="96"/>
      <c r="AR66" s="344"/>
      <c r="AS66" s="345"/>
      <c r="AT66" s="100"/>
      <c r="AU66" s="96"/>
      <c r="AV66" s="344"/>
      <c r="AW66" s="345"/>
      <c r="AX66" s="100"/>
    </row>
    <row r="67" spans="1:50">
      <c r="C67" s="96"/>
      <c r="D67" s="344"/>
      <c r="E67" s="345"/>
      <c r="F67" s="98"/>
      <c r="G67" s="96"/>
      <c r="H67" s="344"/>
      <c r="I67" s="345"/>
      <c r="J67" s="100"/>
      <c r="K67" s="96"/>
      <c r="L67" s="344"/>
      <c r="M67" s="345"/>
      <c r="N67" s="100"/>
      <c r="O67" s="96"/>
      <c r="P67" s="344"/>
      <c r="Q67" s="345"/>
      <c r="R67" s="100"/>
      <c r="S67" s="96"/>
      <c r="T67" s="355"/>
      <c r="U67" s="356"/>
      <c r="V67" s="100"/>
      <c r="W67" s="96"/>
      <c r="X67" s="355"/>
      <c r="Y67" s="356"/>
      <c r="Z67" s="100"/>
      <c r="AA67" s="96"/>
      <c r="AB67" s="355"/>
      <c r="AC67" s="356"/>
      <c r="AD67" s="100"/>
      <c r="AE67" s="96"/>
      <c r="AF67" s="355"/>
      <c r="AG67" s="356"/>
      <c r="AH67" s="100"/>
      <c r="AI67" s="96"/>
      <c r="AJ67" s="355"/>
      <c r="AK67" s="356"/>
      <c r="AL67" s="100"/>
      <c r="AM67" s="96"/>
      <c r="AN67" s="355"/>
      <c r="AO67" s="356"/>
      <c r="AP67" s="100"/>
      <c r="AQ67" s="96"/>
      <c r="AR67" s="344"/>
      <c r="AS67" s="345"/>
      <c r="AT67" s="100"/>
      <c r="AU67" s="96"/>
      <c r="AV67" s="344"/>
      <c r="AW67" s="345"/>
      <c r="AX67" s="100"/>
    </row>
    <row r="68" spans="1:50">
      <c r="C68" s="96"/>
      <c r="D68" s="344"/>
      <c r="E68" s="345"/>
      <c r="F68" s="98"/>
      <c r="G68" s="96"/>
      <c r="H68" s="344"/>
      <c r="I68" s="345"/>
      <c r="J68" s="100"/>
      <c r="K68" s="96"/>
      <c r="L68" s="344"/>
      <c r="M68" s="345"/>
      <c r="N68" s="100"/>
      <c r="O68" s="96"/>
      <c r="P68" s="344"/>
      <c r="Q68" s="345"/>
      <c r="R68" s="100"/>
      <c r="S68" s="96"/>
      <c r="T68" s="355"/>
      <c r="U68" s="356"/>
      <c r="V68" s="100"/>
      <c r="W68" s="96"/>
      <c r="X68" s="355"/>
      <c r="Y68" s="356"/>
      <c r="Z68" s="100"/>
      <c r="AA68" s="96"/>
      <c r="AB68" s="355"/>
      <c r="AC68" s="356"/>
      <c r="AD68" s="100"/>
      <c r="AE68" s="96"/>
      <c r="AF68" s="355"/>
      <c r="AG68" s="356"/>
      <c r="AH68" s="100"/>
      <c r="AI68" s="96"/>
      <c r="AJ68" s="355"/>
      <c r="AK68" s="356"/>
      <c r="AL68" s="100"/>
      <c r="AM68" s="96"/>
      <c r="AN68" s="355"/>
      <c r="AO68" s="356"/>
      <c r="AP68" s="100"/>
      <c r="AQ68" s="96"/>
      <c r="AR68" s="344"/>
      <c r="AS68" s="345"/>
      <c r="AT68" s="100"/>
      <c r="AU68" s="96"/>
      <c r="AV68" s="344"/>
      <c r="AW68" s="345"/>
      <c r="AX68" s="100"/>
    </row>
    <row r="69" spans="1:50">
      <c r="C69" s="96"/>
      <c r="D69" s="344"/>
      <c r="E69" s="345"/>
      <c r="F69" s="98"/>
      <c r="G69" s="96"/>
      <c r="H69" s="344"/>
      <c r="I69" s="345"/>
      <c r="J69" s="100"/>
      <c r="K69" s="96"/>
      <c r="L69" s="344"/>
      <c r="M69" s="345"/>
      <c r="N69" s="100"/>
      <c r="O69" s="96"/>
      <c r="P69" s="344"/>
      <c r="Q69" s="345"/>
      <c r="R69" s="100"/>
      <c r="S69" s="96"/>
      <c r="T69" s="355"/>
      <c r="U69" s="356"/>
      <c r="V69" s="100"/>
      <c r="W69" s="96"/>
      <c r="X69" s="355"/>
      <c r="Y69" s="356"/>
      <c r="Z69" s="100"/>
      <c r="AA69" s="96"/>
      <c r="AB69" s="355"/>
      <c r="AC69" s="356"/>
      <c r="AD69" s="100"/>
      <c r="AE69" s="96"/>
      <c r="AF69" s="355"/>
      <c r="AG69" s="356"/>
      <c r="AH69" s="100"/>
      <c r="AI69" s="96"/>
      <c r="AJ69" s="355"/>
      <c r="AK69" s="356"/>
      <c r="AL69" s="100"/>
      <c r="AM69" s="96"/>
      <c r="AN69" s="355"/>
      <c r="AO69" s="356"/>
      <c r="AP69" s="100"/>
      <c r="AQ69" s="96"/>
      <c r="AR69" s="344"/>
      <c r="AS69" s="345"/>
      <c r="AT69" s="100"/>
      <c r="AU69" s="96"/>
      <c r="AV69" s="344"/>
      <c r="AW69" s="345"/>
      <c r="AX69" s="100"/>
    </row>
    <row r="70" spans="1:50">
      <c r="C70" s="96"/>
      <c r="D70" s="344"/>
      <c r="E70" s="345"/>
      <c r="F70" s="98"/>
      <c r="G70" s="96"/>
      <c r="H70" s="344"/>
      <c r="I70" s="345"/>
      <c r="J70" s="100"/>
      <c r="K70" s="96"/>
      <c r="L70" s="344"/>
      <c r="M70" s="345"/>
      <c r="N70" s="100"/>
      <c r="O70" s="96"/>
      <c r="P70" s="344"/>
      <c r="Q70" s="345"/>
      <c r="R70" s="100"/>
      <c r="S70" s="96"/>
      <c r="T70" s="344"/>
      <c r="U70" s="345"/>
      <c r="V70" s="100"/>
      <c r="W70" s="96"/>
      <c r="X70" s="344"/>
      <c r="Y70" s="345"/>
      <c r="Z70" s="100"/>
      <c r="AA70" s="96"/>
      <c r="AB70" s="355"/>
      <c r="AC70" s="356"/>
      <c r="AD70" s="100"/>
      <c r="AE70" s="96"/>
      <c r="AF70" s="355"/>
      <c r="AG70" s="356"/>
      <c r="AH70" s="100"/>
      <c r="AI70" s="96"/>
      <c r="AJ70" s="355"/>
      <c r="AK70" s="356"/>
      <c r="AL70" s="100"/>
      <c r="AM70" s="96"/>
      <c r="AN70" s="355"/>
      <c r="AO70" s="356"/>
      <c r="AP70" s="100"/>
      <c r="AQ70" s="96"/>
      <c r="AR70" s="344"/>
      <c r="AS70" s="345"/>
      <c r="AT70" s="100"/>
      <c r="AU70" s="96"/>
      <c r="AV70" s="344"/>
      <c r="AW70" s="345"/>
      <c r="AX70" s="100"/>
    </row>
    <row r="71" spans="1:50" ht="15.75" thickBot="1">
      <c r="C71" s="97"/>
      <c r="D71" s="346"/>
      <c r="E71" s="347"/>
      <c r="F71" s="99"/>
      <c r="G71" s="97"/>
      <c r="H71" s="346"/>
      <c r="I71" s="347"/>
      <c r="J71" s="101"/>
      <c r="K71" s="97"/>
      <c r="L71" s="346"/>
      <c r="M71" s="347"/>
      <c r="N71" s="101"/>
      <c r="O71" s="97"/>
      <c r="P71" s="346"/>
      <c r="Q71" s="347"/>
      <c r="R71" s="101"/>
      <c r="S71" s="97"/>
      <c r="T71" s="365"/>
      <c r="U71" s="366"/>
      <c r="V71" s="101"/>
      <c r="W71" s="97"/>
      <c r="X71" s="365"/>
      <c r="Y71" s="366"/>
      <c r="Z71" s="101"/>
      <c r="AA71" s="97"/>
      <c r="AB71" s="357"/>
      <c r="AC71" s="358"/>
      <c r="AD71" s="101"/>
      <c r="AE71" s="97"/>
      <c r="AF71" s="357"/>
      <c r="AG71" s="358"/>
      <c r="AH71" s="101"/>
      <c r="AI71" s="97"/>
      <c r="AJ71" s="357"/>
      <c r="AK71" s="358"/>
      <c r="AL71" s="101"/>
      <c r="AM71" s="97"/>
      <c r="AN71" s="357"/>
      <c r="AO71" s="358"/>
      <c r="AP71" s="101"/>
      <c r="AQ71" s="97"/>
      <c r="AR71" s="346"/>
      <c r="AS71" s="347"/>
      <c r="AT71" s="101"/>
      <c r="AU71" s="97"/>
      <c r="AV71" s="346"/>
      <c r="AW71" s="347"/>
      <c r="AX71" s="101"/>
    </row>
    <row r="72" spans="1:50">
      <c r="Z72" t="e">
        <f>Z71/Z70</f>
        <v>#DIV/0!</v>
      </c>
    </row>
    <row r="73" spans="1:50">
      <c r="L73" s="119"/>
    </row>
    <row r="74" spans="1:50">
      <c r="A74"/>
    </row>
    <row r="75" spans="1:50">
      <c r="A75"/>
      <c r="Z75" s="111"/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3839.35</v>
      </c>
      <c r="L5" s="425"/>
      <c r="M5" s="1"/>
      <c r="N5" s="1"/>
      <c r="R5" s="3"/>
    </row>
    <row r="6" spans="1:22" ht="15.75">
      <c r="A6" s="112">
        <f>'08'!A6+(B6-SUM(D6:F6))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620.12</v>
      </c>
      <c r="L6" s="427"/>
      <c r="M6" s="1" t="s">
        <v>162</v>
      </c>
      <c r="N6" s="1"/>
      <c r="R6" s="3"/>
    </row>
    <row r="7" spans="1:22" ht="15.75">
      <c r="A7" s="112">
        <f>'08'!A7+(B7-SUM(D7:F7))</f>
        <v>365.04000000000008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7236.18</v>
      </c>
      <c r="L7" s="427"/>
      <c r="M7" s="1"/>
      <c r="N7" s="1"/>
      <c r="R7" s="3"/>
    </row>
    <row r="8" spans="1:22" ht="15.75">
      <c r="A8" s="112">
        <f>'08'!A8+(B8-SUM(D8:F8))</f>
        <v>-0.19999999999998863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154</v>
      </c>
      <c r="K9" s="426">
        <v>163.63</v>
      </c>
      <c r="L9" s="427"/>
      <c r="M9" s="1"/>
      <c r="N9" s="1"/>
      <c r="R9" s="3"/>
    </row>
    <row r="10" spans="1:22" ht="15.75">
      <c r="A10" s="112">
        <f>'08'!A10+(B10-SUM(D10:F10))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'08'!A11+(B11-SUM(D11:F11))</f>
        <v>60.47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105+50</f>
        <v>155</v>
      </c>
      <c r="L11" s="427"/>
      <c r="M11" s="1"/>
      <c r="N11" s="1"/>
      <c r="R11" s="3"/>
    </row>
    <row r="12" spans="1:22" ht="15.75">
      <c r="A12" s="112">
        <f>'08'!A12+(B12-SUM(D12:F12))</f>
        <v>251.5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'08'!A13+(B13-SUM(D13:F13))</f>
        <v>517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29258.260000000002</v>
      </c>
      <c r="L19" s="442"/>
      <c r="M19" s="1"/>
      <c r="N19" s="1"/>
      <c r="R19" s="3"/>
    </row>
    <row r="20" spans="1:18" ht="16.5" thickBot="1">
      <c r="A20" s="112">
        <f>SUM(A6:A15)</f>
        <v>2014.33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2573.7399999999998</v>
      </c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'08'!A27+(B27-SUM(D27:F27))</f>
        <v>272.15999999999985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'08'!A28+(B28-SUM(D28:F28))</f>
        <v>133.72000000000003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'08'!A29+(B29-SUM(D29:F29))</f>
        <v>20.170000000000009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'08'!A30+(B30-SUM(D30:F30))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234</v>
      </c>
      <c r="K30" s="408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 t="s">
        <v>657</v>
      </c>
      <c r="K35" s="408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990.05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647</v>
      </c>
      <c r="K45" s="408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653</v>
      </c>
      <c r="H46" s="1"/>
      <c r="I46" s="405"/>
      <c r="J46" s="409" t="s">
        <v>689</v>
      </c>
      <c r="K46" s="410"/>
      <c r="L46" s="229">
        <v>100</v>
      </c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658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644</v>
      </c>
      <c r="D48" s="137">
        <v>67.47</v>
      </c>
      <c r="E48" s="138"/>
      <c r="F48" s="138"/>
      <c r="G48" s="16" t="s">
        <v>662</v>
      </c>
      <c r="H48" s="1">
        <f>21*8</f>
        <v>168</v>
      </c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663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664</v>
      </c>
      <c r="H50" s="1"/>
      <c r="I50" s="404" t="str">
        <f>AÑO!A13</f>
        <v>Gubernamental</v>
      </c>
      <c r="J50" s="407" t="s">
        <v>655</v>
      </c>
      <c r="K50" s="408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672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673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681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656</v>
      </c>
      <c r="K60" s="408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'08'!A66+(B66-SUM(D66:F78))</f>
        <v>208.18000000000006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641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642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651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665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668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680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62.05</v>
      </c>
      <c r="B79" s="233">
        <f>5+100</f>
        <v>105</v>
      </c>
      <c r="C79" s="17" t="s">
        <v>688</v>
      </c>
      <c r="D79" s="135">
        <v>122.95</v>
      </c>
      <c r="E79" s="139"/>
      <c r="F79" s="139"/>
      <c r="G79" s="17" t="s">
        <v>682</v>
      </c>
      <c r="H79" s="1"/>
      <c r="M79" s="1"/>
      <c r="R79" s="3"/>
    </row>
    <row r="80" spans="1:18" ht="16.5" thickBot="1">
      <c r="A80" s="112">
        <f>SUM(A66:A79)</f>
        <v>270.23000000000008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195</v>
      </c>
      <c r="D86" s="137">
        <v>51.07</v>
      </c>
      <c r="E86" s="138"/>
      <c r="F86" s="138"/>
      <c r="G86" s="16" t="s">
        <v>652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659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678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0.93000000000007788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1016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312.34999999999968</v>
      </c>
      <c r="B109" s="134">
        <v>67.53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4950.9715974244991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733</v>
      </c>
      <c r="I127" s="113">
        <f>D127+D128+'08'!I127</f>
        <v>115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550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/>
      <c r="E186" s="138">
        <f>55.89+95.49</f>
        <v>151.38</v>
      </c>
      <c r="F186" s="138"/>
      <c r="G186" s="16" t="s">
        <v>643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204</v>
      </c>
      <c r="D187" s="137">
        <v>20.98</v>
      </c>
      <c r="E187" s="138"/>
      <c r="F187" s="138"/>
      <c r="G187" s="16" t="s">
        <v>648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670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679</v>
      </c>
      <c r="H189" s="89">
        <f>9.99+8.99+6.99+3.99+7.99</f>
        <v>37.950000000000003</v>
      </c>
      <c r="I189" s="1" t="s">
        <v>677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683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684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687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551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9" ht="15" customHeight="1" thickBot="1">
      <c r="B243" s="419"/>
      <c r="C243" s="420"/>
      <c r="D243" s="420"/>
      <c r="E243" s="420"/>
      <c r="F243" s="420"/>
      <c r="G243" s="421"/>
    </row>
    <row r="244" spans="1:9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9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281</v>
      </c>
      <c r="D246" s="137">
        <v>105.14</v>
      </c>
      <c r="E246" s="138"/>
      <c r="F246" s="138"/>
      <c r="G246" s="16" t="s">
        <v>645</v>
      </c>
    </row>
    <row r="247" spans="1:9" ht="15" customHeight="1">
      <c r="A247" s="112"/>
      <c r="B247" s="134">
        <v>343.08</v>
      </c>
      <c r="C247" s="16" t="s">
        <v>204</v>
      </c>
      <c r="D247" s="137">
        <v>203.92</v>
      </c>
      <c r="E247" s="138"/>
      <c r="F247" s="138"/>
      <c r="G247" s="16" t="s">
        <v>669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685</v>
      </c>
      <c r="H248" s="89">
        <f>33.98+1.99</f>
        <v>35.97</v>
      </c>
      <c r="I248" s="89" t="s">
        <v>677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687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594</v>
      </c>
      <c r="D257" s="137"/>
      <c r="E257" s="138">
        <f>100.67+100.67</f>
        <v>201.34</v>
      </c>
      <c r="F257" s="138"/>
      <c r="G257" s="16" t="s">
        <v>284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640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'08'!A286+(SUM(B286:B298)-SUM(D286:F298))</f>
        <v>89.119999999999749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550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667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686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624</v>
      </c>
      <c r="D299" s="135"/>
      <c r="E299" s="139"/>
      <c r="F299" s="139"/>
      <c r="G299" s="17"/>
    </row>
    <row r="300" spans="1:8" ht="16.5" thickBot="1">
      <c r="A300" s="112">
        <f>SUM(A286:A299)</f>
        <v>149.11999999999975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581</v>
      </c>
      <c r="D306" s="137"/>
      <c r="E306" s="138"/>
      <c r="F306" s="138">
        <v>60</v>
      </c>
      <c r="G306" s="16" t="s">
        <v>660</v>
      </c>
    </row>
    <row r="307" spans="2:7">
      <c r="B307" s="134"/>
      <c r="C307" s="27"/>
      <c r="D307" s="137">
        <v>35.96</v>
      </c>
      <c r="E307" s="138"/>
      <c r="F307" s="138"/>
      <c r="G307" s="16" t="s">
        <v>661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666</v>
      </c>
    </row>
    <row r="309" spans="2:7">
      <c r="B309" s="134"/>
      <c r="C309" s="16"/>
      <c r="D309" s="137"/>
      <c r="E309" s="138"/>
      <c r="F309" s="138">
        <v>60</v>
      </c>
      <c r="G309" s="16" t="s">
        <v>690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9" ht="15" customHeight="1" thickBot="1">
      <c r="B323" s="436"/>
      <c r="C323" s="437"/>
      <c r="D323" s="437"/>
      <c r="E323" s="437"/>
      <c r="F323" s="437"/>
      <c r="G323" s="438"/>
    </row>
    <row r="324" spans="2:9">
      <c r="B324" s="429" t="s">
        <v>8</v>
      </c>
      <c r="C324" s="430"/>
      <c r="D324" s="429" t="s">
        <v>9</v>
      </c>
      <c r="E324" s="431"/>
      <c r="F324" s="431"/>
      <c r="G324" s="430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646</v>
      </c>
    </row>
    <row r="327" spans="2:9">
      <c r="B327" s="134">
        <v>100</v>
      </c>
      <c r="C327" s="16" t="s">
        <v>647</v>
      </c>
      <c r="D327" s="137">
        <v>15</v>
      </c>
      <c r="E327" s="138"/>
      <c r="F327" s="138"/>
      <c r="G327" s="16" t="s">
        <v>674</v>
      </c>
    </row>
    <row r="328" spans="2:9">
      <c r="B328" s="134">
        <v>155.97</v>
      </c>
      <c r="C328" s="16" t="s">
        <v>204</v>
      </c>
      <c r="D328" s="137"/>
      <c r="E328" s="138">
        <v>46.98</v>
      </c>
      <c r="F328" s="138"/>
      <c r="G328" s="16" t="s">
        <v>687</v>
      </c>
      <c r="H328" s="89">
        <f>9.99+34.99+2</f>
        <v>46.980000000000004</v>
      </c>
      <c r="I328" s="89" t="s">
        <v>677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'08'!A346+(B346-SUM(D346:F357))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591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590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649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AÑO!AI17</f>
        <v>4981.9699999999993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0</v>
      </c>
      <c r="C426" s="19" t="s">
        <v>222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650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-550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'08'!A467+(B467-SUM(D467:F467))</f>
        <v>-125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'08'!A468+(B468-SUM(D468:F468))</f>
        <v>148.19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-526.80999999999995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671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217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6">
        <v>3984.38</v>
      </c>
      <c r="L5" s="427"/>
      <c r="M5" s="1"/>
      <c r="N5" s="1"/>
      <c r="R5" s="3"/>
    </row>
    <row r="6" spans="1:22" ht="15.75">
      <c r="A6" s="112">
        <f>'09'!A6+(B6-SUM(D6:F6))</f>
        <v>784.52</v>
      </c>
      <c r="B6" s="133">
        <v>389.26</v>
      </c>
      <c r="C6" s="19" t="s">
        <v>691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620.12</v>
      </c>
      <c r="L6" s="427"/>
      <c r="M6" s="1" t="s">
        <v>162</v>
      </c>
      <c r="N6" s="1"/>
      <c r="R6" s="3"/>
    </row>
    <row r="7" spans="1:22" ht="15.75">
      <c r="A7" s="112">
        <f>'09'!A7+(B7-SUM(D7:F7))</f>
        <v>432.22000000000008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8003.5599999999995</v>
      </c>
      <c r="L7" s="427"/>
      <c r="M7" s="1"/>
      <c r="N7" s="1"/>
      <c r="R7" s="3"/>
    </row>
    <row r="8" spans="1:22" ht="15.75">
      <c r="A8" s="112">
        <f>'09'!A8+(B8-SUM(D8:F8))</f>
        <v>-98.079999999999984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157.43</v>
      </c>
      <c r="L9" s="427"/>
      <c r="M9" s="1"/>
      <c r="N9" s="1"/>
      <c r="R9" s="3"/>
    </row>
    <row r="10" spans="1:22" ht="15.75">
      <c r="A10" s="112">
        <f>'09'!A10+(B10-SUM(D10:F10))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'09'!A11+(B11-SUM(D11:F11))</f>
        <v>60.47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60+20</f>
        <v>80</v>
      </c>
      <c r="L11" s="427"/>
      <c r="M11" s="1"/>
      <c r="N11" s="1"/>
      <c r="R11" s="3"/>
    </row>
    <row r="12" spans="1:22" ht="15.75">
      <c r="A12" s="112">
        <f>'09'!A12+(B12-SUM(D12:F12))</f>
        <v>251.5</v>
      </c>
      <c r="B12" s="134">
        <v>0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'09'!A13+(B13-SUM(D13:F13))</f>
        <v>523.5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30089.47</v>
      </c>
      <c r="L19" s="442"/>
      <c r="M19" s="1"/>
      <c r="N19" s="1"/>
      <c r="R19" s="3"/>
    </row>
    <row r="20" spans="1:18" ht="16.5" thickBot="1">
      <c r="A20" s="112">
        <f>SUM(A6:A15)</f>
        <v>1990.13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/>
      <c r="K25" s="408"/>
      <c r="L25" s="231">
        <v>2617.69</v>
      </c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'09'!A27+(B27-SUM(D27:F27))</f>
        <v>276.16999999999985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'09'!A28+(B28-SUM(D28:F28))</f>
        <v>69.53000000000003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'09'!A29+(B29-SUM(D29:F29))</f>
        <v>20.22000000000001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'09'!A30+(B30-SUM(D30:F30))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309</v>
      </c>
      <c r="K30" s="408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486</v>
      </c>
      <c r="K31" s="410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717</v>
      </c>
      <c r="K32" s="410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 t="s">
        <v>234</v>
      </c>
      <c r="K33" s="410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929.91999999999985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303</v>
      </c>
      <c r="K40" s="408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 t="s">
        <v>58</v>
      </c>
      <c r="K41" s="410"/>
      <c r="L41" s="229">
        <v>0.02</v>
      </c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 t="s">
        <v>720</v>
      </c>
      <c r="K42" s="410"/>
      <c r="L42" s="229">
        <v>52.06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695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698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699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706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713</v>
      </c>
      <c r="H50" s="1"/>
      <c r="I50" s="404" t="str">
        <f>AÑO!A13</f>
        <v>Gubernamental</v>
      </c>
      <c r="J50" s="407" t="s">
        <v>655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714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715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716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718</v>
      </c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726</v>
      </c>
      <c r="H55" s="1"/>
      <c r="I55" s="404" t="str">
        <f>AÑO!A14</f>
        <v>Mutualite/DKV</v>
      </c>
      <c r="J55" s="407" t="s">
        <v>345</v>
      </c>
      <c r="K55" s="408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727</v>
      </c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37</v>
      </c>
      <c r="K60" s="408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'09'!A66+(B66-SUM(D66:F78))+B67</f>
        <v>263.03000000000009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697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707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712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744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23.819999999999993</v>
      </c>
      <c r="B79" s="233">
        <v>10</v>
      </c>
      <c r="C79" s="17" t="s">
        <v>223</v>
      </c>
      <c r="D79" s="135">
        <f>22.3+25.93</f>
        <v>48.230000000000004</v>
      </c>
      <c r="E79" s="139"/>
      <c r="F79" s="139"/>
      <c r="G79" s="17" t="s">
        <v>739</v>
      </c>
      <c r="H79" s="1"/>
      <c r="M79" s="1"/>
      <c r="R79" s="3"/>
    </row>
    <row r="80" spans="1:18" ht="16.5" thickBot="1">
      <c r="A80" s="112">
        <f>SUM(A66:A79)</f>
        <v>286.85000000000008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195</v>
      </c>
      <c r="D86" s="137">
        <v>1</v>
      </c>
      <c r="E86" s="138"/>
      <c r="F86" s="138"/>
      <c r="G86" s="16" t="s">
        <v>694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703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705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724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725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728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748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750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1.0200000000000813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1066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696.21159742449754</v>
      </c>
      <c r="B109" s="134">
        <v>80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291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720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5001.0615974244993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733</v>
      </c>
      <c r="I127" s="113">
        <f>D127+D128+'09'!I127</f>
        <v>125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742</v>
      </c>
      <c r="D130" s="137">
        <v>65</v>
      </c>
      <c r="E130" s="138"/>
      <c r="F130" s="138"/>
      <c r="G130" s="16" t="s">
        <v>743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29.38+32.98-7.35-8.25</f>
        <v>46.76</v>
      </c>
      <c r="E146" s="138"/>
      <c r="F146" s="138"/>
      <c r="G146" s="16" t="s">
        <v>695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f>38</f>
        <v>38</v>
      </c>
      <c r="E186" s="138"/>
      <c r="F186" s="138"/>
      <c r="G186" s="16" t="s">
        <v>700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708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711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735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736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740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281</v>
      </c>
      <c r="D246" s="137">
        <f>2.99+15.99-2.4</f>
        <v>16.580000000000002</v>
      </c>
      <c r="E246" s="138"/>
      <c r="F246" s="138"/>
      <c r="G246" s="16" t="s">
        <v>695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716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723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737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654</v>
      </c>
      <c r="D257" s="137"/>
      <c r="E257" s="138">
        <v>100.67</v>
      </c>
      <c r="F257" s="138"/>
      <c r="G257" s="16" t="s">
        <v>284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9" ht="15" customHeight="1" thickBot="1">
      <c r="B263" s="419"/>
      <c r="C263" s="420"/>
      <c r="D263" s="420"/>
      <c r="E263" s="420"/>
      <c r="F263" s="420"/>
      <c r="G263" s="421"/>
    </row>
    <row r="264" spans="1:9">
      <c r="B264" s="429" t="s">
        <v>8</v>
      </c>
      <c r="C264" s="430"/>
      <c r="D264" s="429" t="s">
        <v>9</v>
      </c>
      <c r="E264" s="431"/>
      <c r="F264" s="431"/>
      <c r="G264" s="430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693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'09'!A286+(SUM(B286:B298)-SUM(D286:F298))</f>
        <v>93.219999999999743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701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702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738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741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624</v>
      </c>
      <c r="D299" s="135"/>
      <c r="E299" s="139"/>
      <c r="F299" s="139"/>
      <c r="G299" s="17"/>
    </row>
    <row r="300" spans="1:8" ht="16.5" thickBot="1">
      <c r="A300" s="112">
        <f>SUM(A286:A299)</f>
        <v>193.21999999999974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581</v>
      </c>
      <c r="D306" s="137">
        <f>37.5+37.5</f>
        <v>75</v>
      </c>
      <c r="E306" s="138"/>
      <c r="F306" s="138"/>
      <c r="G306" s="16" t="s">
        <v>704</v>
      </c>
    </row>
    <row r="307" spans="2:7">
      <c r="B307" s="134">
        <f>28.54*2</f>
        <v>57.08</v>
      </c>
      <c r="C307" s="27" t="s">
        <v>345</v>
      </c>
      <c r="D307" s="137"/>
      <c r="E307" s="138"/>
      <c r="F307" s="138">
        <v>50</v>
      </c>
      <c r="G307" s="16" t="s">
        <v>709</v>
      </c>
    </row>
    <row r="308" spans="2:7">
      <c r="B308" s="134"/>
      <c r="C308" s="27"/>
      <c r="D308" s="137">
        <v>35.96</v>
      </c>
      <c r="E308" s="138"/>
      <c r="F308" s="138"/>
      <c r="G308" s="16" t="s">
        <v>710</v>
      </c>
    </row>
    <row r="309" spans="2:7">
      <c r="B309" s="134"/>
      <c r="C309" s="16"/>
      <c r="D309" s="137">
        <v>16.21</v>
      </c>
      <c r="E309" s="138"/>
      <c r="F309" s="138"/>
      <c r="G309" s="16" t="s">
        <v>730</v>
      </c>
    </row>
    <row r="310" spans="2:7">
      <c r="B310" s="134"/>
      <c r="C310" s="16"/>
      <c r="D310" s="137"/>
      <c r="E310" s="138"/>
      <c r="F310" s="138">
        <v>50</v>
      </c>
      <c r="G310" s="16" t="s">
        <v>729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731</v>
      </c>
    </row>
    <row r="312" spans="2:7">
      <c r="B312" s="134"/>
      <c r="C312" s="16"/>
      <c r="D312" s="137"/>
      <c r="E312" s="138"/>
      <c r="F312" s="138">
        <v>60</v>
      </c>
      <c r="G312" s="16" t="s">
        <v>732</v>
      </c>
    </row>
    <row r="313" spans="2:7">
      <c r="B313" s="134"/>
      <c r="C313" s="16"/>
      <c r="D313" s="137">
        <v>5.3</v>
      </c>
      <c r="E313" s="138"/>
      <c r="F313" s="138"/>
      <c r="G313" s="16" t="s">
        <v>734</v>
      </c>
    </row>
    <row r="314" spans="2:7">
      <c r="B314" s="134"/>
      <c r="C314" s="16"/>
      <c r="D314" s="137">
        <v>12.95</v>
      </c>
      <c r="E314" s="138"/>
      <c r="F314" s="138"/>
      <c r="G314" s="16" t="s">
        <v>747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745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746</v>
      </c>
    </row>
    <row r="317" spans="2:7">
      <c r="B317" s="134"/>
      <c r="C317" s="16"/>
      <c r="D317" s="137"/>
      <c r="E317" s="138"/>
      <c r="F317" s="138">
        <v>4.5</v>
      </c>
      <c r="G317" s="16" t="s">
        <v>751</v>
      </c>
    </row>
    <row r="318" spans="2:7">
      <c r="B318" s="134"/>
      <c r="C318" s="16"/>
      <c r="D318" s="137"/>
      <c r="E318" s="138"/>
      <c r="F318" s="138">
        <v>84.93</v>
      </c>
      <c r="G318" s="16" t="s">
        <v>752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696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'09'!A346+(B346-SUM(D346:F357))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591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590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291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720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692</v>
      </c>
    </row>
    <row r="407" spans="2:7">
      <c r="B407" s="134">
        <v>0.89</v>
      </c>
      <c r="C407" s="16" t="s">
        <v>303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291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720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AÑO!AM17</f>
        <v>3972.5899999999997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-37.460000000000036</v>
      </c>
      <c r="C426" s="19" t="s">
        <v>222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291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650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510.50919055649229</v>
      </c>
      <c r="B467" s="134">
        <v>71.349999999999994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'09'!A468+(B468-SUM(D468:F468))</f>
        <v>163.19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>
        <v>1100</v>
      </c>
      <c r="C469" s="16" t="s">
        <v>291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720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673.69919055649234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749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64" workbookViewId="0">
      <selection activeCell="L77" sqref="L7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189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4501.8900000000003</v>
      </c>
      <c r="L5" s="425"/>
      <c r="M5" s="1"/>
      <c r="N5" s="1"/>
      <c r="R5" s="3"/>
    </row>
    <row r="6" spans="1:22" ht="15.75">
      <c r="A6" s="112">
        <f>'10'!A6+(B6-SUM(D6:F6))</f>
        <v>1173.78</v>
      </c>
      <c r="B6" s="133">
        <v>389.26</v>
      </c>
      <c r="C6" s="19" t="s">
        <v>691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6">
        <v>620.14</v>
      </c>
      <c r="L6" s="427"/>
      <c r="M6" s="1" t="s">
        <v>162</v>
      </c>
      <c r="N6" s="1"/>
      <c r="R6" s="3"/>
    </row>
    <row r="7" spans="1:22" ht="15.75">
      <c r="A7" s="112">
        <f>'10'!A7+(B7-SUM(D7:F7))</f>
        <v>499.40000000000009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f>7374.65</f>
        <v>7374.65</v>
      </c>
      <c r="L7" s="427"/>
      <c r="M7" s="1"/>
      <c r="N7" s="1"/>
      <c r="R7" s="3"/>
    </row>
    <row r="8" spans="1:22" ht="15.75">
      <c r="A8" s="112">
        <f>'10'!A8+(B8-SUM(D8:F8))</f>
        <v>-0.19999999999998863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6307.51</v>
      </c>
      <c r="L8" s="427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f>4292.78+2.31</f>
        <v>4295.09</v>
      </c>
      <c r="L9" s="427"/>
      <c r="M9" s="1"/>
      <c r="N9" s="1"/>
      <c r="R9" s="3"/>
    </row>
    <row r="10" spans="1:22" ht="15.75">
      <c r="A10" s="112">
        <f>'10'!A10+(B10-SUM(D10:F10))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'10'!A11+(B11-SUM(D11:F11))</f>
        <v>60.48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40+70</f>
        <v>110</v>
      </c>
      <c r="L11" s="427"/>
      <c r="M11" s="1"/>
      <c r="N11" s="1"/>
      <c r="R11" s="3"/>
    </row>
    <row r="12" spans="1:22" ht="15.75">
      <c r="A12" s="112">
        <f>'10'!A12+(B12-SUM(D12:F12))</f>
        <v>251.5</v>
      </c>
      <c r="B12" s="134">
        <v>0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</f>
        <v>5092.08</v>
      </c>
      <c r="L12" s="427"/>
      <c r="M12" s="92"/>
      <c r="N12" s="1"/>
      <c r="R12" s="3"/>
    </row>
    <row r="13" spans="1:22" ht="15.75">
      <c r="A13" s="112">
        <f>'10'!A13+(B13-SUM(D13:F13))</f>
        <v>530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30103.380000000005</v>
      </c>
      <c r="L19" s="442"/>
      <c r="M19" s="1"/>
      <c r="N19" s="1"/>
      <c r="R19" s="3"/>
    </row>
    <row r="20" spans="1:18" ht="16.5" thickBot="1">
      <c r="A20" s="112">
        <f>SUM(A6:A15)</f>
        <v>2550.96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2588.0700000000002</v>
      </c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'10'!A27+(B27-SUM(D27:F27))</f>
        <v>280.17999999999984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'10'!A28+(B28-SUM(D28:F28))</f>
        <v>109.53000000000003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'10'!A29+(B29-SUM(D29:F29))</f>
        <v>19.600000000000009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'10'!A30+(B30-SUM(D30:F30))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309</v>
      </c>
      <c r="K30" s="408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547</v>
      </c>
      <c r="K31" s="410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973.30999999999972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755</v>
      </c>
      <c r="K40" s="408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761</v>
      </c>
      <c r="K45" s="408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760</v>
      </c>
      <c r="H46" s="1"/>
      <c r="I46" s="405"/>
      <c r="J46" s="409" t="s">
        <v>775</v>
      </c>
      <c r="K46" s="410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771</v>
      </c>
      <c r="H47" s="1"/>
      <c r="I47" s="405"/>
      <c r="J47" s="409" t="s">
        <v>776</v>
      </c>
      <c r="K47" s="410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773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779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784</v>
      </c>
      <c r="H50" s="1"/>
      <c r="I50" s="404" t="str">
        <f>AÑO!A13</f>
        <v>Gubernamental</v>
      </c>
      <c r="J50" s="407" t="s">
        <v>766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788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790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792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 t="s">
        <v>765</v>
      </c>
      <c r="K55" s="408"/>
      <c r="L55" s="231">
        <v>300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 t="s">
        <v>548</v>
      </c>
      <c r="K56" s="410"/>
      <c r="L56" s="229">
        <f>20.27+14.27+21.94+14.27+22.27</f>
        <v>93.02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758</v>
      </c>
      <c r="K60" s="408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'10'!A66+(B66-SUM(D66:F78))+B67</f>
        <v>284.8300000000001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759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774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778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786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785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793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33.819999999999993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318.65000000000009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195</v>
      </c>
      <c r="D86" s="137">
        <v>43.28</v>
      </c>
      <c r="E86" s="138"/>
      <c r="F86" s="138"/>
      <c r="G86" s="16" t="s">
        <v>794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1.1100000000000847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1116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776.21159742449754</v>
      </c>
      <c r="B109" s="134">
        <v>80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5051.1515974244994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22.5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733</v>
      </c>
      <c r="I127" s="113">
        <f>D127+D128+'10'!I127</f>
        <v>135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742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781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64.16</v>
      </c>
      <c r="E186" s="138"/>
      <c r="F186" s="138"/>
      <c r="G186" s="16" t="s">
        <v>787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281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9" ht="15.75">
      <c r="A257" s="112">
        <f>'10'!A257+(B257-SUM(D257:F257))</f>
        <v>424.11000000000007</v>
      </c>
      <c r="B257" s="134">
        <v>40</v>
      </c>
      <c r="C257" s="16" t="s">
        <v>722</v>
      </c>
      <c r="D257" s="137"/>
      <c r="E257" s="138"/>
      <c r="F257" s="138"/>
      <c r="G257" s="16" t="s">
        <v>284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502.58000000000004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9" ht="15" customHeight="1" thickBot="1">
      <c r="B263" s="419"/>
      <c r="C263" s="420"/>
      <c r="D263" s="420"/>
      <c r="E263" s="420"/>
      <c r="F263" s="420"/>
      <c r="G263" s="421"/>
    </row>
    <row r="264" spans="1:9">
      <c r="B264" s="429" t="s">
        <v>8</v>
      </c>
      <c r="C264" s="430"/>
      <c r="D264" s="429" t="s">
        <v>9</v>
      </c>
      <c r="E264" s="431"/>
      <c r="F264" s="431"/>
      <c r="G264" s="430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'10'!A286+(SUM(B286:B298)-SUM(D286:F298))</f>
        <v>143.21999999999974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624</v>
      </c>
      <c r="D299" s="135"/>
      <c r="E299" s="139"/>
      <c r="F299" s="139"/>
      <c r="G299" s="17"/>
    </row>
    <row r="300" spans="1:8" ht="16.5" thickBot="1">
      <c r="A300" s="112">
        <f>SUM(A286:A299)</f>
        <v>283.21999999999974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8">
      <c r="B306" s="133">
        <v>130</v>
      </c>
      <c r="C306" s="19" t="s">
        <v>581</v>
      </c>
      <c r="D306" s="137"/>
      <c r="E306" s="138"/>
      <c r="F306" s="138">
        <v>80</v>
      </c>
      <c r="G306" s="16" t="s">
        <v>764</v>
      </c>
    </row>
    <row r="307" spans="2:8">
      <c r="B307" s="134">
        <v>300</v>
      </c>
      <c r="C307" s="27" t="s">
        <v>768</v>
      </c>
      <c r="D307" s="137">
        <v>82.87</v>
      </c>
      <c r="E307" s="138"/>
      <c r="F307" s="138"/>
      <c r="G307" s="16" t="s">
        <v>767</v>
      </c>
    </row>
    <row r="308" spans="2:8">
      <c r="B308" s="134">
        <f>L56</f>
        <v>93.02</v>
      </c>
      <c r="C308" s="27" t="s">
        <v>345</v>
      </c>
      <c r="D308" s="137">
        <v>33</v>
      </c>
      <c r="E308" s="138"/>
      <c r="F308" s="138"/>
      <c r="G308" s="16" t="s">
        <v>770</v>
      </c>
    </row>
    <row r="309" spans="2:8">
      <c r="B309" s="134"/>
      <c r="C309" s="16"/>
      <c r="D309" s="137">
        <v>40.18</v>
      </c>
      <c r="E309" s="138"/>
      <c r="F309" s="138"/>
      <c r="G309" s="16" t="s">
        <v>772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777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780</v>
      </c>
    </row>
    <row r="312" spans="2:8">
      <c r="B312" s="134"/>
      <c r="C312" s="16"/>
      <c r="D312" s="137">
        <v>50</v>
      </c>
      <c r="E312" s="138"/>
      <c r="F312" s="138"/>
      <c r="G312" s="16" t="s">
        <v>783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523.02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763</v>
      </c>
    </row>
    <row r="327" spans="2:7">
      <c r="B327" s="134">
        <v>30</v>
      </c>
      <c r="C327" s="16" t="s">
        <v>762</v>
      </c>
      <c r="D327" s="137"/>
      <c r="E327" s="138"/>
      <c r="F327" s="138"/>
      <c r="G327" s="16"/>
    </row>
    <row r="328" spans="2:7">
      <c r="B328" s="134">
        <v>250</v>
      </c>
      <c r="C328" s="16" t="s">
        <v>775</v>
      </c>
      <c r="D328" s="137"/>
      <c r="E328" s="138"/>
      <c r="F328" s="138"/>
      <c r="G328" s="16"/>
    </row>
    <row r="329" spans="2:7">
      <c r="B329" s="134">
        <v>150</v>
      </c>
      <c r="C329" s="16" t="s">
        <v>776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'10'!A346+(B346-SUM(D346:F357))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591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721</v>
      </c>
      <c r="D359" s="135">
        <v>65</v>
      </c>
      <c r="E359" s="139"/>
      <c r="F359" s="139"/>
      <c r="G359" s="17" t="s">
        <v>754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782</v>
      </c>
    </row>
    <row r="368" spans="1:7">
      <c r="B368" s="134"/>
      <c r="C368" s="16"/>
      <c r="D368" s="137">
        <v>34</v>
      </c>
      <c r="E368" s="138"/>
      <c r="F368" s="138"/>
      <c r="G368" s="16" t="s">
        <v>789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753</v>
      </c>
    </row>
    <row r="407" spans="2:7">
      <c r="B407" s="134">
        <v>42.84</v>
      </c>
      <c r="C407" s="16" t="s">
        <v>755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AÑO!AQ17</f>
        <v>4500.4000000000005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-363.34000000000015</v>
      </c>
      <c r="C426" s="19" t="s">
        <v>222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-363.34000000000015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650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'10'!A467+(B467-SUM(D467:F467))</f>
        <v>581.85919055649231</v>
      </c>
      <c r="B467" s="134">
        <v>71.349999999999994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'10'!A468+(B468-SUM(D468:F468))</f>
        <v>178.19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760.04919055649225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791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76" workbookViewId="0">
      <selection activeCell="J152" sqref="J15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192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4501.8900000000003</v>
      </c>
      <c r="L5" s="425"/>
      <c r="M5" s="1"/>
      <c r="N5" s="1"/>
      <c r="R5" s="3"/>
    </row>
    <row r="6" spans="1:22" ht="15.75">
      <c r="A6" s="112">
        <f>'11'!A6+(B6-SUM(D6:F6))</f>
        <v>1563.04</v>
      </c>
      <c r="B6" s="133">
        <v>389.26</v>
      </c>
      <c r="C6" s="19" t="s">
        <v>691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6">
        <v>620.14</v>
      </c>
      <c r="L6" s="427"/>
      <c r="M6" s="1" t="s">
        <v>162</v>
      </c>
      <c r="N6" s="1"/>
      <c r="R6" s="3"/>
    </row>
    <row r="7" spans="1:22" ht="15.75">
      <c r="A7" s="112">
        <f>'11'!A7+(B7-SUM(D7:F7))</f>
        <v>566.58000000000015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f>7374.65</f>
        <v>7374.65</v>
      </c>
      <c r="L7" s="427"/>
      <c r="M7" s="1"/>
      <c r="N7" s="1"/>
      <c r="R7" s="3"/>
    </row>
    <row r="8" spans="1:22" ht="15.75">
      <c r="A8" s="112">
        <f>'11'!A8+(B8-SUM(D8:F8))</f>
        <v>-0.19999999999998863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6307.51</v>
      </c>
      <c r="L8" s="427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f>4292.78+2.31</f>
        <v>4295.09</v>
      </c>
      <c r="L9" s="427"/>
      <c r="M9" s="1"/>
      <c r="N9" s="1"/>
      <c r="R9" s="3"/>
    </row>
    <row r="10" spans="1:22" ht="15.75">
      <c r="A10" s="112">
        <f>'11'!A10+(B10-SUM(D10:F10))</f>
        <v>48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'11'!A11+(B11-SUM(D11:F11))</f>
        <v>90.72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26">
        <f>40+70</f>
        <v>110</v>
      </c>
      <c r="L11" s="427"/>
      <c r="M11" s="1"/>
      <c r="N11" s="1"/>
      <c r="R11" s="3"/>
    </row>
    <row r="12" spans="1:22" ht="15.75">
      <c r="A12" s="112">
        <f>'11'!A12+(B12-SUM(D12:F12))</f>
        <v>-11.54000000000002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</f>
        <v>5092.08</v>
      </c>
      <c r="L12" s="427"/>
      <c r="M12" s="92"/>
      <c r="N12" s="1"/>
      <c r="R12" s="3"/>
    </row>
    <row r="13" spans="1:22" ht="15.75">
      <c r="A13" s="112">
        <f>'11'!A13+(B13-SUM(D13:F13))</f>
        <v>536.5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30103.380000000005</v>
      </c>
      <c r="L19" s="442"/>
      <c r="M19" s="1"/>
      <c r="N19" s="1"/>
      <c r="R19" s="3"/>
    </row>
    <row r="20" spans="1:18" ht="16.5" thickBot="1">
      <c r="A20" s="112">
        <f>SUM(A6:A15)</f>
        <v>2793.1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'11'!A27+(B27-SUM(D27:F27))</f>
        <v>470.17999999999984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'11'!A28+(B28-SUM(D28:F28))</f>
        <v>149.53000000000003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'11'!A29+(B29-SUM(D29:F29))</f>
        <v>37.600000000000009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'11'!A30+(B30-SUM(D30:F30))</f>
        <v>-331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309</v>
      </c>
      <c r="K30" s="40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2126.31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 t="s">
        <v>766</v>
      </c>
      <c r="K50" s="408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37</v>
      </c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'11'!A66+(B66-SUM(D66:F78))+B67</f>
        <v>459.8300000000001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43.819999999999993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503.65000000000009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4192.5115974244991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70.110000000000085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1166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856.21159742449754</v>
      </c>
      <c r="B109" s="134">
        <v>80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5428.6215974244988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37.5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733</v>
      </c>
      <c r="I127" s="113">
        <f>D127+D128+'11'!I127</f>
        <v>135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742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24.87</v>
      </c>
      <c r="E146" s="138"/>
      <c r="F146" s="138"/>
      <c r="G146" s="16" t="s">
        <v>810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796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281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'11'!A257+(B257-SUM(D257:F257))</f>
        <v>604.11000000000013</v>
      </c>
      <c r="B257" s="134">
        <f>40+140</f>
        <v>180</v>
      </c>
      <c r="C257" s="16" t="s">
        <v>769</v>
      </c>
      <c r="D257" s="137"/>
      <c r="E257" s="138"/>
      <c r="F257" s="138"/>
      <c r="G257" s="16" t="s">
        <v>284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752.58000000000015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'11'!A286+(SUM(B286:B298)-SUM(D286:F298))</f>
        <v>193.21999999999974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624</v>
      </c>
      <c r="D299" s="135"/>
      <c r="E299" s="139"/>
      <c r="F299" s="139"/>
      <c r="G299" s="17"/>
    </row>
    <row r="300" spans="1:8" ht="16.5" thickBot="1">
      <c r="A300" s="112">
        <f>SUM(A286:A299)</f>
        <v>378.21999999999974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581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'11'!A346+(B346-SUM(D346:F357))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591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721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222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650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'11'!A467+(B467-SUM(D467:F467))</f>
        <v>716.24919055649229</v>
      </c>
      <c r="B467" s="134">
        <f>71.35+63.04</f>
        <v>134.38999999999999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'11'!A468+(B468-SUM(D468:F468))</f>
        <v>188.19</v>
      </c>
      <c r="B468" s="134">
        <v>10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904.43919055649235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795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4"/>
  <sheetViews>
    <sheetView topLeftCell="A61" workbookViewId="0">
      <selection activeCell="E80" sqref="E80"/>
    </sheetView>
  </sheetViews>
  <sheetFormatPr defaultColWidth="11" defaultRowHeight="15"/>
  <cols>
    <col min="3" max="3" width="14.140625" customWidth="1"/>
    <col min="4" max="4" width="18" customWidth="1"/>
    <col min="5" max="5" width="12" bestFit="1" customWidth="1"/>
    <col min="7" max="7" width="11.7109375" customWidth="1"/>
    <col min="8" max="8" width="17.7109375" bestFit="1" customWidth="1"/>
    <col min="9" max="9" width="12" bestFit="1" customWidth="1"/>
    <col min="11" max="11" width="12" bestFit="1" customWidth="1"/>
  </cols>
  <sheetData>
    <row r="1" spans="1:5" ht="15.75" thickBot="1">
      <c r="A1" s="90">
        <v>258.47000000000003</v>
      </c>
      <c r="B1" s="341" t="s">
        <v>835</v>
      </c>
    </row>
    <row r="2" spans="1:5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5">
      <c r="B3" s="79">
        <v>43074</v>
      </c>
      <c r="C3" s="70">
        <v>0</v>
      </c>
      <c r="D3" s="66">
        <v>24736.65</v>
      </c>
      <c r="E3" t="s">
        <v>146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146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146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146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146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146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146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146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146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146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146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146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146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146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146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146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146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146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146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146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146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146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146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E28" t="s">
        <v>146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4" spans="2:9">
      <c r="B64" s="342"/>
      <c r="C64" s="90"/>
      <c r="D64" s="90"/>
      <c r="H64" s="119"/>
      <c r="I64" s="119"/>
    </row>
    <row r="65" spans="2:7">
      <c r="B65" s="341" t="s">
        <v>836</v>
      </c>
    </row>
    <row r="66" spans="2:7">
      <c r="C66" t="s">
        <v>815</v>
      </c>
      <c r="D66">
        <v>16420</v>
      </c>
    </row>
    <row r="67" spans="2:7">
      <c r="C67" t="s">
        <v>814</v>
      </c>
      <c r="D67">
        <f>D66*0.2</f>
        <v>3284</v>
      </c>
    </row>
    <row r="68" spans="2:7">
      <c r="B68" t="s">
        <v>806</v>
      </c>
      <c r="C68" t="s">
        <v>807</v>
      </c>
      <c r="D68" t="s">
        <v>809</v>
      </c>
      <c r="E68" t="s">
        <v>808</v>
      </c>
      <c r="F68" t="s">
        <v>93</v>
      </c>
      <c r="G68" t="s">
        <v>811</v>
      </c>
    </row>
    <row r="69" spans="2:7">
      <c r="B69">
        <v>5</v>
      </c>
      <c r="C69">
        <f>12*B69</f>
        <v>60</v>
      </c>
      <c r="D69">
        <v>17000</v>
      </c>
      <c r="E69">
        <f>D69/C69</f>
        <v>283.33333333333331</v>
      </c>
      <c r="F69">
        <v>0.44</v>
      </c>
      <c r="G69">
        <f>((D69*F69)/100)</f>
        <v>74.8</v>
      </c>
    </row>
    <row r="70" spans="2:7">
      <c r="B70">
        <v>4</v>
      </c>
      <c r="C70">
        <f>12*B70</f>
        <v>48</v>
      </c>
      <c r="D70">
        <f>D66-D67</f>
        <v>13136</v>
      </c>
      <c r="E70">
        <f>D70/C70</f>
        <v>273.66666666666669</v>
      </c>
      <c r="F70">
        <f>F69</f>
        <v>0.44</v>
      </c>
      <c r="G70">
        <f>((D70*F70)/100)</f>
        <v>57.798400000000001</v>
      </c>
    </row>
    <row r="71" spans="2:7">
      <c r="B71">
        <v>3</v>
      </c>
      <c r="C71">
        <f>12*B71</f>
        <v>36</v>
      </c>
      <c r="D71">
        <f>D70-(E70*12)</f>
        <v>9852</v>
      </c>
      <c r="E71">
        <f>D71/C71</f>
        <v>273.66666666666669</v>
      </c>
      <c r="F71">
        <f>F70</f>
        <v>0.44</v>
      </c>
      <c r="G71">
        <f>((D71*F71)/100)</f>
        <v>43.348800000000004</v>
      </c>
    </row>
    <row r="72" spans="2:7">
      <c r="B72">
        <v>2</v>
      </c>
      <c r="C72">
        <f>12*B72</f>
        <v>24</v>
      </c>
      <c r="D72">
        <f>D71-(E71*12)</f>
        <v>6568</v>
      </c>
      <c r="E72">
        <f>D72/C72</f>
        <v>273.66666666666669</v>
      </c>
      <c r="F72">
        <f>F71</f>
        <v>0.44</v>
      </c>
      <c r="G72">
        <f>((D72*F72)/100)</f>
        <v>28.8992</v>
      </c>
    </row>
    <row r="73" spans="2:7">
      <c r="B73">
        <v>1</v>
      </c>
      <c r="C73">
        <f>12*B73</f>
        <v>12</v>
      </c>
      <c r="D73">
        <f>D72-(E72*12)</f>
        <v>3284</v>
      </c>
      <c r="E73">
        <f>D73/C73</f>
        <v>273.66666666666669</v>
      </c>
      <c r="F73">
        <f>F72</f>
        <v>0.44</v>
      </c>
      <c r="G73">
        <f>((D73*F73)/100)</f>
        <v>14.4496</v>
      </c>
    </row>
    <row r="74" spans="2:7">
      <c r="E74">
        <f>(D69+G74)/C69</f>
        <v>285.74160000000001</v>
      </c>
      <c r="G74">
        <f>SUM(G70:G73)</f>
        <v>144.49600000000001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D28" sqref="D28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175</v>
      </c>
      <c r="B3" s="114">
        <f>Historico!I25</f>
        <v>43739</v>
      </c>
      <c r="D3" s="44"/>
      <c r="E3" s="45"/>
    </row>
    <row r="4" spans="1:14" ht="12.75" customHeight="1">
      <c r="A4" t="s">
        <v>174</v>
      </c>
      <c r="B4" s="119">
        <v>127806.25</v>
      </c>
      <c r="C4" s="114"/>
      <c r="E4" s="41"/>
    </row>
    <row r="5" spans="1:14" ht="12.75" customHeight="1">
      <c r="A5" t="s">
        <v>88</v>
      </c>
      <c r="B5" s="46">
        <f>Historico!H83</f>
        <v>335</v>
      </c>
      <c r="E5" s="42"/>
      <c r="J5" s="47" t="s">
        <v>89</v>
      </c>
      <c r="L5" s="44" t="s">
        <v>90</v>
      </c>
      <c r="M5" t="s">
        <v>91</v>
      </c>
      <c r="N5" t="s">
        <v>622</v>
      </c>
    </row>
    <row r="6" spans="1:14" ht="12.75" customHeight="1">
      <c r="A6" t="s">
        <v>92</v>
      </c>
      <c r="B6" s="48">
        <f>E19</f>
        <v>-0.35599999999999998</v>
      </c>
      <c r="C6" s="44" t="s">
        <v>93</v>
      </c>
      <c r="D6" s="43" t="s">
        <v>94</v>
      </c>
      <c r="E6" s="42"/>
      <c r="J6" t="s">
        <v>95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96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178</v>
      </c>
      <c r="E8" s="50">
        <f>(B6+0.5)/12</f>
        <v>1.2000000000000002E-2</v>
      </c>
      <c r="J8" t="s">
        <v>97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229</v>
      </c>
      <c r="B9" s="114">
        <v>54117</v>
      </c>
      <c r="D9" t="s">
        <v>98</v>
      </c>
      <c r="E9" s="50">
        <f>1+(E8/100)</f>
        <v>1.0001199999999999</v>
      </c>
      <c r="J9" t="s">
        <v>99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100</v>
      </c>
      <c r="E10" s="50">
        <f>E9^-B5</f>
        <v>0.96059961725716858</v>
      </c>
      <c r="J10" t="s">
        <v>101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3.9400382742831419</v>
      </c>
      <c r="J11" t="s">
        <v>104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106</v>
      </c>
      <c r="B14" s="55">
        <f>B4*(E8/100)</f>
        <v>15.336750000000002</v>
      </c>
      <c r="E14" s="42"/>
    </row>
    <row r="15" spans="1:14" ht="12.75" customHeight="1">
      <c r="A15" t="s">
        <v>107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-0.35599999999999998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113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67" workbookViewId="0">
      <selection activeCell="H88" sqref="H88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177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B22+Coches!D6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B23+Coches!D12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B24+Coches!D18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B25+Coches!D24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1"/>
  <sheetViews>
    <sheetView topLeftCell="A49" workbookViewId="0">
      <selection activeCell="M68" sqref="M68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379</v>
      </c>
      <c r="B1" s="240"/>
      <c r="C1" s="241"/>
      <c r="D1" s="319"/>
      <c r="E1" s="242"/>
      <c r="F1" s="243" t="s">
        <v>380</v>
      </c>
      <c r="G1" s="244"/>
      <c r="H1" s="244"/>
      <c r="I1" s="244"/>
      <c r="J1" s="244"/>
      <c r="K1" s="245" t="s">
        <v>381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382</v>
      </c>
      <c r="B2" s="252" t="s">
        <v>383</v>
      </c>
      <c r="C2" s="252" t="s">
        <v>384</v>
      </c>
      <c r="D2" s="320" t="s">
        <v>426</v>
      </c>
      <c r="E2" s="252" t="s">
        <v>385</v>
      </c>
      <c r="F2" s="253" t="s">
        <v>386</v>
      </c>
      <c r="G2" s="254" t="s">
        <v>387</v>
      </c>
      <c r="H2" s="254" t="s">
        <v>388</v>
      </c>
      <c r="I2" s="254" t="s">
        <v>389</v>
      </c>
      <c r="J2" s="254" t="s">
        <v>7</v>
      </c>
      <c r="K2" s="255" t="s">
        <v>386</v>
      </c>
      <c r="L2" s="256" t="s">
        <v>387</v>
      </c>
      <c r="M2" s="256" t="s">
        <v>389</v>
      </c>
      <c r="N2" s="257" t="s">
        <v>7</v>
      </c>
      <c r="O2" s="258" t="s">
        <v>7</v>
      </c>
      <c r="P2" s="259" t="s">
        <v>390</v>
      </c>
      <c r="Q2" s="259" t="s">
        <v>719</v>
      </c>
      <c r="R2" s="259" t="s">
        <v>93</v>
      </c>
      <c r="S2" s="260" t="s">
        <v>391</v>
      </c>
      <c r="T2" s="261"/>
    </row>
    <row r="3" spans="1:27">
      <c r="A3" s="262" t="s">
        <v>392</v>
      </c>
      <c r="B3" s="262" t="s">
        <v>393</v>
      </c>
      <c r="C3" s="263">
        <v>5600</v>
      </c>
      <c r="D3" s="321">
        <f ca="1">_xlfn.DAYS(K3,F3)</f>
        <v>1651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43860</v>
      </c>
      <c r="L3" s="301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413</v>
      </c>
    </row>
    <row r="4" spans="1:27">
      <c r="A4" s="262" t="s">
        <v>394</v>
      </c>
      <c r="B4" s="262" t="s">
        <v>291</v>
      </c>
      <c r="C4" s="263">
        <v>4090</v>
      </c>
      <c r="D4" s="321">
        <f ca="1">_xlfn.DAYS(K4,F4)</f>
        <v>255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43860</v>
      </c>
      <c r="L4" s="301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413</v>
      </c>
      <c r="T4" s="339"/>
    </row>
    <row r="5" spans="1:27">
      <c r="A5" s="262" t="s">
        <v>394</v>
      </c>
      <c r="B5" s="262" t="s">
        <v>395</v>
      </c>
      <c r="C5" s="263">
        <v>5100</v>
      </c>
      <c r="D5" s="321">
        <f ca="1">_xlfn.DAYS(K5,F5)</f>
        <v>706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43860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413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  <c r="S10" s="446"/>
    </row>
    <row r="11" spans="1:27">
      <c r="A11" s="447" t="s">
        <v>396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  <c r="S11" s="448"/>
    </row>
    <row r="12" spans="1:27">
      <c r="A12" s="290" t="s">
        <v>382</v>
      </c>
      <c r="B12" s="290" t="s">
        <v>383</v>
      </c>
      <c r="C12" s="290" t="s">
        <v>384</v>
      </c>
      <c r="D12" s="323" t="s">
        <v>426</v>
      </c>
      <c r="E12" s="290" t="s">
        <v>385</v>
      </c>
      <c r="F12" s="291" t="s">
        <v>386</v>
      </c>
      <c r="G12" s="292" t="s">
        <v>387</v>
      </c>
      <c r="H12" s="292" t="s">
        <v>388</v>
      </c>
      <c r="I12" s="292" t="s">
        <v>389</v>
      </c>
      <c r="J12" s="292" t="s">
        <v>7</v>
      </c>
      <c r="K12" s="293" t="s">
        <v>386</v>
      </c>
      <c r="L12" s="294" t="s">
        <v>387</v>
      </c>
      <c r="M12" s="294" t="s">
        <v>389</v>
      </c>
      <c r="N12" s="295" t="s">
        <v>7</v>
      </c>
      <c r="O12" s="296" t="s">
        <v>7</v>
      </c>
      <c r="P12" s="297" t="s">
        <v>390</v>
      </c>
      <c r="Q12" s="297" t="s">
        <v>719</v>
      </c>
      <c r="R12" s="297" t="s">
        <v>93</v>
      </c>
      <c r="S12" s="298" t="s">
        <v>391</v>
      </c>
      <c r="T12" s="338" t="s">
        <v>465</v>
      </c>
      <c r="U12" s="338" t="s">
        <v>638</v>
      </c>
      <c r="X12" s="329" t="s">
        <v>409</v>
      </c>
      <c r="Y12" s="329" t="s">
        <v>410</v>
      </c>
      <c r="Z12" s="329" t="s">
        <v>411</v>
      </c>
      <c r="AA12" s="329" t="s">
        <v>412</v>
      </c>
    </row>
    <row r="13" spans="1:27">
      <c r="A13" s="262" t="s">
        <v>392</v>
      </c>
      <c r="B13" s="262" t="s">
        <v>397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397</v>
      </c>
      <c r="T13" s="59">
        <f>R13+R14</f>
        <v>-4.7120556421087471E-2</v>
      </c>
      <c r="X13" s="39">
        <f t="shared" ref="X13:X41" ca="1" si="1">D13/D$43</f>
        <v>3.471444568868981E-2</v>
      </c>
      <c r="Y13" s="119">
        <f ca="1">X13*E13</f>
        <v>139.52669367301232</v>
      </c>
      <c r="Z13" s="38"/>
    </row>
    <row r="14" spans="1:27">
      <c r="A14" s="262" t="s">
        <v>392</v>
      </c>
      <c r="B14" s="262" t="s">
        <v>397</v>
      </c>
      <c r="C14" s="263"/>
      <c r="D14" s="321">
        <f t="shared" ref="D14:D36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398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392</v>
      </c>
      <c r="B15" s="262" t="s">
        <v>399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399</v>
      </c>
      <c r="X15" s="39">
        <f t="shared" ca="1" si="1"/>
        <v>3.0795072788353865E-2</v>
      </c>
      <c r="Y15" s="119">
        <f t="shared" ca="1" si="3"/>
        <v>0</v>
      </c>
    </row>
    <row r="16" spans="1:27">
      <c r="A16" s="262" t="s">
        <v>392</v>
      </c>
      <c r="B16" s="262" t="s">
        <v>400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400</v>
      </c>
      <c r="X16" s="39">
        <f t="shared" ca="1" si="1"/>
        <v>7.8387458006718928E-3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401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402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392</v>
      </c>
      <c r="B19" s="262" t="s">
        <v>400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400</v>
      </c>
      <c r="T19" s="59">
        <f>R19+R21+R24</f>
        <v>0.24013324659263452</v>
      </c>
      <c r="X19" s="39">
        <f t="shared" ca="1" si="1"/>
        <v>0.48656215005599102</v>
      </c>
      <c r="Y19" s="119">
        <f t="shared" ca="1" si="3"/>
        <v>2152.2589756326988</v>
      </c>
    </row>
    <row r="20" spans="1:25">
      <c r="A20" s="262" t="s">
        <v>392</v>
      </c>
      <c r="B20" s="262" t="s">
        <v>400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6" si="4">M20+N20</f>
        <v>2575.34</v>
      </c>
      <c r="R20" s="274">
        <f>P20/E20</f>
        <v>3.2879453879453884</v>
      </c>
      <c r="S20" s="275" t="s">
        <v>427</v>
      </c>
      <c r="X20" s="39">
        <f t="shared" ca="1" si="1"/>
        <v>0.35386338185890259</v>
      </c>
      <c r="Y20" s="119">
        <f t="shared" ca="1" si="3"/>
        <v>212.5303471444569</v>
      </c>
    </row>
    <row r="21" spans="1:25">
      <c r="A21" s="262" t="s">
        <v>392</v>
      </c>
      <c r="B21" s="262" t="s">
        <v>400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403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401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404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392</v>
      </c>
      <c r="B24" s="262" t="s">
        <v>400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405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392</v>
      </c>
      <c r="B25" s="262" t="s">
        <v>400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400</v>
      </c>
      <c r="X25" s="39">
        <f t="shared" ca="1" si="1"/>
        <v>0.1612541993281075</v>
      </c>
      <c r="Y25" s="119">
        <f t="shared" ca="1" si="3"/>
        <v>98.036623229563261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406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406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394</v>
      </c>
      <c r="B28" s="262" t="s">
        <v>395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395</v>
      </c>
      <c r="T28" s="59">
        <f>R28+R29+R30+R34</f>
        <v>0.15363527784681297</v>
      </c>
      <c r="U28" s="59">
        <f>(L28/L5)-1</f>
        <v>0</v>
      </c>
      <c r="X28" s="39">
        <f t="shared" ca="1" si="1"/>
        <v>0.36730123180291152</v>
      </c>
      <c r="Y28" s="119">
        <f t="shared" ca="1" si="3"/>
        <v>1890.9008562597985</v>
      </c>
    </row>
    <row r="29" spans="1:25">
      <c r="A29" s="262" t="s">
        <v>394</v>
      </c>
      <c r="B29" s="262" t="s">
        <v>395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351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394</v>
      </c>
      <c r="B30" s="262" t="s">
        <v>395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351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394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407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394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408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394</v>
      </c>
      <c r="B33" s="262" t="s">
        <v>291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291</v>
      </c>
      <c r="X33" s="39">
        <f t="shared" ca="1" si="1"/>
        <v>1.2318029115341545E-2</v>
      </c>
      <c r="Y33" s="119">
        <f t="shared" ca="1" si="3"/>
        <v>50.862696752519589</v>
      </c>
    </row>
    <row r="34" spans="1:27">
      <c r="A34" s="262" t="s">
        <v>394</v>
      </c>
      <c r="B34" s="262" t="s">
        <v>395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351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394</v>
      </c>
      <c r="B35" s="262" t="s">
        <v>291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291</v>
      </c>
      <c r="U35" s="59"/>
      <c r="X35" s="39">
        <f t="shared" ca="1" si="1"/>
        <v>8.3426651735722279E-2</v>
      </c>
      <c r="Y35" s="119">
        <f t="shared" ca="1" si="3"/>
        <v>341.11046032474803</v>
      </c>
    </row>
    <row r="36" spans="1:27">
      <c r="A36" s="262" t="s">
        <v>394</v>
      </c>
      <c r="B36" s="262" t="s">
        <v>395</v>
      </c>
      <c r="C36" s="263"/>
      <c r="D36" s="321">
        <f t="shared" si="2"/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si="4"/>
        <v>-43.400000000000006</v>
      </c>
      <c r="R36" s="274">
        <f>P36/E36</f>
        <v>8.3215281850159608E-3</v>
      </c>
      <c r="S36" s="275" t="s">
        <v>351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>
        <v>-4.45</v>
      </c>
      <c r="Q37" s="273"/>
      <c r="R37" s="274"/>
      <c r="S37" s="275" t="s">
        <v>834</v>
      </c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1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1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2"/>
      <c r="B42" s="313"/>
      <c r="C42" s="314"/>
      <c r="D42" s="324">
        <f>SUM(D13:D41)</f>
        <v>2747</v>
      </c>
      <c r="E42" s="314">
        <f>SUM(E13:E41)</f>
        <v>56475.638345999992</v>
      </c>
      <c r="F42" s="317"/>
      <c r="G42" s="314"/>
      <c r="H42" s="315"/>
      <c r="I42" s="314"/>
      <c r="J42" s="318">
        <f>SUM(J13:J41)</f>
        <v>-231.578036</v>
      </c>
      <c r="K42" s="313"/>
      <c r="L42" s="313"/>
      <c r="M42" s="313"/>
      <c r="N42" s="318">
        <f>SUM(N13:N41)</f>
        <v>-424.69515899999999</v>
      </c>
      <c r="O42" s="314">
        <f>SUM(O13:O41)</f>
        <v>-567.49329699999998</v>
      </c>
      <c r="P42" s="314">
        <f>SUM(P13:P41)</f>
        <v>4398.8850830000001</v>
      </c>
      <c r="Q42" s="314"/>
      <c r="R42" s="325">
        <f>SUM(R13:R41)</f>
        <v>4.0736492981782479</v>
      </c>
      <c r="S42" s="316"/>
      <c r="X42" s="326">
        <f ca="1">SUM(X13:X41)</f>
        <v>1.5380739081746921</v>
      </c>
      <c r="Y42" s="327">
        <f ca="1">SUM(Y13:Y41)</f>
        <v>4885.2266530167972</v>
      </c>
      <c r="Z42" s="328">
        <f ca="1">P42/Y42</f>
        <v>0.90044646757249958</v>
      </c>
      <c r="AA42" s="328">
        <f ca="1">Z42/(D$43/365)</f>
        <v>0.18402181448150187</v>
      </c>
    </row>
    <row r="43" spans="1:27">
      <c r="C43" s="119" t="s">
        <v>429</v>
      </c>
      <c r="D43" s="46">
        <f ca="1">_xlfn.DAYS(TODAY(),F13)</f>
        <v>1786</v>
      </c>
      <c r="E43" s="119"/>
      <c r="F43" s="300"/>
      <c r="G43" s="119"/>
      <c r="H43" s="302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2"/>
      <c r="I44" s="119"/>
      <c r="J44" s="119"/>
    </row>
    <row r="45" spans="1:27">
      <c r="C45" s="119"/>
      <c r="E45" s="119"/>
      <c r="F45" s="300"/>
      <c r="G45" s="119"/>
      <c r="H45" s="302"/>
      <c r="I45" s="119"/>
      <c r="J45" s="119"/>
      <c r="R45" s="119"/>
    </row>
    <row r="46" spans="1:27">
      <c r="C46" s="119"/>
      <c r="E46" s="119"/>
      <c r="F46" s="300"/>
      <c r="G46" s="119"/>
      <c r="H46" s="302"/>
      <c r="I46" s="119"/>
      <c r="J46" s="119"/>
      <c r="L46" s="119"/>
    </row>
    <row r="47" spans="1:27">
      <c r="C47" s="119"/>
      <c r="E47" s="119"/>
      <c r="F47" s="300"/>
      <c r="G47" s="119"/>
      <c r="H47" s="302"/>
      <c r="I47" s="119"/>
      <c r="J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414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415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416</v>
      </c>
      <c r="F58">
        <v>93.54</v>
      </c>
      <c r="G58">
        <v>65</v>
      </c>
      <c r="H58" s="58">
        <f>1-(G58/F58)</f>
        <v>0.30511011332050464</v>
      </c>
      <c r="I58" s="303"/>
      <c r="J58" s="303"/>
      <c r="K58" s="303"/>
      <c r="L58" s="38"/>
      <c r="R58" s="119"/>
    </row>
    <row r="59" spans="3:29">
      <c r="D59" s="46" t="s">
        <v>417</v>
      </c>
      <c r="F59">
        <v>20</v>
      </c>
      <c r="G59">
        <v>14</v>
      </c>
      <c r="H59" s="58">
        <f>1-(G59/F59)</f>
        <v>0.30000000000000004</v>
      </c>
      <c r="R59" s="119"/>
      <c r="T59" s="305"/>
    </row>
    <row r="60" spans="3:29">
      <c r="G60" s="38"/>
      <c r="T60" s="303"/>
      <c r="U60">
        <f>(0.00242*12)</f>
        <v>2.9039999999999996E-2</v>
      </c>
    </row>
    <row r="61" spans="3:29">
      <c r="P61" s="303"/>
      <c r="Q61" s="303"/>
      <c r="T61" s="306"/>
      <c r="U61">
        <f>4700*U60</f>
        <v>136.48799999999997</v>
      </c>
    </row>
    <row r="62" spans="3:29">
      <c r="R62" s="59"/>
      <c r="T62" s="307" t="s">
        <v>418</v>
      </c>
      <c r="U62" s="41" t="s">
        <v>419</v>
      </c>
      <c r="V62" s="38"/>
    </row>
    <row r="63" spans="3:29" ht="15.75">
      <c r="G63" s="38"/>
      <c r="S63" t="s">
        <v>420</v>
      </c>
      <c r="T63" s="308" t="s">
        <v>421</v>
      </c>
      <c r="U63" s="309"/>
      <c r="V63" s="38"/>
    </row>
    <row r="64" spans="3:29">
      <c r="F64" s="38"/>
      <c r="G64" s="38"/>
      <c r="S64" t="s">
        <v>422</v>
      </c>
      <c r="T64" s="308" t="s">
        <v>423</v>
      </c>
      <c r="U64" t="s">
        <v>424</v>
      </c>
    </row>
    <row r="65" spans="6:22">
      <c r="F65" s="38"/>
      <c r="G65" s="38"/>
      <c r="H65" s="38"/>
      <c r="T65" s="38"/>
      <c r="U65" t="s">
        <v>425</v>
      </c>
      <c r="V65" s="38"/>
    </row>
    <row r="66" spans="6:22">
      <c r="K66" s="310"/>
      <c r="T66" s="305"/>
    </row>
    <row r="67" spans="6:22">
      <c r="T67" s="311"/>
    </row>
    <row r="68" spans="6:22">
      <c r="T68" s="308"/>
      <c r="U68">
        <f>5000/12</f>
        <v>416.66666666666669</v>
      </c>
    </row>
    <row r="69" spans="6:22">
      <c r="U69">
        <f>2.2/U68</f>
        <v>5.28E-3</v>
      </c>
    </row>
    <row r="70" spans="6:22">
      <c r="U70">
        <f>100*U69</f>
        <v>0.52800000000000002</v>
      </c>
    </row>
    <row r="71" spans="6:22">
      <c r="U71">
        <f>2.2*12</f>
        <v>26.400000000000002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topLeftCell="A28" workbookViewId="0">
      <selection activeCell="H26" sqref="H26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9" t="s">
        <v>435</v>
      </c>
      <c r="B1" s="449"/>
      <c r="C1" s="449"/>
      <c r="D1" s="449"/>
      <c r="E1" s="449"/>
    </row>
    <row r="2" spans="1:5">
      <c r="A2" s="331" t="s">
        <v>431</v>
      </c>
      <c r="B2" s="332" t="s">
        <v>86</v>
      </c>
      <c r="C2" s="332" t="s">
        <v>432</v>
      </c>
      <c r="D2" s="332" t="s">
        <v>433</v>
      </c>
      <c r="E2" s="270"/>
    </row>
    <row r="3" spans="1:5">
      <c r="A3" s="333" t="s">
        <v>50</v>
      </c>
      <c r="B3" s="334">
        <v>7350</v>
      </c>
      <c r="C3" s="304">
        <f>B3/B$7</f>
        <v>0.78191489361702127</v>
      </c>
      <c r="D3" s="334">
        <f>D$7*C3</f>
        <v>0</v>
      </c>
      <c r="E3" s="275"/>
    </row>
    <row r="4" spans="1:5">
      <c r="A4" s="333" t="s">
        <v>24</v>
      </c>
      <c r="B4" s="334">
        <v>1500</v>
      </c>
      <c r="C4" s="304">
        <f t="shared" ref="C4:C6" si="0">B4/B$7</f>
        <v>0.15957446808510639</v>
      </c>
      <c r="D4" s="334">
        <f t="shared" ref="D4:D6" si="1">D$7*C4</f>
        <v>0</v>
      </c>
      <c r="E4" s="275"/>
    </row>
    <row r="5" spans="1:5">
      <c r="A5" s="333" t="s">
        <v>168</v>
      </c>
      <c r="B5" s="334">
        <v>550</v>
      </c>
      <c r="C5" s="304">
        <f t="shared" si="0"/>
        <v>5.8510638297872342E-2</v>
      </c>
      <c r="D5" s="334">
        <f t="shared" si="1"/>
        <v>0</v>
      </c>
      <c r="E5" s="275"/>
    </row>
    <row r="6" spans="1:5">
      <c r="A6" s="333" t="s">
        <v>48</v>
      </c>
      <c r="B6" s="334">
        <v>0</v>
      </c>
      <c r="C6" s="304">
        <f t="shared" si="0"/>
        <v>0</v>
      </c>
      <c r="D6" s="334">
        <f t="shared" si="1"/>
        <v>0</v>
      </c>
      <c r="E6" s="275"/>
    </row>
    <row r="7" spans="1:5">
      <c r="A7" s="333" t="s">
        <v>5</v>
      </c>
      <c r="B7" s="334">
        <f>SUM(B3:B6)</f>
        <v>9400</v>
      </c>
      <c r="C7" s="304">
        <f>SUM(C3:C6)</f>
        <v>1</v>
      </c>
      <c r="D7" s="276">
        <f>0</f>
        <v>0</v>
      </c>
      <c r="E7" s="275" t="s">
        <v>434</v>
      </c>
    </row>
    <row r="8" spans="1:5">
      <c r="A8" s="333"/>
      <c r="B8" s="334"/>
      <c r="C8" s="335"/>
      <c r="D8" s="335"/>
      <c r="E8" s="275"/>
    </row>
    <row r="9" spans="1:5">
      <c r="A9" s="333"/>
      <c r="B9" s="334"/>
      <c r="C9" s="335"/>
      <c r="D9" s="335"/>
      <c r="E9" s="275"/>
    </row>
    <row r="10" spans="1:5">
      <c r="A10" s="333"/>
      <c r="B10" s="335"/>
      <c r="C10" s="335"/>
      <c r="D10" s="335"/>
      <c r="E10" s="275"/>
    </row>
    <row r="11" spans="1:5">
      <c r="A11" s="333" t="s">
        <v>152</v>
      </c>
      <c r="B11" s="334"/>
      <c r="C11" s="335"/>
      <c r="D11" s="335"/>
      <c r="E11" s="275"/>
    </row>
    <row r="12" spans="1:5">
      <c r="A12" s="336" t="s">
        <v>5</v>
      </c>
      <c r="B12" s="337">
        <f>B11</f>
        <v>0</v>
      </c>
      <c r="C12" s="329"/>
      <c r="D12" s="329"/>
      <c r="E12" s="289"/>
    </row>
    <row r="15" spans="1:5">
      <c r="A15" s="447" t="s">
        <v>464</v>
      </c>
      <c r="B15" s="447"/>
      <c r="C15" s="447"/>
      <c r="D15" s="447"/>
      <c r="E15" s="447"/>
    </row>
    <row r="17" spans="1:4">
      <c r="A17" s="330" t="s">
        <v>436</v>
      </c>
    </row>
    <row r="19" spans="1:4">
      <c r="A19" t="s">
        <v>437</v>
      </c>
    </row>
    <row r="20" spans="1:4">
      <c r="A20" t="s">
        <v>438</v>
      </c>
    </row>
    <row r="21" spans="1:4">
      <c r="A21" t="s">
        <v>439</v>
      </c>
    </row>
    <row r="22" spans="1:4">
      <c r="A22" t="s">
        <v>440</v>
      </c>
    </row>
    <row r="23" spans="1:4">
      <c r="A23" t="s">
        <v>441</v>
      </c>
    </row>
    <row r="24" spans="1:4">
      <c r="A24" t="s">
        <v>442</v>
      </c>
    </row>
    <row r="25" spans="1:4">
      <c r="A25" t="s">
        <v>443</v>
      </c>
    </row>
    <row r="26" spans="1:4">
      <c r="A26" t="s">
        <v>804</v>
      </c>
    </row>
    <row r="27" spans="1:4">
      <c r="A27" t="s">
        <v>805</v>
      </c>
    </row>
    <row r="30" spans="1:4">
      <c r="A30" s="330" t="s">
        <v>444</v>
      </c>
      <c r="B30" s="330" t="s">
        <v>445</v>
      </c>
      <c r="C30" s="330" t="s">
        <v>446</v>
      </c>
      <c r="D30" s="330" t="s">
        <v>447</v>
      </c>
    </row>
    <row r="32" spans="1:4">
      <c r="A32" t="s">
        <v>448</v>
      </c>
      <c r="B32" t="s">
        <v>449</v>
      </c>
      <c r="C32" t="s">
        <v>450</v>
      </c>
      <c r="D32" t="s">
        <v>451</v>
      </c>
    </row>
    <row r="33" spans="1:4">
      <c r="A33" t="s">
        <v>452</v>
      </c>
      <c r="B33" t="s">
        <v>453</v>
      </c>
      <c r="C33" t="s">
        <v>454</v>
      </c>
      <c r="D33" t="s">
        <v>449</v>
      </c>
    </row>
    <row r="34" spans="1:4">
      <c r="A34" t="s">
        <v>455</v>
      </c>
      <c r="B34" t="s">
        <v>456</v>
      </c>
      <c r="C34" t="s">
        <v>457</v>
      </c>
      <c r="D34" t="s">
        <v>451</v>
      </c>
    </row>
    <row r="35" spans="1:4">
      <c r="A35" t="s">
        <v>458</v>
      </c>
      <c r="B35" t="s">
        <v>449</v>
      </c>
      <c r="C35" t="s">
        <v>454</v>
      </c>
      <c r="D35" t="s">
        <v>459</v>
      </c>
    </row>
    <row r="36" spans="1:4">
      <c r="A36" t="s">
        <v>303</v>
      </c>
      <c r="B36" t="s">
        <v>449</v>
      </c>
      <c r="C36" t="s">
        <v>450</v>
      </c>
      <c r="D36" t="s">
        <v>459</v>
      </c>
    </row>
    <row r="37" spans="1:4">
      <c r="A37" t="s">
        <v>460</v>
      </c>
      <c r="B37" t="s">
        <v>451</v>
      </c>
      <c r="C37" t="s">
        <v>457</v>
      </c>
      <c r="D37" t="s">
        <v>456</v>
      </c>
    </row>
    <row r="38" spans="1:4">
      <c r="A38" t="s">
        <v>461</v>
      </c>
      <c r="B38" t="s">
        <v>449</v>
      </c>
      <c r="C38" t="s">
        <v>457</v>
      </c>
      <c r="D38" t="s">
        <v>449</v>
      </c>
    </row>
    <row r="39" spans="1:4">
      <c r="A39" t="s">
        <v>462</v>
      </c>
      <c r="B39" t="s">
        <v>451</v>
      </c>
      <c r="C39" t="s">
        <v>450</v>
      </c>
      <c r="D39" t="s">
        <v>449</v>
      </c>
    </row>
    <row r="40" spans="1:4">
      <c r="A40" t="s">
        <v>463</v>
      </c>
      <c r="B40" t="s">
        <v>451</v>
      </c>
      <c r="C40" t="s">
        <v>450</v>
      </c>
      <c r="D40" t="s">
        <v>456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9"/>
  <sheetViews>
    <sheetView topLeftCell="A40" workbookViewId="0">
      <selection activeCell="N12" sqref="N12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235</v>
      </c>
      <c r="I7" t="s">
        <v>236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239</v>
      </c>
      <c r="I10" t="s">
        <v>240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163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160</v>
      </c>
      <c r="B45" t="s">
        <v>59</v>
      </c>
    </row>
    <row r="47" spans="1:9">
      <c r="A47" t="s">
        <v>173</v>
      </c>
      <c r="B47" t="s">
        <v>165</v>
      </c>
    </row>
    <row r="48" spans="1:9">
      <c r="A48" t="s">
        <v>164</v>
      </c>
      <c r="B48" t="s">
        <v>165</v>
      </c>
    </row>
    <row r="49" spans="1:3">
      <c r="A49" t="s">
        <v>46</v>
      </c>
      <c r="B49" t="s">
        <v>165</v>
      </c>
    </row>
    <row r="50" spans="1:3">
      <c r="A50" t="s">
        <v>167</v>
      </c>
      <c r="B50" t="s">
        <v>166</v>
      </c>
    </row>
    <row r="51" spans="1:3">
      <c r="A51" t="s">
        <v>188</v>
      </c>
      <c r="B51" t="s">
        <v>165</v>
      </c>
    </row>
    <row r="52" spans="1:3">
      <c r="A52" t="s">
        <v>196</v>
      </c>
      <c r="B52" t="s">
        <v>888</v>
      </c>
    </row>
    <row r="53" spans="1:3">
      <c r="A53" t="s">
        <v>198</v>
      </c>
      <c r="B53" t="s">
        <v>199</v>
      </c>
    </row>
    <row r="54" spans="1:3">
      <c r="A54" t="s">
        <v>33</v>
      </c>
      <c r="B54" t="s">
        <v>166</v>
      </c>
    </row>
    <row r="55" spans="1:3">
      <c r="A55" t="s">
        <v>675</v>
      </c>
      <c r="B55" t="s">
        <v>676</v>
      </c>
    </row>
    <row r="56" spans="1:3">
      <c r="A56" t="s">
        <v>803</v>
      </c>
      <c r="B56" t="s">
        <v>166</v>
      </c>
    </row>
    <row r="58" spans="1:3">
      <c r="A58" t="s">
        <v>756</v>
      </c>
      <c r="B58" t="s">
        <v>757</v>
      </c>
    </row>
    <row r="59" spans="1:3">
      <c r="A59" t="s">
        <v>838</v>
      </c>
      <c r="B59" t="s">
        <v>840</v>
      </c>
      <c r="C59" t="s">
        <v>839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abSelected="1" topLeftCell="A297" workbookViewId="0">
      <selection activeCell="I309" sqref="I309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>
        <v>2019</v>
      </c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179</v>
      </c>
      <c r="I5" s="106" t="s">
        <v>58</v>
      </c>
      <c r="J5" s="107" t="s">
        <v>59</v>
      </c>
      <c r="K5" s="424">
        <f>6296.48-M5</f>
        <v>5153.62</v>
      </c>
      <c r="L5" s="425"/>
      <c r="M5" s="1">
        <f>571.43*2</f>
        <v>1142.8599999999999</v>
      </c>
      <c r="N5" s="1" t="s">
        <v>157</v>
      </c>
      <c r="R5" s="3"/>
    </row>
    <row r="6" spans="1:22" ht="15.75">
      <c r="A6" s="112">
        <f>H6+(B6-SUM(D6:F6))</f>
        <v>395.26</v>
      </c>
      <c r="B6" s="133">
        <v>389.26</v>
      </c>
      <c r="C6" s="19" t="s">
        <v>691</v>
      </c>
      <c r="D6" s="137"/>
      <c r="E6" s="138"/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26">
        <v>620.14</v>
      </c>
      <c r="L6" s="427"/>
      <c r="M6" s="1" t="s">
        <v>162</v>
      </c>
      <c r="N6" s="1"/>
      <c r="R6" s="3"/>
    </row>
    <row r="7" spans="1:22" ht="15.75">
      <c r="A7" s="112">
        <f t="shared" ref="A7:A15" si="0">H7+(B7-SUM(D7:F7))</f>
        <v>573.11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>
        <v>505.93</v>
      </c>
      <c r="I7" s="108" t="s">
        <v>61</v>
      </c>
      <c r="J7" s="107" t="s">
        <v>62</v>
      </c>
      <c r="K7" s="426">
        <v>9189.0300000000007</v>
      </c>
      <c r="L7" s="427"/>
      <c r="M7" s="1"/>
      <c r="N7" s="1"/>
      <c r="R7" s="3"/>
    </row>
    <row r="8" spans="1:22" ht="15.75">
      <c r="A8" s="112">
        <f t="shared" si="0"/>
        <v>-112.31</v>
      </c>
      <c r="B8" s="134">
        <v>0</v>
      </c>
      <c r="C8" s="16" t="s">
        <v>33</v>
      </c>
      <c r="D8" s="137"/>
      <c r="F8" s="138"/>
      <c r="G8" s="16" t="s">
        <v>33</v>
      </c>
      <c r="H8" s="112">
        <v>-112.31</v>
      </c>
      <c r="I8" s="108" t="s">
        <v>61</v>
      </c>
      <c r="J8" s="107" t="s">
        <v>63</v>
      </c>
      <c r="K8" s="426">
        <f>6954.14-0.63</f>
        <v>6953.51</v>
      </c>
      <c r="L8" s="42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154</v>
      </c>
      <c r="K9" s="426">
        <f>9496.23+4.45</f>
        <v>9500.68</v>
      </c>
      <c r="L9" s="427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12">
        <v>12</v>
      </c>
      <c r="I10" s="108" t="s">
        <v>61</v>
      </c>
      <c r="J10" s="107" t="s">
        <v>79</v>
      </c>
      <c r="K10" s="426">
        <f>1804-1.98</f>
        <v>1802.02</v>
      </c>
      <c r="L10" s="427"/>
      <c r="M10" s="1" t="s">
        <v>153</v>
      </c>
      <c r="N10" s="1"/>
      <c r="R10" s="3"/>
    </row>
    <row r="11" spans="1:22" ht="15.75">
      <c r="A11" s="112">
        <f t="shared" si="0"/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12">
        <v>30.24</v>
      </c>
      <c r="I11" s="108" t="s">
        <v>66</v>
      </c>
      <c r="J11" s="107" t="s">
        <v>67</v>
      </c>
      <c r="K11" s="426">
        <v>360</v>
      </c>
      <c r="L11" s="427"/>
      <c r="M11" s="1"/>
      <c r="N11" s="1"/>
      <c r="R11" s="3"/>
    </row>
    <row r="12" spans="1:22" ht="15.75">
      <c r="A12" s="112">
        <f t="shared" si="0"/>
        <v>70</v>
      </c>
      <c r="B12" s="134">
        <v>6.5</v>
      </c>
      <c r="C12" s="16" t="s">
        <v>232</v>
      </c>
      <c r="D12" s="137"/>
      <c r="E12" s="138"/>
      <c r="F12" s="138"/>
      <c r="G12" s="16"/>
      <c r="H12" s="112">
        <v>63.5</v>
      </c>
      <c r="I12" s="108" t="s">
        <v>155</v>
      </c>
      <c r="J12" s="107" t="s">
        <v>156</v>
      </c>
      <c r="K12" s="426">
        <v>0</v>
      </c>
      <c r="L12" s="427"/>
      <c r="M12" s="92"/>
      <c r="N12" s="1"/>
      <c r="R12" s="3"/>
    </row>
    <row r="13" spans="1:22" ht="15.75">
      <c r="A13" s="112">
        <f t="shared" si="0"/>
        <v>550</v>
      </c>
      <c r="B13" s="134">
        <v>0</v>
      </c>
      <c r="C13" s="16" t="s">
        <v>238</v>
      </c>
      <c r="D13" s="137"/>
      <c r="E13" s="138"/>
      <c r="F13" s="138"/>
      <c r="G13" s="16"/>
      <c r="H13" s="112">
        <v>550</v>
      </c>
      <c r="I13" s="108"/>
      <c r="J13" s="107"/>
      <c r="K13" s="426"/>
      <c r="L13" s="427"/>
      <c r="M13" s="1"/>
      <c r="N13" s="1"/>
      <c r="R13" s="3"/>
    </row>
    <row r="14" spans="1:22" ht="15.75">
      <c r="A14" s="112">
        <f t="shared" si="0"/>
        <v>1199.9991905564923</v>
      </c>
      <c r="B14" s="134">
        <f>70</f>
        <v>70</v>
      </c>
      <c r="C14" s="16" t="s">
        <v>332</v>
      </c>
      <c r="D14" s="137"/>
      <c r="E14" s="138"/>
      <c r="F14" s="138"/>
      <c r="G14" s="16"/>
      <c r="H14" s="112">
        <v>1129.9991905564923</v>
      </c>
      <c r="I14" s="108"/>
      <c r="J14" s="107"/>
      <c r="K14" s="426"/>
      <c r="L14" s="427"/>
      <c r="M14" s="1"/>
      <c r="N14" s="1"/>
      <c r="R14" s="3"/>
    </row>
    <row r="15" spans="1:22" ht="15.75">
      <c r="A15" s="112">
        <f t="shared" si="0"/>
        <v>300</v>
      </c>
      <c r="B15" s="134">
        <v>1.6</v>
      </c>
      <c r="C15" s="16" t="s">
        <v>181</v>
      </c>
      <c r="D15" s="137"/>
      <c r="E15" s="138"/>
      <c r="F15" s="138"/>
      <c r="G15" s="16"/>
      <c r="H15" s="112">
        <v>298.39999999999998</v>
      </c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32">
        <f>SUM(K5:K18)</f>
        <v>33579</v>
      </c>
      <c r="L19" s="433"/>
      <c r="M19" s="1"/>
      <c r="N19" s="1"/>
      <c r="R19" s="3"/>
    </row>
    <row r="20" spans="1:18" ht="16.5" thickBot="1">
      <c r="A20" s="112">
        <f>SUM(A6:A15)</f>
        <v>3018.2991905564922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51</v>
      </c>
      <c r="H20" s="112"/>
      <c r="I20" s="89" t="s">
        <v>80</v>
      </c>
      <c r="K20" s="113"/>
      <c r="L20" s="113">
        <f>K19-K10-K12</f>
        <v>31776.98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12"/>
      <c r="I22" s="416" t="s">
        <v>6</v>
      </c>
      <c r="J22" s="417"/>
      <c r="K22" s="417"/>
      <c r="L22" s="418"/>
      <c r="M22" s="1"/>
      <c r="N22" s="113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12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12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179</v>
      </c>
      <c r="I25" s="404" t="str">
        <f>AÑO!A8</f>
        <v>Manolo Salario</v>
      </c>
      <c r="J25" s="407" t="s">
        <v>280</v>
      </c>
      <c r="K25" s="408"/>
      <c r="L25" s="198">
        <f>2581.81+1.8</f>
        <v>2583.61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12">
        <v>0</v>
      </c>
      <c r="I26" s="405"/>
      <c r="J26" s="409"/>
      <c r="K26" s="410"/>
      <c r="L26" s="229"/>
      <c r="M26" s="1"/>
      <c r="R26" s="3"/>
    </row>
    <row r="27" spans="1:18" ht="15.75">
      <c r="A27" s="112">
        <f t="shared" ref="A27:A30" si="1">H27+(B27-SUM(D27:F27))</f>
        <v>58.099999999999909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12">
        <v>54.089999999999918</v>
      </c>
      <c r="I27" s="405"/>
      <c r="J27" s="409"/>
      <c r="K27" s="410"/>
      <c r="L27" s="229"/>
      <c r="M27" s="1"/>
      <c r="R27" s="3"/>
    </row>
    <row r="28" spans="1:18" ht="15.75">
      <c r="A28" s="112">
        <f t="shared" si="1"/>
        <v>85.730000000000018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12">
        <v>149.92000000000002</v>
      </c>
      <c r="I28" s="405"/>
      <c r="J28" s="409"/>
      <c r="K28" s="410"/>
      <c r="L28" s="229"/>
      <c r="M28" s="1"/>
      <c r="R28" s="3"/>
    </row>
    <row r="29" spans="1:18" ht="15.75">
      <c r="A29" s="112">
        <f t="shared" si="1"/>
        <v>0.82000000000000384</v>
      </c>
      <c r="B29" s="134">
        <v>19</v>
      </c>
      <c r="C29" s="27" t="s">
        <v>36</v>
      </c>
      <c r="D29" s="137">
        <v>18.62</v>
      </c>
      <c r="E29" s="138"/>
      <c r="F29" s="138"/>
      <c r="G29" s="16" t="s">
        <v>36</v>
      </c>
      <c r="H29" s="112">
        <v>0.44000000000000483</v>
      </c>
      <c r="I29" s="413"/>
      <c r="J29" s="414"/>
      <c r="K29" s="415"/>
      <c r="L29" s="230"/>
      <c r="M29" s="1"/>
      <c r="R29" s="3"/>
    </row>
    <row r="30" spans="1:18" ht="15.75" customHeight="1">
      <c r="A30" s="112">
        <f t="shared" si="1"/>
        <v>66.279999999999973</v>
      </c>
      <c r="B30" s="134">
        <v>5</v>
      </c>
      <c r="C30" s="27" t="s">
        <v>40</v>
      </c>
      <c r="D30" s="137"/>
      <c r="E30" s="138"/>
      <c r="F30" s="138"/>
      <c r="G30" s="16"/>
      <c r="H30" s="112">
        <v>61.279999999999973</v>
      </c>
      <c r="I30" s="404" t="str">
        <f>AÑO!A9</f>
        <v>Rocío Salario</v>
      </c>
      <c r="J30" s="407" t="s">
        <v>309</v>
      </c>
      <c r="K30" s="408"/>
      <c r="L30" s="231">
        <v>70.400000000000006</v>
      </c>
      <c r="M30" s="1"/>
      <c r="R30" s="3"/>
    </row>
    <row r="31" spans="1:18" ht="15.75">
      <c r="A31" s="112">
        <f>H31+(B31-SUM(D31:F31))</f>
        <v>45</v>
      </c>
      <c r="B31" s="134">
        <v>10</v>
      </c>
      <c r="C31" s="16" t="s">
        <v>721</v>
      </c>
      <c r="D31" s="137"/>
      <c r="E31" s="138"/>
      <c r="F31" s="138"/>
      <c r="G31" s="16"/>
      <c r="H31" s="112">
        <v>35</v>
      </c>
      <c r="I31" s="405"/>
      <c r="J31" s="409"/>
      <c r="K31" s="410"/>
      <c r="L31" s="229">
        <v>52.95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5"/>
      <c r="J32" s="409"/>
      <c r="K32" s="410"/>
      <c r="L32" s="229"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4" t="s">
        <v>207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255.92999999999989</v>
      </c>
      <c r="B40" s="135">
        <f>SUM(B26:B39)</f>
        <v>1164</v>
      </c>
      <c r="C40" s="17" t="s">
        <v>51</v>
      </c>
      <c r="D40" s="135">
        <f>SUM(D26:D39)</f>
        <v>1208.8</v>
      </c>
      <c r="E40" s="135">
        <f>SUM(E26:E39)</f>
        <v>0</v>
      </c>
      <c r="F40" s="135">
        <f>SUM(F26:F39)</f>
        <v>0</v>
      </c>
      <c r="G40" s="17" t="s">
        <v>51</v>
      </c>
      <c r="H40" s="112">
        <v>265.7299999999999</v>
      </c>
      <c r="I40" s="404" t="str">
        <f>AÑO!A11</f>
        <v>Finanazas</v>
      </c>
      <c r="J40" s="407" t="s">
        <v>303</v>
      </c>
      <c r="K40" s="408"/>
      <c r="L40" s="231">
        <v>0.63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5"/>
      <c r="J41" s="409" t="s">
        <v>818</v>
      </c>
      <c r="K41" s="410"/>
      <c r="L41" s="229">
        <v>1.98</v>
      </c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12"/>
      <c r="I42" s="405"/>
      <c r="J42" s="409" t="s">
        <v>869</v>
      </c>
      <c r="K42" s="410"/>
      <c r="L42" s="229">
        <v>0.02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12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12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12"/>
      <c r="I45" s="404" t="str">
        <f>AÑO!A12</f>
        <v>Regalos</v>
      </c>
      <c r="J45" s="407" t="s">
        <v>837</v>
      </c>
      <c r="K45" s="408"/>
      <c r="L45" s="231">
        <v>1142.8599999999999</v>
      </c>
      <c r="M45" s="112" t="s">
        <v>848</v>
      </c>
      <c r="N45" s="113">
        <f>L45-B187-B112</f>
        <v>1077.9099999999999</v>
      </c>
      <c r="R45" s="3"/>
    </row>
    <row r="46" spans="1:18" ht="15.75">
      <c r="A46" s="1"/>
      <c r="B46" s="133">
        <v>395</v>
      </c>
      <c r="C46" s="19"/>
      <c r="D46" s="137">
        <v>56.91</v>
      </c>
      <c r="E46" s="138"/>
      <c r="F46" s="138"/>
      <c r="G46" s="30" t="s">
        <v>846</v>
      </c>
      <c r="H46" s="112"/>
      <c r="I46" s="405"/>
      <c r="J46" s="409"/>
      <c r="K46" s="410"/>
      <c r="L46" s="229"/>
      <c r="M46" s="1"/>
      <c r="R46" s="3"/>
    </row>
    <row r="47" spans="1:18" ht="15.75">
      <c r="A47" s="1"/>
      <c r="B47" s="134"/>
      <c r="C47" s="16"/>
      <c r="D47" s="137">
        <v>34.68</v>
      </c>
      <c r="E47" s="138"/>
      <c r="F47" s="138"/>
      <c r="G47" s="16" t="s">
        <v>857</v>
      </c>
      <c r="H47" s="112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/>
      <c r="D48" s="137">
        <v>45.05</v>
      </c>
      <c r="E48" s="138"/>
      <c r="F48" s="138"/>
      <c r="G48" s="16" t="s">
        <v>860</v>
      </c>
      <c r="H48" s="112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38.119999999999997</v>
      </c>
      <c r="E49" s="138"/>
      <c r="F49" s="138"/>
      <c r="G49" s="16" t="s">
        <v>861</v>
      </c>
      <c r="H49" s="112"/>
      <c r="I49" s="413"/>
      <c r="J49" s="414"/>
      <c r="K49" s="415"/>
      <c r="L49" s="230"/>
      <c r="M49" s="1"/>
      <c r="R49" s="3"/>
    </row>
    <row r="50" spans="1:18" ht="15.75">
      <c r="A50" s="1"/>
      <c r="B50" s="134"/>
      <c r="C50" s="16"/>
      <c r="D50" s="137">
        <v>17.059999999999999</v>
      </c>
      <c r="E50" s="138"/>
      <c r="F50" s="138"/>
      <c r="G50" s="16" t="s">
        <v>862</v>
      </c>
      <c r="H50" s="112"/>
      <c r="I50" s="404" t="str">
        <f>AÑO!A13</f>
        <v>Gubernamental</v>
      </c>
      <c r="J50" s="407" t="s">
        <v>766</v>
      </c>
      <c r="K50" s="408"/>
      <c r="L50" s="231">
        <v>273.07</v>
      </c>
      <c r="M50" s="1"/>
      <c r="R50" s="3"/>
    </row>
    <row r="51" spans="1:18" ht="15.75">
      <c r="A51" s="1"/>
      <c r="B51" s="134"/>
      <c r="C51" s="16"/>
      <c r="D51" s="137">
        <v>28.47</v>
      </c>
      <c r="E51" s="138"/>
      <c r="F51" s="138"/>
      <c r="G51" s="16" t="s">
        <v>876</v>
      </c>
      <c r="H51" s="112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78.069999999999993</v>
      </c>
      <c r="E52" s="138"/>
      <c r="F52" s="138"/>
      <c r="G52" s="16" t="s">
        <v>877</v>
      </c>
      <c r="H52" s="112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52.47</v>
      </c>
      <c r="E53" s="138"/>
      <c r="F53" s="138"/>
      <c r="G53" s="16" t="s">
        <v>882</v>
      </c>
      <c r="H53" s="112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>
        <v>64.41</v>
      </c>
      <c r="F54" s="138"/>
      <c r="G54" s="16"/>
      <c r="H54" s="112"/>
      <c r="I54" s="413"/>
      <c r="J54" s="414"/>
      <c r="K54" s="415"/>
      <c r="L54" s="230"/>
      <c r="M54" s="1"/>
      <c r="R54" s="3"/>
    </row>
    <row r="55" spans="1:18" ht="15.75">
      <c r="A55" s="1"/>
      <c r="B55" s="134"/>
      <c r="C55" s="16"/>
      <c r="D55" s="137">
        <v>7.49</v>
      </c>
      <c r="E55" s="138"/>
      <c r="F55" s="138"/>
      <c r="G55" s="16" t="s">
        <v>894</v>
      </c>
      <c r="H55" s="112"/>
      <c r="I55" s="404" t="str">
        <f>AÑO!A14</f>
        <v>Mutualite/DKV</v>
      </c>
      <c r="J55" s="407" t="s">
        <v>858</v>
      </c>
      <c r="K55" s="408"/>
      <c r="L55" s="231">
        <f>146.94+151.49+438.33</f>
        <v>736.76</v>
      </c>
      <c r="M55" s="1"/>
      <c r="R55" s="3"/>
    </row>
    <row r="56" spans="1:18" ht="15.75">
      <c r="A56" s="1"/>
      <c r="B56" s="134"/>
      <c r="C56" s="16"/>
      <c r="D56" s="137">
        <f>47.04-D290-D312</f>
        <v>19.97</v>
      </c>
      <c r="E56" s="138"/>
      <c r="F56" s="138"/>
      <c r="G56" s="16" t="s">
        <v>900</v>
      </c>
      <c r="H56" s="112"/>
      <c r="I56" s="405"/>
      <c r="J56" s="409" t="s">
        <v>345</v>
      </c>
      <c r="K56" s="410"/>
      <c r="L56" s="229">
        <f>21.94+14.78+3.03</f>
        <v>39.75</v>
      </c>
      <c r="M56" s="1"/>
      <c r="R56" s="3"/>
    </row>
    <row r="57" spans="1:18" ht="15.75">
      <c r="A57" s="1"/>
      <c r="B57" s="134"/>
      <c r="C57" s="16"/>
      <c r="D57" s="137">
        <v>2.39</v>
      </c>
      <c r="E57" s="138"/>
      <c r="F57" s="138"/>
      <c r="G57" s="16" t="s">
        <v>902</v>
      </c>
      <c r="H57" s="112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3"/>
      <c r="J59" s="414"/>
      <c r="K59" s="415"/>
      <c r="L59" s="230"/>
      <c r="M59" s="1"/>
      <c r="R59" s="3"/>
    </row>
    <row r="60" spans="1:18" ht="16.5" thickBot="1">
      <c r="A60" s="1"/>
      <c r="B60" s="135">
        <f>SUM(B46:B59)</f>
        <v>395</v>
      </c>
      <c r="C60" s="17" t="s">
        <v>51</v>
      </c>
      <c r="D60" s="135">
        <f>SUM(D46:D59)</f>
        <v>380.68000000000006</v>
      </c>
      <c r="E60" s="135">
        <f>SUM(E46:E59)</f>
        <v>64.41</v>
      </c>
      <c r="F60" s="135">
        <f>SUM(F46:F59)</f>
        <v>0</v>
      </c>
      <c r="G60" s="17" t="s">
        <v>51</v>
      </c>
      <c r="H60" s="112"/>
      <c r="I60" s="404" t="str">
        <f>AÑO!A15</f>
        <v>Alquiler Cartama</v>
      </c>
      <c r="J60" s="407" t="s">
        <v>37</v>
      </c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12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12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12"/>
      <c r="I64" s="413"/>
      <c r="J64" s="414"/>
      <c r="K64" s="415"/>
      <c r="L64" s="230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12"/>
      <c r="I65" s="404" t="str">
        <f>AÑO!A16</f>
        <v>Otros</v>
      </c>
      <c r="J65" s="407" t="s">
        <v>854</v>
      </c>
      <c r="K65" s="408"/>
      <c r="L65" s="231">
        <v>87.95</v>
      </c>
      <c r="M65" s="1"/>
      <c r="R65" s="3"/>
    </row>
    <row r="66" spans="1:18" ht="15.75">
      <c r="A66" s="112"/>
      <c r="B66" s="133">
        <v>180</v>
      </c>
      <c r="C66" s="19" t="s">
        <v>31</v>
      </c>
      <c r="D66" s="137">
        <v>20</v>
      </c>
      <c r="E66" s="138"/>
      <c r="F66" s="138"/>
      <c r="G66" s="19" t="s">
        <v>843</v>
      </c>
      <c r="H66" s="112"/>
      <c r="I66" s="405"/>
      <c r="J66" s="409"/>
      <c r="K66" s="410"/>
      <c r="L66" s="229"/>
      <c r="M66" s="1"/>
      <c r="R66" s="3"/>
    </row>
    <row r="67" spans="1:18" ht="15.75">
      <c r="A67" s="112"/>
      <c r="B67" s="134"/>
      <c r="C67" s="16"/>
      <c r="D67" s="137">
        <v>6.9</v>
      </c>
      <c r="E67" s="138"/>
      <c r="F67" s="138"/>
      <c r="G67" s="31" t="s">
        <v>845</v>
      </c>
      <c r="H67" s="112"/>
      <c r="I67" s="405"/>
      <c r="J67" s="409"/>
      <c r="K67" s="410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>
        <v>17</v>
      </c>
      <c r="G68" s="16" t="s">
        <v>880</v>
      </c>
      <c r="H68" s="112"/>
      <c r="I68" s="405"/>
      <c r="J68" s="409"/>
      <c r="K68" s="410"/>
      <c r="L68" s="229"/>
      <c r="M68" s="1"/>
      <c r="R68" s="3"/>
    </row>
    <row r="69" spans="1:18" ht="16.5" thickBot="1">
      <c r="A69" s="112"/>
      <c r="B69" s="134"/>
      <c r="C69" s="16"/>
      <c r="D69" s="137">
        <v>32.85</v>
      </c>
      <c r="E69" s="138"/>
      <c r="F69" s="138"/>
      <c r="G69" s="16" t="s">
        <v>879</v>
      </c>
      <c r="H69" s="112"/>
      <c r="I69" s="406"/>
      <c r="J69" s="411"/>
      <c r="K69" s="412"/>
      <c r="L69" s="232"/>
      <c r="M69" s="1"/>
      <c r="R69" s="3"/>
    </row>
    <row r="70" spans="1:18" ht="15.75">
      <c r="A70" s="112"/>
      <c r="B70" s="134"/>
      <c r="C70" s="16"/>
      <c r="D70" s="137">
        <v>32</v>
      </c>
      <c r="E70" s="138"/>
      <c r="F70" s="138"/>
      <c r="G70" s="16" t="s">
        <v>878</v>
      </c>
      <c r="H70" s="112"/>
      <c r="M70" s="1"/>
      <c r="R70" s="3"/>
    </row>
    <row r="71" spans="1:18" ht="15.75">
      <c r="A71" s="112"/>
      <c r="B71" s="134"/>
      <c r="C71" s="16"/>
      <c r="D71" s="137">
        <v>21.8</v>
      </c>
      <c r="E71" s="138"/>
      <c r="F71" s="138"/>
      <c r="G71" s="16" t="s">
        <v>886</v>
      </c>
      <c r="H71" s="112"/>
      <c r="L71" s="89" t="s">
        <v>44</v>
      </c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12"/>
      <c r="I72" s="208"/>
      <c r="J72"/>
      <c r="K72"/>
      <c r="L72">
        <v>83</v>
      </c>
      <c r="M72" s="1" t="s">
        <v>830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/>
      <c r="J73" t="s">
        <v>833</v>
      </c>
      <c r="K73">
        <v>31</v>
      </c>
      <c r="L73">
        <f>100/K73</f>
        <v>3.225806451612903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I74"/>
      <c r="J74" t="s">
        <v>832</v>
      </c>
      <c r="K74">
        <f ca="1">DAY(TODAY())</f>
        <v>30</v>
      </c>
      <c r="L74">
        <f ca="1">K74*L73</f>
        <v>96.774193548387089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I75" s="208"/>
      <c r="J75"/>
      <c r="K75"/>
      <c r="L75" s="340">
        <f ca="1">L74-L72</f>
        <v>13.774193548387089</v>
      </c>
      <c r="M75" s="1" t="s">
        <v>831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12"/>
      <c r="M79" s="1"/>
      <c r="R79" s="3"/>
    </row>
    <row r="80" spans="1:18" ht="16.5" thickBot="1">
      <c r="A80" s="112"/>
      <c r="B80" s="135">
        <f>SUM(B66:B79)</f>
        <v>180</v>
      </c>
      <c r="C80" s="17" t="s">
        <v>51</v>
      </c>
      <c r="D80" s="135">
        <f>SUM(D66:D79)</f>
        <v>113.55</v>
      </c>
      <c r="E80" s="135">
        <f>SUM(E66:E79)</f>
        <v>0</v>
      </c>
      <c r="F80" s="135">
        <f>SUM(F66:F79)</f>
        <v>17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12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12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12"/>
      <c r="M85" s="1"/>
      <c r="R85" s="3"/>
    </row>
    <row r="86" spans="1:18" ht="15.75">
      <c r="A86" s="1"/>
      <c r="B86" s="133">
        <v>200</v>
      </c>
      <c r="C86" s="19" t="s">
        <v>821</v>
      </c>
      <c r="D86" s="137"/>
      <c r="E86" s="138">
        <v>4.9000000000000004</v>
      </c>
      <c r="F86" s="138"/>
      <c r="G86" s="16" t="s">
        <v>852</v>
      </c>
      <c r="H86" s="112"/>
      <c r="M86" s="1"/>
      <c r="R86" s="3"/>
    </row>
    <row r="87" spans="1:18" ht="15.75">
      <c r="A87" s="1"/>
      <c r="B87" s="134"/>
      <c r="C87" s="16"/>
      <c r="D87" s="137"/>
      <c r="E87" s="138">
        <v>2</v>
      </c>
      <c r="F87" s="138"/>
      <c r="G87" s="16" t="s">
        <v>852</v>
      </c>
      <c r="H87" s="112"/>
      <c r="M87" s="1"/>
      <c r="R87" s="3"/>
    </row>
    <row r="88" spans="1:18" ht="15.75">
      <c r="A88" s="1"/>
      <c r="B88" s="134"/>
      <c r="C88" s="16"/>
      <c r="D88" s="137">
        <v>47.02</v>
      </c>
      <c r="E88" s="138"/>
      <c r="F88" s="138"/>
      <c r="G88" s="16" t="s">
        <v>859</v>
      </c>
      <c r="H88" s="112"/>
      <c r="M88" s="1"/>
      <c r="R88" s="3"/>
    </row>
    <row r="89" spans="1:18" ht="15.75">
      <c r="A89" s="1"/>
      <c r="B89" s="134"/>
      <c r="C89" s="16"/>
      <c r="D89" s="137">
        <v>44.45</v>
      </c>
      <c r="E89" s="138"/>
      <c r="F89" s="138"/>
      <c r="G89" s="16" t="s">
        <v>881</v>
      </c>
      <c r="H89" s="112"/>
      <c r="M89" s="1"/>
      <c r="R89" s="3"/>
    </row>
    <row r="90" spans="1:18" ht="15.75">
      <c r="A90" s="1"/>
      <c r="B90" s="134"/>
      <c r="C90" s="16"/>
      <c r="D90" s="137">
        <v>58.57</v>
      </c>
      <c r="E90" s="138"/>
      <c r="F90" s="138"/>
      <c r="G90" s="16" t="s">
        <v>890</v>
      </c>
      <c r="H90" s="112"/>
      <c r="M90" s="1"/>
      <c r="R90" s="3"/>
    </row>
    <row r="91" spans="1:18" ht="15.75">
      <c r="A91" s="1"/>
      <c r="B91" s="134"/>
      <c r="C91" s="16"/>
      <c r="D91" s="137">
        <v>2</v>
      </c>
      <c r="E91" s="138"/>
      <c r="F91" s="138"/>
      <c r="G91" s="16" t="s">
        <v>903</v>
      </c>
      <c r="H91" s="112"/>
      <c r="M91" s="1"/>
      <c r="R91" s="3"/>
    </row>
    <row r="92" spans="1:18" ht="15.75">
      <c r="A92" s="1"/>
      <c r="B92" s="134"/>
      <c r="C92" s="16"/>
      <c r="D92" s="137">
        <v>46.46</v>
      </c>
      <c r="E92" s="138"/>
      <c r="F92" s="138"/>
      <c r="G92" s="16" t="s">
        <v>904</v>
      </c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198.5</v>
      </c>
      <c r="E100" s="135">
        <f>SUM(E86:E99)</f>
        <v>6.9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12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12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12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179</v>
      </c>
      <c r="M105" s="1"/>
      <c r="R105" s="3"/>
    </row>
    <row r="106" spans="1:18" ht="15.75">
      <c r="A106" s="112">
        <f>H106+(B106-SUM(D106:F106))</f>
        <v>3884.0415974244993</v>
      </c>
      <c r="B106" s="133">
        <f>258.47+50</f>
        <v>308.47000000000003</v>
      </c>
      <c r="C106" s="18" t="s">
        <v>824</v>
      </c>
      <c r="D106" s="137">
        <v>258.47000000000003</v>
      </c>
      <c r="E106" s="138"/>
      <c r="F106" s="138"/>
      <c r="G106" s="31" t="s">
        <v>822</v>
      </c>
      <c r="H106" s="112">
        <v>3834.0415974244993</v>
      </c>
      <c r="M106" s="1"/>
      <c r="R106" s="3"/>
    </row>
    <row r="107" spans="1:18" ht="15.75">
      <c r="A107" s="112">
        <f t="shared" ref="A107:A109" si="2">H107+(B107-SUM(D107:F107))</f>
        <v>0.66000000000005343</v>
      </c>
      <c r="B107" s="134">
        <v>70</v>
      </c>
      <c r="C107" s="18" t="s">
        <v>823</v>
      </c>
      <c r="D107" s="137">
        <v>70.36</v>
      </c>
      <c r="E107" s="138"/>
      <c r="F107" s="138"/>
      <c r="G107" s="31" t="s">
        <v>823</v>
      </c>
      <c r="H107" s="112">
        <v>1.0200000000000529</v>
      </c>
      <c r="M107" s="1"/>
      <c r="R107" s="3"/>
    </row>
    <row r="108" spans="1:18" ht="15.75">
      <c r="A108" s="112">
        <f t="shared" si="2"/>
        <v>465</v>
      </c>
      <c r="B108" s="134">
        <v>265</v>
      </c>
      <c r="C108" s="18" t="s">
        <v>825</v>
      </c>
      <c r="D108" s="137"/>
      <c r="E108" s="138"/>
      <c r="F108" s="138"/>
      <c r="G108" s="34"/>
      <c r="H108" s="112">
        <v>200</v>
      </c>
      <c r="M108" s="1"/>
      <c r="R108" s="3"/>
    </row>
    <row r="109" spans="1:18" ht="15.75">
      <c r="A109" s="112">
        <f t="shared" si="2"/>
        <v>1.2899999999999991</v>
      </c>
      <c r="B109" s="134">
        <v>40</v>
      </c>
      <c r="C109" s="18" t="s">
        <v>826</v>
      </c>
      <c r="D109" s="137">
        <v>38.71</v>
      </c>
      <c r="E109" s="138"/>
      <c r="F109" s="138"/>
      <c r="G109" s="31"/>
      <c r="H109" s="112">
        <v>0</v>
      </c>
      <c r="M109" s="1"/>
      <c r="R109" s="3"/>
    </row>
    <row r="110" spans="1:18" ht="15.75">
      <c r="A110" s="112">
        <f>H110+(B110-SUM(D110:F115))</f>
        <v>352.58</v>
      </c>
      <c r="B110" s="134">
        <v>100</v>
      </c>
      <c r="C110" s="18" t="s">
        <v>182</v>
      </c>
      <c r="D110" s="137">
        <v>5.95</v>
      </c>
      <c r="E110" s="138"/>
      <c r="F110" s="138"/>
      <c r="G110" s="31" t="s">
        <v>874</v>
      </c>
      <c r="H110" s="112">
        <v>288.52999999999997</v>
      </c>
      <c r="M110" s="1"/>
      <c r="R110" s="3"/>
    </row>
    <row r="111" spans="1:18" ht="15.75">
      <c r="A111" s="112"/>
      <c r="B111" s="134"/>
      <c r="C111" s="27"/>
      <c r="D111" s="137">
        <v>30</v>
      </c>
      <c r="E111" s="138"/>
      <c r="F111" s="138"/>
      <c r="G111" s="34" t="s">
        <v>887</v>
      </c>
      <c r="H111" s="112"/>
      <c r="M111" s="1"/>
      <c r="R111" s="3"/>
    </row>
    <row r="112" spans="1:18" ht="15.75">
      <c r="A112" s="112"/>
      <c r="B112" s="134"/>
      <c r="C112" s="27"/>
      <c r="D112" s="137"/>
      <c r="E112" s="138"/>
      <c r="F112" s="138"/>
      <c r="G112" s="31"/>
      <c r="H112" s="112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A116" s="112">
        <f>H116+(B116-SUM(D116:F117))</f>
        <v>594.98999999999978</v>
      </c>
      <c r="B116" s="134">
        <f>469+608.91</f>
        <v>1077.9099999999999</v>
      </c>
      <c r="C116" s="27" t="s">
        <v>889</v>
      </c>
      <c r="D116" s="137"/>
      <c r="E116" s="138">
        <v>469</v>
      </c>
      <c r="F116" s="138"/>
      <c r="G116" s="16" t="s">
        <v>895</v>
      </c>
      <c r="H116" s="112"/>
      <c r="M116" s="1"/>
      <c r="R116" s="3"/>
    </row>
    <row r="117" spans="1:18" ht="15.75">
      <c r="B117" s="134"/>
      <c r="C117" s="18"/>
      <c r="D117" s="137"/>
      <c r="E117" s="138">
        <v>13.92</v>
      </c>
      <c r="F117" s="138"/>
      <c r="G117" s="16" t="s">
        <v>901</v>
      </c>
      <c r="H117" s="112"/>
      <c r="M117" s="1"/>
      <c r="R117" s="3"/>
    </row>
    <row r="118" spans="1:18" ht="15.75">
      <c r="A118" s="112">
        <f>H118+(B118-SUM(D118:F119))</f>
        <v>497.93</v>
      </c>
      <c r="B118" s="134">
        <v>70</v>
      </c>
      <c r="C118" s="18" t="s">
        <v>827</v>
      </c>
      <c r="D118" s="137"/>
      <c r="E118" s="138"/>
      <c r="F118" s="138"/>
      <c r="G118" s="16"/>
      <c r="H118" s="112">
        <v>427.93</v>
      </c>
      <c r="M118" s="1"/>
      <c r="R118" s="3"/>
    </row>
    <row r="119" spans="1:18" ht="16.5" thickBot="1">
      <c r="A119" s="112"/>
      <c r="B119" s="135"/>
      <c r="C119" s="17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SUM(A106:A119)</f>
        <v>5796.4915974244987</v>
      </c>
      <c r="B120" s="135">
        <f>SUM(B106:B119)</f>
        <v>1931.3799999999999</v>
      </c>
      <c r="C120" s="17" t="s">
        <v>51</v>
      </c>
      <c r="D120" s="135">
        <f>SUM(D106:D119)</f>
        <v>403.49</v>
      </c>
      <c r="E120" s="135">
        <f>SUM(E106:E119)</f>
        <v>482.92</v>
      </c>
      <c r="F120" s="135">
        <f>SUM(F106:F119)</f>
        <v>0</v>
      </c>
      <c r="G120" s="17" t="s">
        <v>51</v>
      </c>
      <c r="H120" s="112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12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12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12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 t="s">
        <v>179</v>
      </c>
      <c r="M125" s="1"/>
      <c r="R125" s="3"/>
    </row>
    <row r="126" spans="1:18" ht="15.75">
      <c r="A126" s="112">
        <f>H126+(B126-SUM(D126:F126))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12">
        <v>15</v>
      </c>
      <c r="I126" s="89" t="s">
        <v>733</v>
      </c>
      <c r="M126" s="1"/>
      <c r="R126" s="3"/>
    </row>
    <row r="127" spans="1:18" ht="15.75">
      <c r="A127" s="112">
        <f>H127+(B127-SUM(D127:F128))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>
        <v>17.5</v>
      </c>
      <c r="I127" s="113">
        <f>D127+D128</f>
        <v>20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>H129+(B129-SUM(D129:F129))</f>
        <v>8.0899999999999981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12">
        <v>8.0799999999999983</v>
      </c>
      <c r="M129" s="1"/>
      <c r="R129" s="3"/>
    </row>
    <row r="130" spans="1:18" ht="15.75">
      <c r="A130" s="112">
        <f>H130+(B130-SUM(D130:F130))</f>
        <v>2.5</v>
      </c>
      <c r="B130" s="134">
        <v>2.5</v>
      </c>
      <c r="C130" s="16" t="s">
        <v>828</v>
      </c>
      <c r="D130" s="137"/>
      <c r="E130" s="138"/>
      <c r="F130" s="138"/>
      <c r="G130" s="16"/>
      <c r="H130" s="112">
        <v>0</v>
      </c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SUM(A126:A139)</f>
        <v>38.089999999999996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12">
        <v>32.5</v>
      </c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12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12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12"/>
      <c r="M145" s="1"/>
      <c r="R145" s="3"/>
    </row>
    <row r="146" spans="1:22" ht="15.75">
      <c r="A146" s="1"/>
      <c r="B146" s="133">
        <v>40</v>
      </c>
      <c r="C146" s="19" t="s">
        <v>829</v>
      </c>
      <c r="D146" s="137">
        <v>24.87</v>
      </c>
      <c r="E146" s="138"/>
      <c r="F146" s="138"/>
      <c r="G146" s="16" t="s">
        <v>868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40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>
        <v>374.94</v>
      </c>
      <c r="F166" s="138"/>
      <c r="G166" s="16" t="s">
        <v>867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374.94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800</v>
      </c>
      <c r="D186" s="137">
        <v>64.95</v>
      </c>
      <c r="E186" s="138"/>
      <c r="F186" s="138"/>
      <c r="G186" s="16" t="s">
        <v>844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64.95</v>
      </c>
      <c r="C187" s="16" t="s">
        <v>847</v>
      </c>
      <c r="D187" s="137">
        <v>25.99</v>
      </c>
      <c r="E187" s="138"/>
      <c r="F187" s="138"/>
      <c r="G187" s="16" t="s">
        <v>850</v>
      </c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19.989999999999998</v>
      </c>
      <c r="E188" s="138"/>
      <c r="F188" s="138"/>
      <c r="G188" s="16" t="s">
        <v>851</v>
      </c>
      <c r="H188" s="112"/>
      <c r="I188" s="1"/>
      <c r="J188" s="1"/>
      <c r="K188" s="1"/>
      <c r="L188" s="1"/>
    </row>
    <row r="189" spans="1:22" ht="15.75">
      <c r="B189" s="134"/>
      <c r="C189" s="16"/>
      <c r="D189" s="137">
        <v>49.99</v>
      </c>
      <c r="E189" s="138"/>
      <c r="F189" s="138"/>
      <c r="G189" s="16" t="s">
        <v>896</v>
      </c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144.94999999999999</v>
      </c>
      <c r="C200" s="17" t="s">
        <v>51</v>
      </c>
      <c r="D200" s="135">
        <f>SUM(D186:D199)</f>
        <v>160.91999999999999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  <c r="H202" s="112"/>
    </row>
    <row r="203" spans="2:12" ht="15" customHeight="1" thickBot="1">
      <c r="B203" s="419"/>
      <c r="C203" s="420"/>
      <c r="D203" s="420"/>
      <c r="E203" s="420"/>
      <c r="F203" s="420"/>
      <c r="G203" s="421"/>
      <c r="H203" s="112"/>
    </row>
    <row r="204" spans="2:12" ht="15.75">
      <c r="B204" s="429" t="s">
        <v>8</v>
      </c>
      <c r="C204" s="430"/>
      <c r="D204" s="431" t="s">
        <v>9</v>
      </c>
      <c r="E204" s="431"/>
      <c r="F204" s="431"/>
      <c r="G204" s="430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  <c r="H205" s="112"/>
    </row>
    <row r="206" spans="2:12" ht="15.75">
      <c r="B206" s="133">
        <v>35</v>
      </c>
      <c r="C206" s="19"/>
      <c r="D206" s="137">
        <v>54.04</v>
      </c>
      <c r="E206" s="138"/>
      <c r="F206" s="138"/>
      <c r="G206" s="16" t="s">
        <v>865</v>
      </c>
      <c r="H206" s="112"/>
    </row>
    <row r="207" spans="2:12" ht="15.75">
      <c r="B207" s="134"/>
      <c r="C207" s="16"/>
      <c r="D207" s="137"/>
      <c r="E207" s="138"/>
      <c r="F207" s="138">
        <v>39</v>
      </c>
      <c r="G207" s="16" t="s">
        <v>892</v>
      </c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54.04</v>
      </c>
      <c r="E220" s="135">
        <f>SUM(E206:E219)</f>
        <v>0</v>
      </c>
      <c r="F220" s="135">
        <f>SUM(F206:F219)</f>
        <v>39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8" t="str">
        <f>AÑO!A31</f>
        <v>Deportes</v>
      </c>
      <c r="C222" s="417"/>
      <c r="D222" s="417"/>
      <c r="E222" s="417"/>
      <c r="F222" s="417"/>
      <c r="G222" s="418"/>
      <c r="H222" s="112"/>
    </row>
    <row r="223" spans="2:8" ht="15" customHeight="1" thickBot="1">
      <c r="B223" s="419"/>
      <c r="C223" s="420"/>
      <c r="D223" s="420"/>
      <c r="E223" s="420"/>
      <c r="F223" s="420"/>
      <c r="G223" s="421"/>
      <c r="H223" s="112"/>
    </row>
    <row r="224" spans="2:8" ht="15.75">
      <c r="B224" s="429" t="s">
        <v>8</v>
      </c>
      <c r="C224" s="430"/>
      <c r="D224" s="431" t="s">
        <v>9</v>
      </c>
      <c r="E224" s="431"/>
      <c r="F224" s="431"/>
      <c r="G224" s="430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21</v>
      </c>
      <c r="C226" s="19" t="s">
        <v>41</v>
      </c>
      <c r="D226" s="137"/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28" t="str">
        <f>AÑO!A32</f>
        <v>Hogar</v>
      </c>
      <c r="C242" s="417"/>
      <c r="D242" s="417"/>
      <c r="E242" s="417"/>
      <c r="F242" s="417"/>
      <c r="G242" s="418"/>
      <c r="H242" s="112"/>
    </row>
    <row r="243" spans="1:8" ht="15" customHeight="1" thickBot="1">
      <c r="B243" s="419"/>
      <c r="C243" s="420"/>
      <c r="D243" s="420"/>
      <c r="E243" s="420"/>
      <c r="F243" s="420"/>
      <c r="G243" s="421"/>
      <c r="H243" s="112"/>
    </row>
    <row r="244" spans="1:8" ht="15" customHeight="1">
      <c r="B244" s="429" t="s">
        <v>8</v>
      </c>
      <c r="C244" s="430"/>
      <c r="D244" s="431" t="s">
        <v>9</v>
      </c>
      <c r="E244" s="431"/>
      <c r="F244" s="431"/>
      <c r="G244" s="430"/>
      <c r="H244" s="112"/>
    </row>
    <row r="245" spans="1:8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  <c r="H245" s="112" t="s">
        <v>179</v>
      </c>
    </row>
    <row r="246" spans="1:8" ht="15" customHeight="1">
      <c r="A246" s="112">
        <f>H246+(B246-SUM(D246:F255))</f>
        <v>29.669999999999995</v>
      </c>
      <c r="B246" s="134">
        <v>50</v>
      </c>
      <c r="C246" s="27" t="s">
        <v>281</v>
      </c>
      <c r="D246" s="137">
        <v>24.46</v>
      </c>
      <c r="E246" s="138"/>
      <c r="F246" s="138"/>
      <c r="G246" s="16" t="s">
        <v>884</v>
      </c>
      <c r="H246" s="112">
        <v>4.1299999999999955</v>
      </c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70</v>
      </c>
      <c r="B256" s="134">
        <f>0</f>
        <v>0</v>
      </c>
      <c r="C256" s="16" t="s">
        <v>288</v>
      </c>
      <c r="D256" s="137"/>
      <c r="E256" s="138"/>
      <c r="F256" s="138"/>
      <c r="G256" s="16"/>
      <c r="H256" s="112">
        <v>70</v>
      </c>
    </row>
    <row r="257" spans="1:9" ht="15.75">
      <c r="A257" s="112">
        <f>H257+(B257-SUM(D257:F257))</f>
        <v>402.77000000000004</v>
      </c>
      <c r="B257" s="134">
        <f>0</f>
        <v>0</v>
      </c>
      <c r="C257" s="16" t="s">
        <v>801</v>
      </c>
      <c r="D257" s="137"/>
      <c r="E257" s="138"/>
      <c r="F257" s="138"/>
      <c r="G257" s="16" t="s">
        <v>284</v>
      </c>
      <c r="H257" s="112">
        <v>402.77000000000004</v>
      </c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502.44000000000005</v>
      </c>
      <c r="B260" s="135">
        <f>SUM(B246:B259)</f>
        <v>50</v>
      </c>
      <c r="C260" s="17" t="s">
        <v>51</v>
      </c>
      <c r="D260" s="135">
        <f>SUM(D246:D259)</f>
        <v>24.46</v>
      </c>
      <c r="E260" s="135">
        <f>SUM(E246:E259)</f>
        <v>0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28" t="str">
        <f>AÑO!A33</f>
        <v>Formación</v>
      </c>
      <c r="C262" s="417"/>
      <c r="D262" s="417"/>
      <c r="E262" s="417"/>
      <c r="F262" s="417"/>
      <c r="G262" s="418"/>
      <c r="H262" s="112"/>
    </row>
    <row r="263" spans="1:9" ht="15" customHeight="1" thickBot="1">
      <c r="B263" s="419"/>
      <c r="C263" s="420"/>
      <c r="D263" s="420"/>
      <c r="E263" s="420"/>
      <c r="F263" s="420"/>
      <c r="G263" s="421"/>
      <c r="H263" s="112"/>
    </row>
    <row r="264" spans="1:9" ht="15.75">
      <c r="B264" s="429" t="s">
        <v>8</v>
      </c>
      <c r="C264" s="430"/>
      <c r="D264" s="431" t="s">
        <v>9</v>
      </c>
      <c r="E264" s="431"/>
      <c r="F264" s="431"/>
      <c r="G264" s="430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10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10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  <c r="H282" s="112"/>
    </row>
    <row r="283" spans="1:8" ht="15" customHeight="1" thickBot="1">
      <c r="B283" s="419"/>
      <c r="C283" s="420"/>
      <c r="D283" s="420"/>
      <c r="E283" s="420"/>
      <c r="F283" s="420"/>
      <c r="G283" s="421"/>
      <c r="H283" s="112"/>
    </row>
    <row r="284" spans="1:8" ht="15.75">
      <c r="B284" s="429" t="s">
        <v>8</v>
      </c>
      <c r="C284" s="430"/>
      <c r="D284" s="431" t="s">
        <v>9</v>
      </c>
      <c r="E284" s="431"/>
      <c r="F284" s="431"/>
      <c r="G284" s="430"/>
      <c r="H284" s="112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  <c r="H285" s="112" t="s">
        <v>179</v>
      </c>
    </row>
    <row r="286" spans="1:8" ht="15.75">
      <c r="A286" s="112">
        <f>H286+(SUM(B286:B298)-SUM(D286:F298))</f>
        <v>17.309999999999775</v>
      </c>
      <c r="B286" s="133">
        <v>60</v>
      </c>
      <c r="C286" s="19" t="s">
        <v>31</v>
      </c>
      <c r="D286" s="137">
        <v>82.2</v>
      </c>
      <c r="E286" s="138"/>
      <c r="F286" s="138"/>
      <c r="G286" s="16" t="s">
        <v>853</v>
      </c>
      <c r="H286" s="112">
        <v>14.829999999999785</v>
      </c>
    </row>
    <row r="287" spans="1:8" ht="15.75">
      <c r="A287" s="112"/>
      <c r="B287" s="134">
        <f>L65</f>
        <v>87.95</v>
      </c>
      <c r="C287" s="16" t="s">
        <v>854</v>
      </c>
      <c r="D287" s="137"/>
      <c r="E287" s="138">
        <v>34.369999999999997</v>
      </c>
      <c r="F287" s="138"/>
      <c r="G287" s="16" t="s">
        <v>875</v>
      </c>
      <c r="H287" s="112"/>
    </row>
    <row r="288" spans="1:8" ht="15.75">
      <c r="A288" s="112"/>
      <c r="B288" s="134"/>
      <c r="C288" s="16"/>
      <c r="D288" s="137"/>
      <c r="E288" s="138"/>
      <c r="F288" s="138">
        <v>7</v>
      </c>
      <c r="G288" s="16" t="s">
        <v>891</v>
      </c>
      <c r="H288" s="112"/>
    </row>
    <row r="289" spans="1:8" ht="15.75">
      <c r="A289" s="112"/>
      <c r="B289" s="134"/>
      <c r="C289" s="16"/>
      <c r="D289" s="137">
        <v>21.9</v>
      </c>
      <c r="E289" s="138"/>
      <c r="F289" s="138"/>
      <c r="G289" s="16" t="s">
        <v>893</v>
      </c>
      <c r="H289" s="112"/>
    </row>
    <row r="290" spans="1:8" ht="15.75">
      <c r="A290" s="112"/>
      <c r="B290" s="134">
        <v>17.07</v>
      </c>
      <c r="C290" s="16" t="s">
        <v>897</v>
      </c>
      <c r="D290" s="137">
        <v>17.07</v>
      </c>
      <c r="E290" s="138"/>
      <c r="F290" s="138"/>
      <c r="G290" s="16" t="s">
        <v>898</v>
      </c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20</v>
      </c>
      <c r="B299" s="135">
        <v>50</v>
      </c>
      <c r="C299" s="17" t="s">
        <v>802</v>
      </c>
      <c r="D299" s="135">
        <v>30</v>
      </c>
      <c r="E299" s="139"/>
      <c r="F299" s="139"/>
      <c r="G299" s="17"/>
      <c r="H299" s="112">
        <v>0</v>
      </c>
    </row>
    <row r="300" spans="1:8" ht="16.5" thickBot="1">
      <c r="A300" s="112">
        <f>SUM(A286:A299)</f>
        <v>37.309999999999775</v>
      </c>
      <c r="B300" s="135">
        <f>SUM(B286:B299)</f>
        <v>215.01999999999998</v>
      </c>
      <c r="C300" s="17" t="s">
        <v>51</v>
      </c>
      <c r="D300" s="135">
        <f>SUM(D286:D299)</f>
        <v>151.16999999999999</v>
      </c>
      <c r="E300" s="135">
        <f>SUM(E286:E299)</f>
        <v>34.369999999999997</v>
      </c>
      <c r="F300" s="135">
        <f>SUM(F286:F299)</f>
        <v>7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  <c r="H302" s="112"/>
    </row>
    <row r="303" spans="1:8" ht="15" customHeight="1" thickBot="1">
      <c r="B303" s="419"/>
      <c r="C303" s="420"/>
      <c r="D303" s="420"/>
      <c r="E303" s="420"/>
      <c r="F303" s="420"/>
      <c r="G303" s="421"/>
      <c r="H303" s="112"/>
    </row>
    <row r="304" spans="1:8" ht="15.75">
      <c r="B304" s="429" t="s">
        <v>8</v>
      </c>
      <c r="C304" s="430"/>
      <c r="D304" s="431" t="s">
        <v>9</v>
      </c>
      <c r="E304" s="431"/>
      <c r="F304" s="431"/>
      <c r="G304" s="430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  <c r="H305" s="112"/>
    </row>
    <row r="306" spans="2:8" ht="15.75">
      <c r="B306" s="133">
        <v>130</v>
      </c>
      <c r="C306" s="19" t="s">
        <v>221</v>
      </c>
      <c r="D306" s="137">
        <v>170.25</v>
      </c>
      <c r="E306" s="138"/>
      <c r="F306" s="138"/>
      <c r="G306" s="16" t="s">
        <v>841</v>
      </c>
      <c r="H306" s="112"/>
    </row>
    <row r="307" spans="2:8" ht="15.75">
      <c r="B307" s="134">
        <f>L55-B290</f>
        <v>719.68999999999994</v>
      </c>
      <c r="C307" s="27" t="s">
        <v>858</v>
      </c>
      <c r="D307" s="137">
        <v>32.369999999999997</v>
      </c>
      <c r="E307" s="138"/>
      <c r="F307" s="138"/>
      <c r="G307" s="16" t="s">
        <v>849</v>
      </c>
      <c r="H307" s="112"/>
    </row>
    <row r="308" spans="2:8" ht="15.75">
      <c r="B308" s="134">
        <f>L56</f>
        <v>39.75</v>
      </c>
      <c r="C308" s="27" t="s">
        <v>345</v>
      </c>
      <c r="D308" s="137"/>
      <c r="E308" s="138"/>
      <c r="F308" s="138">
        <v>80</v>
      </c>
      <c r="G308" s="16" t="s">
        <v>855</v>
      </c>
      <c r="H308" s="112"/>
    </row>
    <row r="309" spans="2:8" ht="15.75">
      <c r="B309" s="134"/>
      <c r="C309" s="16"/>
      <c r="D309" s="137">
        <f>37.5+37.5</f>
        <v>75</v>
      </c>
      <c r="E309" s="138"/>
      <c r="F309" s="138"/>
      <c r="G309" s="16" t="s">
        <v>856</v>
      </c>
      <c r="H309" s="112"/>
    </row>
    <row r="310" spans="2:8" ht="15.75">
      <c r="B310" s="134"/>
      <c r="C310" s="16"/>
      <c r="D310" s="137">
        <v>25</v>
      </c>
      <c r="E310" s="138"/>
      <c r="F310" s="138"/>
      <c r="G310" s="16" t="s">
        <v>871</v>
      </c>
      <c r="H310" s="112"/>
    </row>
    <row r="311" spans="2:8" ht="15.75">
      <c r="B311" s="134"/>
      <c r="C311" s="16"/>
      <c r="D311" s="137"/>
      <c r="E311" s="138">
        <v>29.15</v>
      </c>
      <c r="F311" s="138"/>
      <c r="G311" s="16" t="s">
        <v>885</v>
      </c>
      <c r="H311" s="112"/>
    </row>
    <row r="312" spans="2:8" ht="15.75">
      <c r="B312" s="134"/>
      <c r="C312" s="16"/>
      <c r="D312" s="137">
        <v>10</v>
      </c>
      <c r="E312" s="138"/>
      <c r="F312" s="138"/>
      <c r="G312" s="16" t="s">
        <v>899</v>
      </c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889.43999999999994</v>
      </c>
      <c r="C320" s="17" t="s">
        <v>51</v>
      </c>
      <c r="D320" s="135">
        <f>SUM(D306:D319)</f>
        <v>312.62</v>
      </c>
      <c r="E320" s="135">
        <f>SUM(E306:E319)</f>
        <v>29.15</v>
      </c>
      <c r="F320" s="135">
        <f>SUM(F306:F319)</f>
        <v>80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28" t="str">
        <f>AÑO!A36</f>
        <v>Nenas</v>
      </c>
      <c r="C322" s="417"/>
      <c r="D322" s="417"/>
      <c r="E322" s="417"/>
      <c r="F322" s="417"/>
      <c r="G322" s="418"/>
      <c r="H322" s="112"/>
    </row>
    <row r="323" spans="2:8" ht="15" customHeight="1" thickBot="1">
      <c r="B323" s="419"/>
      <c r="C323" s="420"/>
      <c r="D323" s="420"/>
      <c r="E323" s="420"/>
      <c r="F323" s="420"/>
      <c r="G323" s="421"/>
      <c r="H323" s="112"/>
    </row>
    <row r="324" spans="2:8" ht="15.75">
      <c r="B324" s="429" t="s">
        <v>8</v>
      </c>
      <c r="C324" s="430"/>
      <c r="D324" s="431" t="s">
        <v>9</v>
      </c>
      <c r="E324" s="431"/>
      <c r="F324" s="431"/>
      <c r="G324" s="430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  <c r="H325" s="112"/>
    </row>
    <row r="326" spans="2:8" ht="15.75">
      <c r="B326" s="133">
        <v>90</v>
      </c>
      <c r="C326" s="19"/>
      <c r="D326" s="137">
        <v>15</v>
      </c>
      <c r="E326" s="138"/>
      <c r="F326" s="138"/>
      <c r="G326" s="16" t="s">
        <v>883</v>
      </c>
      <c r="H326" s="112"/>
    </row>
    <row r="327" spans="2:8" ht="15.75">
      <c r="B327" s="134">
        <v>0.02</v>
      </c>
      <c r="C327" s="16" t="s">
        <v>870</v>
      </c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90.02</v>
      </c>
      <c r="C340" s="17" t="s">
        <v>51</v>
      </c>
      <c r="D340" s="135">
        <f>SUM(D326:D339)</f>
        <v>15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8" t="str">
        <f>AÑO!A37</f>
        <v>Imprevistos</v>
      </c>
      <c r="C342" s="417"/>
      <c r="D342" s="417"/>
      <c r="E342" s="417"/>
      <c r="F342" s="417"/>
      <c r="G342" s="418"/>
      <c r="H342" s="112"/>
    </row>
    <row r="343" spans="2:8" ht="15" customHeight="1" thickBot="1">
      <c r="B343" s="419"/>
      <c r="C343" s="420"/>
      <c r="D343" s="420"/>
      <c r="E343" s="420"/>
      <c r="F343" s="420"/>
      <c r="G343" s="421"/>
      <c r="H343" s="112"/>
    </row>
    <row r="344" spans="2:8" ht="15.75">
      <c r="B344" s="429" t="s">
        <v>8</v>
      </c>
      <c r="C344" s="430"/>
      <c r="D344" s="431" t="s">
        <v>9</v>
      </c>
      <c r="E344" s="431"/>
      <c r="F344" s="431"/>
      <c r="G344" s="430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  <c r="H345" s="112"/>
    </row>
    <row r="346" spans="2:8" ht="15.75">
      <c r="B346" s="133">
        <v>5</v>
      </c>
      <c r="C346" s="19"/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8" t="str">
        <f>AÑO!A38</f>
        <v>Gastos Curros</v>
      </c>
      <c r="C362" s="417"/>
      <c r="D362" s="417"/>
      <c r="E362" s="417"/>
      <c r="F362" s="417"/>
      <c r="G362" s="418"/>
      <c r="H362" s="112"/>
    </row>
    <row r="363" spans="2:8" ht="15" customHeight="1" thickBot="1">
      <c r="B363" s="419"/>
      <c r="C363" s="420"/>
      <c r="D363" s="420"/>
      <c r="E363" s="420"/>
      <c r="F363" s="420"/>
      <c r="G363" s="421"/>
      <c r="H363" s="112"/>
    </row>
    <row r="364" spans="2:8" ht="15.75">
      <c r="B364" s="429" t="s">
        <v>8</v>
      </c>
      <c r="C364" s="430"/>
      <c r="D364" s="431" t="s">
        <v>9</v>
      </c>
      <c r="E364" s="431"/>
      <c r="F364" s="431"/>
      <c r="G364" s="430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  <c r="H365" s="112"/>
    </row>
    <row r="366" spans="2:8" ht="15.75">
      <c r="B366" s="133">
        <v>60</v>
      </c>
      <c r="C366" s="19" t="s">
        <v>31</v>
      </c>
      <c r="D366" s="137">
        <f>6.9</f>
        <v>6.9</v>
      </c>
      <c r="E366" s="138"/>
      <c r="F366" s="138">
        <f>4.5+3.5+4.5</f>
        <v>12.5</v>
      </c>
      <c r="G366" s="31" t="s">
        <v>65</v>
      </c>
      <c r="H366" s="112"/>
    </row>
    <row r="367" spans="2:8" ht="15.75">
      <c r="B367" s="134"/>
      <c r="C367" s="16"/>
      <c r="D367" s="137">
        <v>5.01</v>
      </c>
      <c r="E367" s="138"/>
      <c r="F367" s="138"/>
      <c r="G367" s="31" t="s">
        <v>866</v>
      </c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11.91</v>
      </c>
      <c r="E380" s="135">
        <f>SUM(E366:E379)</f>
        <v>0</v>
      </c>
      <c r="F380" s="135">
        <f>SUM(F366:F379)</f>
        <v>12.5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8" t="str">
        <f>AÑO!A39</f>
        <v>Dreamed Holidays</v>
      </c>
      <c r="C382" s="417"/>
      <c r="D382" s="417"/>
      <c r="E382" s="417"/>
      <c r="F382" s="417"/>
      <c r="G382" s="418"/>
      <c r="H382" s="112"/>
    </row>
    <row r="383" spans="2:8" ht="15" customHeight="1" thickBot="1">
      <c r="B383" s="419"/>
      <c r="C383" s="420"/>
      <c r="D383" s="420"/>
      <c r="E383" s="420"/>
      <c r="F383" s="420"/>
      <c r="G383" s="421"/>
      <c r="H383" s="112"/>
    </row>
    <row r="384" spans="2:8" ht="15.75">
      <c r="B384" s="429" t="s">
        <v>8</v>
      </c>
      <c r="C384" s="430"/>
      <c r="D384" s="431" t="s">
        <v>9</v>
      </c>
      <c r="E384" s="431"/>
      <c r="F384" s="431"/>
      <c r="G384" s="430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8" t="str">
        <f>AÑO!A40</f>
        <v>Financieros</v>
      </c>
      <c r="C402" s="417"/>
      <c r="D402" s="417"/>
      <c r="E402" s="417"/>
      <c r="F402" s="417"/>
      <c r="G402" s="418"/>
      <c r="H402" s="112"/>
    </row>
    <row r="403" spans="2:8" ht="15" customHeight="1" thickBot="1">
      <c r="B403" s="419"/>
      <c r="C403" s="420"/>
      <c r="D403" s="420"/>
      <c r="E403" s="420"/>
      <c r="F403" s="420"/>
      <c r="G403" s="421"/>
      <c r="H403" s="112"/>
    </row>
    <row r="404" spans="2:8" ht="15.75">
      <c r="B404" s="429" t="s">
        <v>8</v>
      </c>
      <c r="C404" s="430"/>
      <c r="D404" s="431" t="s">
        <v>9</v>
      </c>
      <c r="E404" s="431"/>
      <c r="F404" s="431"/>
      <c r="G404" s="430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f>40-8.88</f>
        <v>31.119999999999997</v>
      </c>
      <c r="C406" s="19"/>
      <c r="D406" s="137">
        <v>10</v>
      </c>
      <c r="E406" s="138"/>
      <c r="F406" s="138"/>
      <c r="G406" s="16" t="s">
        <v>816</v>
      </c>
      <c r="H406" s="112"/>
    </row>
    <row r="407" spans="2:8" ht="15.75">
      <c r="B407" s="134">
        <v>0.63</v>
      </c>
      <c r="C407" s="16" t="s">
        <v>819</v>
      </c>
      <c r="D407" s="137">
        <v>4.45</v>
      </c>
      <c r="E407" s="138"/>
      <c r="F407" s="138"/>
      <c r="G407" s="16" t="s">
        <v>820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31.749999999999996</v>
      </c>
      <c r="C420" s="17" t="s">
        <v>51</v>
      </c>
      <c r="D420" s="135">
        <f>SUM(D406:D419)</f>
        <v>14.45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  <c r="H422" s="112"/>
    </row>
    <row r="423" spans="1:8" ht="15" customHeight="1" thickBot="1">
      <c r="B423" s="436"/>
      <c r="C423" s="437"/>
      <c r="D423" s="437"/>
      <c r="E423" s="437"/>
      <c r="F423" s="437"/>
      <c r="G423" s="438"/>
      <c r="H423" s="112"/>
    </row>
    <row r="424" spans="1:8" ht="15.75">
      <c r="B424" s="429" t="s">
        <v>8</v>
      </c>
      <c r="C424" s="430"/>
      <c r="D424" s="431" t="s">
        <v>9</v>
      </c>
      <c r="E424" s="431"/>
      <c r="F424" s="431"/>
      <c r="G424" s="430"/>
      <c r="H424" s="112"/>
    </row>
    <row r="425" spans="1:8" ht="15.75">
      <c r="A425" s="113">
        <f>AÑO!C17</f>
        <v>5000.57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v>4300</v>
      </c>
      <c r="B426" s="134">
        <f>A425-SUM(A426:A439)</f>
        <v>-1309.3800000000001</v>
      </c>
      <c r="C426" s="19" t="s">
        <v>222</v>
      </c>
      <c r="D426" s="137"/>
      <c r="E426" s="138"/>
      <c r="F426" s="138"/>
      <c r="G426" s="16"/>
      <c r="H426" s="112"/>
    </row>
    <row r="427" spans="1:8" ht="15.75">
      <c r="A427" s="113">
        <f>2.61</f>
        <v>2.61</v>
      </c>
      <c r="B427" s="134"/>
      <c r="C427" s="16"/>
      <c r="D427" s="137"/>
      <c r="E427" s="138"/>
      <c r="F427" s="138"/>
      <c r="G427" s="16"/>
      <c r="H427" s="112"/>
    </row>
    <row r="428" spans="1:8" ht="15.75">
      <c r="A428" s="113">
        <f>L45</f>
        <v>1142.8599999999999</v>
      </c>
      <c r="B428" s="134"/>
      <c r="C428" s="16"/>
      <c r="D428" s="137"/>
      <c r="E428" s="138"/>
      <c r="F428" s="138"/>
      <c r="G428" s="16"/>
      <c r="H428" s="112"/>
    </row>
    <row r="429" spans="1:8" ht="15.75">
      <c r="A429" s="113">
        <f>L65</f>
        <v>87.95</v>
      </c>
      <c r="B429" s="134"/>
      <c r="C429" s="16"/>
      <c r="D429" s="137"/>
      <c r="E429" s="138"/>
      <c r="F429" s="138"/>
      <c r="G429" s="16"/>
      <c r="H429" s="112"/>
    </row>
    <row r="430" spans="1:8" ht="15.75">
      <c r="A430" s="113">
        <f>L56</f>
        <v>39.75</v>
      </c>
      <c r="B430" s="134"/>
      <c r="C430" s="16"/>
      <c r="D430" s="137"/>
      <c r="E430" s="138"/>
      <c r="F430" s="138"/>
      <c r="G430" s="16"/>
      <c r="H430" s="112"/>
    </row>
    <row r="431" spans="1:8" ht="15.75">
      <c r="A431" s="113">
        <f>L55</f>
        <v>736.76</v>
      </c>
      <c r="B431" s="134"/>
      <c r="C431" s="16"/>
      <c r="D431" s="137"/>
      <c r="E431" s="138"/>
      <c r="F431" s="138"/>
      <c r="G431" s="16"/>
      <c r="H431" s="112"/>
    </row>
    <row r="432" spans="1:8" ht="15.75">
      <c r="A432" s="89">
        <v>0.02</v>
      </c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-1309.3800000000001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8" t="str">
        <f>AÑO!A42</f>
        <v>Dinero Bloqueado</v>
      </c>
      <c r="C442" s="434"/>
      <c r="D442" s="434"/>
      <c r="E442" s="434"/>
      <c r="F442" s="434"/>
      <c r="G442" s="435"/>
      <c r="H442" s="112"/>
    </row>
    <row r="443" spans="2:8" ht="15" customHeight="1" thickBot="1">
      <c r="B443" s="436"/>
      <c r="C443" s="437"/>
      <c r="D443" s="437"/>
      <c r="E443" s="437"/>
      <c r="F443" s="437"/>
      <c r="G443" s="438"/>
      <c r="H443" s="112"/>
    </row>
    <row r="444" spans="2:8" ht="15.75">
      <c r="B444" s="429" t="s">
        <v>8</v>
      </c>
      <c r="C444" s="430"/>
      <c r="D444" s="431" t="s">
        <v>9</v>
      </c>
      <c r="E444" s="431"/>
      <c r="F444" s="431"/>
      <c r="G444" s="430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>
        <v>1.98</v>
      </c>
      <c r="E446" s="138"/>
      <c r="F446" s="138"/>
      <c r="G446" s="16" t="s">
        <v>817</v>
      </c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1.98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8" t="str">
        <f>AÑO!A43</f>
        <v>NULO</v>
      </c>
      <c r="C462" s="434"/>
      <c r="D462" s="434"/>
      <c r="E462" s="434"/>
      <c r="F462" s="434"/>
      <c r="G462" s="435"/>
      <c r="H462" s="112"/>
    </row>
    <row r="463" spans="2:8" ht="15" customHeight="1" thickBot="1">
      <c r="B463" s="436"/>
      <c r="C463" s="437"/>
      <c r="D463" s="437"/>
      <c r="E463" s="437"/>
      <c r="F463" s="437"/>
      <c r="G463" s="438"/>
      <c r="H463" s="112"/>
    </row>
    <row r="464" spans="2:8" ht="15.75">
      <c r="B464" s="429" t="s">
        <v>8</v>
      </c>
      <c r="C464" s="430"/>
      <c r="D464" s="431" t="s">
        <v>9</v>
      </c>
      <c r="E464" s="431"/>
      <c r="F464" s="431"/>
      <c r="G464" s="430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28" t="str">
        <f>AÑO!A44</f>
        <v>NULO</v>
      </c>
      <c r="C482" s="434"/>
      <c r="D482" s="434"/>
      <c r="E482" s="434"/>
      <c r="F482" s="434"/>
      <c r="G482" s="435"/>
      <c r="H482" s="112"/>
    </row>
    <row r="483" spans="2:8" ht="15" customHeight="1" thickBot="1">
      <c r="B483" s="436"/>
      <c r="C483" s="437"/>
      <c r="D483" s="437"/>
      <c r="E483" s="437"/>
      <c r="F483" s="437"/>
      <c r="G483" s="438"/>
      <c r="H483" s="112"/>
    </row>
    <row r="484" spans="2:8" ht="15.75">
      <c r="B484" s="429" t="s">
        <v>8</v>
      </c>
      <c r="C484" s="430"/>
      <c r="D484" s="431" t="s">
        <v>9</v>
      </c>
      <c r="E484" s="431"/>
      <c r="F484" s="431"/>
      <c r="G484" s="430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8" t="str">
        <f>AÑO!A45</f>
        <v>OTROS</v>
      </c>
      <c r="C502" s="434"/>
      <c r="D502" s="434"/>
      <c r="E502" s="434"/>
      <c r="F502" s="434"/>
      <c r="G502" s="435"/>
      <c r="H502" s="112"/>
    </row>
    <row r="503" spans="2:8" ht="15" customHeight="1" thickBot="1">
      <c r="B503" s="436"/>
      <c r="C503" s="437"/>
      <c r="D503" s="437"/>
      <c r="E503" s="437"/>
      <c r="F503" s="437"/>
      <c r="G503" s="438"/>
      <c r="H503" s="112"/>
    </row>
    <row r="504" spans="2:8" ht="15.75">
      <c r="B504" s="429" t="s">
        <v>8</v>
      </c>
      <c r="C504" s="430"/>
      <c r="D504" s="431" t="s">
        <v>9</v>
      </c>
      <c r="E504" s="431"/>
      <c r="F504" s="431"/>
      <c r="G504" s="430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795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334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209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f>6296.48-M5</f>
        <v>6296.48</v>
      </c>
      <c r="L5" s="425"/>
      <c r="M5" s="1"/>
      <c r="N5" s="1"/>
      <c r="R5" s="3"/>
    </row>
    <row r="6" spans="1:22" ht="15.75">
      <c r="A6" s="112">
        <f>'01'!A6+(B6-SUM(D6:F6))</f>
        <v>784.52</v>
      </c>
      <c r="B6" s="133">
        <v>389.26</v>
      </c>
      <c r="C6" s="19" t="s">
        <v>691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6">
        <v>620.14</v>
      </c>
      <c r="L6" s="427"/>
      <c r="M6" s="1" t="s">
        <v>162</v>
      </c>
      <c r="N6" s="1"/>
      <c r="R6" s="3"/>
    </row>
    <row r="7" spans="1:22" ht="15.75">
      <c r="A7" s="112">
        <f>'01'!A7+(B7-SUM(D7:F7))</f>
        <v>640.29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26">
        <v>9189.0300000000007</v>
      </c>
      <c r="L7" s="427"/>
      <c r="M7" s="1"/>
      <c r="N7" s="1"/>
      <c r="R7" s="3"/>
    </row>
    <row r="8" spans="1:22" ht="15.75">
      <c r="A8" s="112">
        <f>'01'!A8+(B8-SUM(D8:F8))</f>
        <v>-112.31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f>6954.14-0.63</f>
        <v>6953.51</v>
      </c>
      <c r="L8" s="42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26">
        <f>9496.23+4.45</f>
        <v>9500.68</v>
      </c>
      <c r="L9" s="427"/>
      <c r="M9" s="1"/>
      <c r="N9" s="1"/>
      <c r="R9" s="3"/>
    </row>
    <row r="10" spans="1:22" ht="15.75">
      <c r="A10" s="112">
        <f>'01'!A10+(B10-SUM(D10:F10))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6">
        <f>1804-1.98</f>
        <v>1802.02</v>
      </c>
      <c r="L10" s="427"/>
      <c r="M10" s="1" t="s">
        <v>153</v>
      </c>
      <c r="N10" s="1"/>
      <c r="R10" s="3"/>
    </row>
    <row r="11" spans="1:22" ht="15.75">
      <c r="A11" s="112">
        <f>'01'!A11+(B11-SUM(D11:F11))</f>
        <v>60.48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26">
        <v>360</v>
      </c>
      <c r="L11" s="427"/>
      <c r="M11" s="1"/>
      <c r="N11" s="1"/>
      <c r="R11" s="3"/>
    </row>
    <row r="12" spans="1:22" ht="15.75">
      <c r="A12" s="112">
        <f>'01'!A12+(B12-SUM(D12:F12))</f>
        <v>76.5</v>
      </c>
      <c r="B12" s="134">
        <v>6.5</v>
      </c>
      <c r="C12" s="16" t="s">
        <v>232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v>0</v>
      </c>
      <c r="L12" s="427"/>
      <c r="M12" s="92"/>
      <c r="N12" s="1"/>
      <c r="R12" s="3"/>
    </row>
    <row r="13" spans="1:22" ht="15.75">
      <c r="A13" s="112">
        <f>'01'!A13+(B13-SUM(D13:F13))</f>
        <v>550</v>
      </c>
      <c r="B13" s="134">
        <v>0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>
        <f>'01'!A14+(B14-SUM(D14:F14))</f>
        <v>1269.9991905564923</v>
      </c>
      <c r="B14" s="134">
        <f>70</f>
        <v>70</v>
      </c>
      <c r="C14" s="16" t="s">
        <v>332</v>
      </c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>
        <f>'01'!A15+(B15-SUM(D15:F15))</f>
        <v>301.60000000000002</v>
      </c>
      <c r="B15" s="134">
        <v>1.6</v>
      </c>
      <c r="C15" s="16" t="s">
        <v>181</v>
      </c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2">
        <f>SUM(K5:K18)</f>
        <v>34721.86</v>
      </c>
      <c r="L19" s="433"/>
      <c r="M19" s="1"/>
      <c r="N19" s="1"/>
      <c r="R19" s="3"/>
    </row>
    <row r="20" spans="1:18" ht="16.5" thickBot="1">
      <c r="A20" s="112">
        <f>SUM(A6:A15)</f>
        <v>3595.0791905564924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32919.840000000004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198"/>
      <c r="M25" s="1"/>
      <c r="R25" s="3"/>
    </row>
    <row r="26" spans="1:18" ht="15.75">
      <c r="A26" s="112">
        <f>'01'!A26+(B26-SUM(D26:F26))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'01'!A27+(B27-SUM(D27:F27))</f>
        <v>248.09999999999991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'01'!A28+(B28-SUM(D28:F28))</f>
        <v>125.73000000000002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'01'!A29+(B29-SUM(D29:F29))</f>
        <v>19.820000000000004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'01'!A30+(B30-SUM(D30:F30))</f>
        <v>71.279999999999973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234</v>
      </c>
      <c r="K30" s="408"/>
      <c r="L30" s="198"/>
      <c r="M30" s="1"/>
      <c r="R30" s="3"/>
    </row>
    <row r="31" spans="1:18" ht="15.75">
      <c r="A31" s="112">
        <f>'01'!A31+(B31-SUM(D31:F31))</f>
        <v>55</v>
      </c>
      <c r="B31" s="134">
        <v>10</v>
      </c>
      <c r="C31" s="16" t="s">
        <v>721</v>
      </c>
      <c r="D31" s="137"/>
      <c r="E31" s="138"/>
      <c r="F31" s="138"/>
      <c r="G31" s="16"/>
      <c r="H31" s="1"/>
      <c r="I31" s="405"/>
      <c r="J31" s="409" t="s">
        <v>231</v>
      </c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 t="s">
        <v>242</v>
      </c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1419.9299999999998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157</v>
      </c>
      <c r="K45" s="408"/>
      <c r="L45" s="198"/>
      <c r="M45" s="1"/>
      <c r="R45" s="3"/>
    </row>
    <row r="46" spans="1:18" ht="15.75">
      <c r="A46" s="1"/>
      <c r="B46" s="133">
        <v>395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 t="s">
        <v>766</v>
      </c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395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230</v>
      </c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3"/>
      <c r="J64" s="414"/>
      <c r="K64" s="415"/>
      <c r="L64" s="201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12">
        <f>'01'!A66+(B66-SUM(D66:F78))</f>
        <v>180</v>
      </c>
      <c r="B66" s="133">
        <v>180</v>
      </c>
      <c r="C66" s="19" t="s">
        <v>31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20</v>
      </c>
      <c r="B79" s="233">
        <v>20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200</v>
      </c>
      <c r="B80" s="233">
        <f>SUM(B66:B79)</f>
        <v>200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200</v>
      </c>
      <c r="C86" s="19" t="s">
        <v>821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3934.0415974244993</v>
      </c>
      <c r="B106" s="133">
        <f>258.47+50</f>
        <v>308.47000000000003</v>
      </c>
      <c r="C106" s="18" t="s">
        <v>824</v>
      </c>
      <c r="D106" s="137">
        <v>258.47000000000003</v>
      </c>
      <c r="E106" s="138"/>
      <c r="F106" s="138"/>
      <c r="G106" s="31" t="s">
        <v>822</v>
      </c>
      <c r="H106" s="1"/>
      <c r="M106" s="1"/>
      <c r="R106" s="3"/>
    </row>
    <row r="107" spans="1:18" ht="15.75">
      <c r="A107" s="112">
        <f>'01'!A107+(B107-SUM(D107:F107))</f>
        <v>0.300000000000054</v>
      </c>
      <c r="B107" s="134">
        <v>70</v>
      </c>
      <c r="C107" s="18" t="s">
        <v>823</v>
      </c>
      <c r="D107" s="137">
        <v>70.36</v>
      </c>
      <c r="E107" s="138"/>
      <c r="F107" s="138"/>
      <c r="G107" s="31" t="s">
        <v>823</v>
      </c>
      <c r="H107" s="1"/>
      <c r="M107" s="1"/>
      <c r="R107" s="3"/>
    </row>
    <row r="108" spans="1:18" ht="15.75">
      <c r="A108" s="112">
        <f>'01'!A108+(B108-SUM(D108:F108))</f>
        <v>730</v>
      </c>
      <c r="B108" s="134">
        <v>265</v>
      </c>
      <c r="C108" s="18" t="s">
        <v>825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41.29</v>
      </c>
      <c r="B109" s="134">
        <v>40</v>
      </c>
      <c r="C109" s="18" t="s">
        <v>826</v>
      </c>
      <c r="D109" s="137"/>
      <c r="E109" s="138"/>
      <c r="F109" s="138"/>
      <c r="G109" s="31"/>
      <c r="H109" s="1"/>
      <c r="M109" s="1"/>
      <c r="R109" s="3"/>
    </row>
    <row r="110" spans="1:18" ht="15.75">
      <c r="A110" s="112">
        <f>'01'!A110+(B110-SUM(D110:F115))</f>
        <v>452.58</v>
      </c>
      <c r="B110" s="134">
        <v>100</v>
      </c>
      <c r="C110" s="18" t="s">
        <v>182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>
        <f>'01'!A116+(B116-SUM(D116:F117))</f>
        <v>594.98999999999978</v>
      </c>
      <c r="B116" s="134"/>
      <c r="C116" s="27" t="s">
        <v>889</v>
      </c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'01'!A118+(B118-SUM(D118:F119))</f>
        <v>567.93000000000006</v>
      </c>
      <c r="B118" s="134">
        <v>70</v>
      </c>
      <c r="C118" s="18" t="s">
        <v>827</v>
      </c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17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6321.1315974244999</v>
      </c>
      <c r="B120" s="135">
        <f>SUM(B106:B119)</f>
        <v>853.47</v>
      </c>
      <c r="C120" s="17" t="s">
        <v>51</v>
      </c>
      <c r="D120" s="135">
        <f>SUM(D106:D119)</f>
        <v>328.83000000000004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'01'!A127+(B127-SUM(D127:F128))</f>
        <v>27.5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733</v>
      </c>
      <c r="I127" s="113">
        <f>D127+D128+'01'!I127</f>
        <v>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'01'!A129+(B129-SUM(D129:F129))</f>
        <v>8.0999999999999979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'01'!A130+(B130-SUM(D130:F130))</f>
        <v>5</v>
      </c>
      <c r="B130" s="134">
        <v>2.5</v>
      </c>
      <c r="C130" s="16" t="s">
        <v>828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83.1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43.29-10.82</f>
        <v>32.47</v>
      </c>
      <c r="E146" s="138"/>
      <c r="F146" s="138"/>
      <c r="G146" s="16" t="s">
        <v>228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233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237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800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/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'01'!A246+(B246-SUM(D246:F255))</f>
        <v>79.669999999999987</v>
      </c>
      <c r="B246" s="134">
        <v>50</v>
      </c>
      <c r="C246" s="27" t="s">
        <v>281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'01'!A256+(B256-SUM(D256:F256))</f>
        <v>70</v>
      </c>
      <c r="B256" s="134">
        <f>0</f>
        <v>0</v>
      </c>
      <c r="C256" s="16" t="s">
        <v>288</v>
      </c>
      <c r="D256" s="137"/>
      <c r="E256" s="138"/>
      <c r="F256" s="138"/>
      <c r="G256" s="16"/>
    </row>
    <row r="257" spans="1:9" ht="15.75">
      <c r="A257" s="112">
        <f>'01'!A257+(B257-SUM(D257:F257))</f>
        <v>402.77000000000004</v>
      </c>
      <c r="B257" s="134">
        <f>0</f>
        <v>0</v>
      </c>
      <c r="C257" s="16" t="s">
        <v>863</v>
      </c>
      <c r="D257" s="137"/>
      <c r="E257" s="138"/>
      <c r="F257" s="138"/>
      <c r="G257" s="16" t="s">
        <v>284</v>
      </c>
      <c r="I257" s="89">
        <f>1208-(100.67*9)</f>
        <v>301.97000000000003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552.44000000000005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9" ht="15" customHeight="1" thickBot="1">
      <c r="B263" s="419"/>
      <c r="C263" s="420"/>
      <c r="D263" s="420"/>
      <c r="E263" s="420"/>
      <c r="F263" s="420"/>
      <c r="G263" s="421"/>
    </row>
    <row r="264" spans="1:9">
      <c r="B264" s="429" t="s">
        <v>8</v>
      </c>
      <c r="C264" s="430"/>
      <c r="D264" s="431" t="s">
        <v>9</v>
      </c>
      <c r="E264" s="431"/>
      <c r="F264" s="431"/>
      <c r="G264" s="430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0</v>
      </c>
      <c r="C266" s="19"/>
      <c r="D266" s="137"/>
      <c r="E266" s="138"/>
      <c r="F266" s="138"/>
      <c r="G266" s="16"/>
    </row>
    <row r="267" spans="1:9">
      <c r="B267" s="134"/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31" t="s">
        <v>9</v>
      </c>
      <c r="E284" s="431"/>
      <c r="F284" s="431"/>
      <c r="G284" s="430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'01'!A286+(SUM(B286:B298)-SUM(D286:F298))</f>
        <v>77.309999999999775</v>
      </c>
      <c r="B286" s="133">
        <v>60</v>
      </c>
      <c r="C286" s="19" t="s">
        <v>31</v>
      </c>
      <c r="D286" s="137"/>
      <c r="E286" s="138"/>
      <c r="F286" s="138"/>
      <c r="G286" s="16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'01'!A299+(B299-SUM(D299:F299))</f>
        <v>70</v>
      </c>
      <c r="B299" s="135">
        <v>50</v>
      </c>
      <c r="C299" s="17" t="s">
        <v>802</v>
      </c>
      <c r="D299" s="135"/>
      <c r="E299" s="139"/>
      <c r="F299" s="139"/>
      <c r="G299" s="17"/>
    </row>
    <row r="300" spans="1:8" ht="16.5" thickBot="1">
      <c r="A300" s="112">
        <f>SUM(A286:A299)</f>
        <v>147.30999999999977</v>
      </c>
      <c r="B300" s="135">
        <f>SUM(B286:B299)</f>
        <v>110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140</v>
      </c>
      <c r="C306" s="19" t="s">
        <v>864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5</v>
      </c>
      <c r="C346" s="19"/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31.12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31.12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31" t="s">
        <v>9</v>
      </c>
      <c r="E424" s="431"/>
      <c r="F424" s="431"/>
      <c r="G424" s="430"/>
    </row>
    <row r="425" spans="1:8">
      <c r="A425" s="113">
        <f>AÑO!G17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241</v>
      </c>
    </row>
    <row r="426" spans="1:8" ht="15.75">
      <c r="A426" s="112">
        <v>4300</v>
      </c>
      <c r="B426" s="134">
        <f>A425-SUM(A426:A439)</f>
        <v>-4300</v>
      </c>
      <c r="C426" s="19" t="s">
        <v>222</v>
      </c>
      <c r="D426" s="137"/>
      <c r="E426" s="138"/>
      <c r="F426" s="138"/>
      <c r="G426" s="16"/>
      <c r="H426" s="112">
        <v>8120</v>
      </c>
    </row>
    <row r="427" spans="1:8">
      <c r="A427" s="113"/>
      <c r="B427" s="134"/>
      <c r="C427" s="16"/>
      <c r="D427" s="137"/>
      <c r="E427" s="138"/>
      <c r="F427" s="138"/>
      <c r="G427" s="16"/>
      <c r="H427" s="113">
        <f>AÑO!J41-'02'!H426</f>
        <v>-5154.2599999999975</v>
      </c>
    </row>
    <row r="428" spans="1:8">
      <c r="A428" s="113"/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-4300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/>
      <c r="B466" s="134"/>
      <c r="C466" s="16"/>
      <c r="D466" s="137"/>
      <c r="E466" s="138"/>
      <c r="F466" s="138"/>
      <c r="G466" s="16"/>
    </row>
    <row r="467" spans="1:7" ht="15.75">
      <c r="A467" s="112"/>
      <c r="B467" s="134"/>
      <c r="C467" s="16"/>
      <c r="D467" s="137"/>
      <c r="E467" s="138"/>
      <c r="F467" s="138"/>
      <c r="G467" s="16"/>
    </row>
    <row r="468" spans="1:7" ht="15.75">
      <c r="A468" s="112"/>
      <c r="B468" s="134"/>
      <c r="C468" s="16"/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795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01" workbookViewId="0">
      <selection activeCell="I120" sqref="I12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1559.34</v>
      </c>
      <c r="L5" s="425"/>
      <c r="M5" s="1"/>
      <c r="N5" s="1"/>
      <c r="R5" s="3"/>
    </row>
    <row r="6" spans="1:22" ht="15.75">
      <c r="A6" s="112">
        <f>'02'!A6+(B6-SUM(D6:F6))</f>
        <v>784.52</v>
      </c>
      <c r="B6" s="133">
        <v>399.59</v>
      </c>
      <c r="C6" s="19" t="s">
        <v>176</v>
      </c>
      <c r="D6" s="137"/>
      <c r="E6" s="138">
        <v>399.59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620.08000000000004</v>
      </c>
      <c r="L6" s="427"/>
      <c r="M6" s="1" t="s">
        <v>162</v>
      </c>
      <c r="N6" s="1"/>
      <c r="R6" s="3"/>
    </row>
    <row r="7" spans="1:22" ht="15.75">
      <c r="A7" s="112">
        <f>'02'!A7+(B7-SUM(D7:F7))</f>
        <v>-38.059999999999945</v>
      </c>
      <c r="B7" s="134">
        <v>70.180000000000007</v>
      </c>
      <c r="C7" s="16" t="s">
        <v>194</v>
      </c>
      <c r="D7" s="137"/>
      <c r="E7" s="138">
        <f>332.75+142.41+273.37</f>
        <v>748.53</v>
      </c>
      <c r="F7" s="138"/>
      <c r="G7" s="16" t="s">
        <v>72</v>
      </c>
      <c r="H7" s="1"/>
      <c r="I7" s="108" t="s">
        <v>61</v>
      </c>
      <c r="J7" s="107" t="s">
        <v>62</v>
      </c>
      <c r="K7" s="426">
        <v>8577.0300000000007</v>
      </c>
      <c r="L7" s="427"/>
      <c r="M7" s="1"/>
      <c r="N7" s="1"/>
      <c r="R7" s="3"/>
    </row>
    <row r="8" spans="1:22" ht="15.75">
      <c r="A8" s="112">
        <f>'02'!A8+(B8-SUM(D8:F8))</f>
        <v>-0.20000000000000284</v>
      </c>
      <c r="B8" s="134">
        <v>112.11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3501.87</v>
      </c>
      <c r="L8" s="427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35</v>
      </c>
      <c r="D9" s="137"/>
      <c r="E9" s="138">
        <v>20.28</v>
      </c>
      <c r="F9" s="138"/>
      <c r="G9" s="16" t="s">
        <v>35</v>
      </c>
      <c r="H9" s="1"/>
      <c r="I9" s="108" t="s">
        <v>61</v>
      </c>
      <c r="J9" s="107" t="s">
        <v>154</v>
      </c>
      <c r="K9" s="426">
        <v>4167.34</v>
      </c>
      <c r="L9" s="427"/>
      <c r="M9" s="1"/>
      <c r="N9" s="1"/>
      <c r="R9" s="3"/>
    </row>
    <row r="10" spans="1:22" ht="15.75">
      <c r="A10" s="112">
        <f>'02'!A10+(B10-SUM(D10:F10))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'02'!A11+(B11-SUM(D11:F11))</f>
        <v>60.47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v>255</v>
      </c>
      <c r="L11" s="427"/>
      <c r="M11" s="1"/>
      <c r="N11" s="1"/>
      <c r="R11" s="3"/>
    </row>
    <row r="12" spans="1:22" ht="15.75">
      <c r="A12" s="112">
        <f>'02'!A12+(B12-SUM(D12:F12))</f>
        <v>101.5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v>5092.08</v>
      </c>
      <c r="L12" s="427"/>
      <c r="M12" s="92"/>
      <c r="N12" s="1"/>
      <c r="R12" s="3"/>
    </row>
    <row r="13" spans="1:22" ht="15.75">
      <c r="A13" s="112">
        <f>'02'!A13+(B13-SUM(D13:F13))</f>
        <v>478</v>
      </c>
      <c r="B13" s="134">
        <v>7</v>
      </c>
      <c r="C13" s="16" t="s">
        <v>232</v>
      </c>
      <c r="D13" s="137"/>
      <c r="E13" s="138">
        <v>79</v>
      </c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2">
        <f>SUM(K5:K18)</f>
        <v>25574.760000000002</v>
      </c>
      <c r="L19" s="433"/>
      <c r="M19" s="1"/>
      <c r="N19" s="1"/>
      <c r="R19" s="3"/>
    </row>
    <row r="20" spans="1:18" ht="16.5" thickBot="1">
      <c r="A20" s="112">
        <f>SUM(A6:A15)</f>
        <v>1422.23</v>
      </c>
      <c r="B20" s="135">
        <f>SUM(B6:B19)</f>
        <v>676.39</v>
      </c>
      <c r="C20" s="17" t="s">
        <v>51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198">
        <v>2526.87</v>
      </c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'02'!A27+(B27-SUM(D27:F27))</f>
        <v>248.09999999999991</v>
      </c>
      <c r="B27" s="134">
        <f>407.28+170</f>
        <v>577.28</v>
      </c>
      <c r="C27" s="27" t="s">
        <v>38</v>
      </c>
      <c r="D27" s="137">
        <v>577.28</v>
      </c>
      <c r="E27" s="138"/>
      <c r="F27" s="138"/>
      <c r="G27" s="16" t="s">
        <v>38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'02'!A28+(B28-SUM(D28:F28))</f>
        <v>165.73000000000002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'02'!A29+(B29-SUM(D29:F29))</f>
        <v>19.870000000000005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'02'!A30+(B30-SUM(D30:F30))</f>
        <v>-336</v>
      </c>
      <c r="B30" s="134">
        <v>-407.28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243</v>
      </c>
      <c r="K30" s="408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224</v>
      </c>
      <c r="K31" s="410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234</v>
      </c>
      <c r="K32" s="410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997.69999999999982</v>
      </c>
      <c r="B40" s="135">
        <f>SUM(B26:B39)</f>
        <v>1128</v>
      </c>
      <c r="C40" s="17" t="s">
        <v>51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260</v>
      </c>
      <c r="K45" s="408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244</v>
      </c>
      <c r="H46" s="1"/>
      <c r="I46" s="405"/>
      <c r="J46" s="409" t="s">
        <v>157</v>
      </c>
      <c r="K46" s="410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76</v>
      </c>
      <c r="D47" s="137">
        <v>70.08</v>
      </c>
      <c r="E47" s="138"/>
      <c r="F47" s="138"/>
      <c r="G47" s="16" t="s">
        <v>245</v>
      </c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252</v>
      </c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256</v>
      </c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255</v>
      </c>
      <c r="H50" s="1"/>
      <c r="I50" s="404" t="str">
        <f>AÑO!A13</f>
        <v>Gubernamental</v>
      </c>
      <c r="J50" s="407" t="s">
        <v>225</v>
      </c>
      <c r="K50" s="408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262</v>
      </c>
      <c r="H51" s="1"/>
      <c r="I51" s="405"/>
      <c r="J51" s="409" t="s">
        <v>296</v>
      </c>
      <c r="K51" s="410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266</v>
      </c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267</v>
      </c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286</v>
      </c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300</v>
      </c>
      <c r="H55" s="1"/>
      <c r="I55" s="404" t="str">
        <f>AÑO!A14</f>
        <v>Mutualite/DKV</v>
      </c>
      <c r="J55" s="439" t="str">
        <f>G306</f>
        <v>12/03 Chirec</v>
      </c>
      <c r="K55" s="408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51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247</v>
      </c>
      <c r="K60" s="408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3"/>
      <c r="J64" s="414"/>
      <c r="K64" s="415"/>
      <c r="L64" s="201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12">
        <f>'02'!A66+(B66-SUM(D66:F77))</f>
        <v>183.48000000000002</v>
      </c>
      <c r="B66" s="133">
        <v>160</v>
      </c>
      <c r="C66" s="19" t="s">
        <v>31</v>
      </c>
      <c r="D66" s="137"/>
      <c r="E66" s="138"/>
      <c r="F66" s="138">
        <v>31</v>
      </c>
      <c r="G66" s="19" t="s">
        <v>246</v>
      </c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254</v>
      </c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258</v>
      </c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268</v>
      </c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269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299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301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157</v>
      </c>
      <c r="D78" s="137"/>
      <c r="E78" s="138"/>
      <c r="F78" s="138">
        <v>100</v>
      </c>
      <c r="G78" s="16" t="s">
        <v>248</v>
      </c>
      <c r="H78" s="1" t="s">
        <v>157</v>
      </c>
      <c r="M78" s="1"/>
      <c r="R78" s="3"/>
    </row>
    <row r="79" spans="1:18" ht="16.5" thickBot="1">
      <c r="A79" s="112">
        <f>'02'!A79+(B79-SUM(D79:F79))</f>
        <v>30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213.48000000000002</v>
      </c>
      <c r="B80" s="233">
        <f>SUM(B66:B79)</f>
        <v>280</v>
      </c>
      <c r="C80" s="17" t="s">
        <v>51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49.03</v>
      </c>
      <c r="E86" s="138"/>
      <c r="F86" s="138"/>
      <c r="G86" s="16" t="s">
        <v>271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272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273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277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51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'02'!A107+(B107-SUM(D107:F107))</f>
        <v>0.39000000000005741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'02'!A108+(B108-SUM(D108:F108))</f>
        <v>780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-1201.18</v>
      </c>
      <c r="B109" s="134">
        <f>37.53-1370+80+10</f>
        <v>-1242.47</v>
      </c>
      <c r="C109" s="18" t="s">
        <v>293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4714.4315974244992</v>
      </c>
      <c r="B120" s="135">
        <f>SUM(B106:B119)</f>
        <v>-865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44</v>
      </c>
      <c r="D126" s="137">
        <f>27.5</f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45</v>
      </c>
      <c r="D127" s="137">
        <v>15</v>
      </c>
      <c r="E127" s="138"/>
      <c r="F127" s="138"/>
      <c r="G127" s="16" t="s">
        <v>149</v>
      </c>
      <c r="H127" s="112" t="s">
        <v>733</v>
      </c>
      <c r="I127" s="113">
        <f>D127+D128+'02'!I127</f>
        <v>35</v>
      </c>
      <c r="M127" s="1"/>
      <c r="R127" s="3"/>
    </row>
    <row r="128" spans="1:18" ht="15.75">
      <c r="A128" s="1"/>
      <c r="B128" s="134">
        <v>8</v>
      </c>
      <c r="C128" s="16" t="s">
        <v>159</v>
      </c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159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51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73.66</v>
      </c>
      <c r="E146" s="138"/>
      <c r="F146" s="138"/>
      <c r="G146" s="16" t="s">
        <v>253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266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179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200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180</v>
      </c>
      <c r="B173" s="134">
        <v>180</v>
      </c>
      <c r="C173" s="16"/>
      <c r="D173" s="137"/>
      <c r="E173" s="138"/>
      <c r="F173" s="138"/>
      <c r="G173" s="16"/>
      <c r="H173" s="1" t="s">
        <v>157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200</v>
      </c>
      <c r="B180" s="135">
        <f>SUM(B166:B179)</f>
        <v>390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40.5</v>
      </c>
      <c r="E186" s="138"/>
      <c r="F186" s="138"/>
      <c r="G186" s="16" t="s">
        <v>289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265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287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51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8" ht="15" customHeight="1" thickBot="1">
      <c r="B243" s="419"/>
      <c r="C243" s="420"/>
      <c r="D243" s="420"/>
      <c r="E243" s="420"/>
      <c r="F243" s="420"/>
      <c r="G243" s="421"/>
    </row>
    <row r="244" spans="1:8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1:8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259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263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278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288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284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282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283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51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7" ht="15" customHeight="1" thickBot="1">
      <c r="B263" s="419"/>
      <c r="C263" s="420"/>
      <c r="D263" s="420"/>
      <c r="E263" s="420"/>
      <c r="F263" s="420"/>
      <c r="G263" s="421"/>
    </row>
    <row r="264" spans="1:7">
      <c r="B264" s="429" t="s">
        <v>8</v>
      </c>
      <c r="C264" s="430"/>
      <c r="D264" s="431" t="s">
        <v>9</v>
      </c>
      <c r="E264" s="431"/>
      <c r="F264" s="431"/>
      <c r="G264" s="430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249</v>
      </c>
    </row>
    <row r="267" spans="1:7">
      <c r="B267" s="134">
        <v>4021.94</v>
      </c>
      <c r="C267" s="16" t="s">
        <v>296</v>
      </c>
      <c r="D267" s="137"/>
      <c r="E267" s="138"/>
      <c r="F267" s="138">
        <v>15</v>
      </c>
      <c r="G267" s="16" t="s">
        <v>302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51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>
        <v>45.36</v>
      </c>
      <c r="E306" s="138"/>
      <c r="F306" s="138"/>
      <c r="G306" s="16" t="s">
        <v>261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274</v>
      </c>
    </row>
    <row r="308" spans="2:7">
      <c r="B308" s="134">
        <f>L55</f>
        <v>9.44</v>
      </c>
      <c r="C308" s="27" t="s">
        <v>285</v>
      </c>
      <c r="D308" s="137">
        <v>8.27</v>
      </c>
      <c r="E308" s="138"/>
      <c r="F308" s="138"/>
      <c r="G308" s="16" t="s">
        <v>275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295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297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51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270</v>
      </c>
    </row>
    <row r="327" spans="2:7">
      <c r="B327" s="134">
        <v>100</v>
      </c>
      <c r="C327" s="16" t="s">
        <v>260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51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193</v>
      </c>
      <c r="D346" s="137">
        <v>16</v>
      </c>
      <c r="E346" s="138"/>
      <c r="F346" s="138"/>
      <c r="G346" s="16" t="s">
        <v>250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251</v>
      </c>
    </row>
    <row r="348" spans="2:7">
      <c r="B348" s="134"/>
      <c r="C348" s="16"/>
      <c r="D348" s="137">
        <v>16</v>
      </c>
      <c r="E348" s="138"/>
      <c r="F348" s="138"/>
      <c r="G348" s="16" t="s">
        <v>264</v>
      </c>
    </row>
    <row r="349" spans="2:7">
      <c r="B349" s="134"/>
      <c r="C349" s="16"/>
      <c r="D349" s="137">
        <v>10</v>
      </c>
      <c r="E349" s="138"/>
      <c r="F349" s="138"/>
      <c r="G349" s="16" t="s">
        <v>265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51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3.5+4.45+8.3+3.4+4.45+4+4.5</f>
        <v>32.599999999999994</v>
      </c>
      <c r="G366" s="31" t="s">
        <v>65</v>
      </c>
    </row>
    <row r="367" spans="2:7">
      <c r="B367" s="134"/>
      <c r="C367" s="16"/>
      <c r="D367" s="137"/>
      <c r="E367" s="138"/>
      <c r="F367" s="138">
        <v>12</v>
      </c>
      <c r="G367" s="31" t="s">
        <v>276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291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226</v>
      </c>
    </row>
    <row r="407" spans="2:7">
      <c r="B407" s="134">
        <v>-984.2</v>
      </c>
      <c r="C407" s="16" t="s">
        <v>291</v>
      </c>
      <c r="D407" s="137">
        <v>44.93</v>
      </c>
      <c r="E407" s="138"/>
      <c r="F407" s="138"/>
      <c r="G407" s="16" t="s">
        <v>290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51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AÑO!K17</f>
        <v>8724.6099999999988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-119.16000000000167</v>
      </c>
      <c r="C426" s="19" t="s">
        <v>222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4084.2</v>
      </c>
      <c r="C446" s="19" t="s">
        <v>294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9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>
        <f>'02'!A466+(B466-SUM(D466:F466))</f>
        <v>-500</v>
      </c>
      <c r="B466" s="134">
        <v>-500</v>
      </c>
      <c r="C466" s="16" t="s">
        <v>292</v>
      </c>
      <c r="D466" s="137"/>
      <c r="E466" s="138"/>
      <c r="F466" s="138"/>
      <c r="G466" s="16"/>
    </row>
    <row r="467" spans="1:9" ht="15.75">
      <c r="A467" s="112">
        <f>'02'!A467+(B467-SUM(D467:F467))</f>
        <v>75</v>
      </c>
      <c r="B467" s="134">
        <f>35+40</f>
        <v>75</v>
      </c>
      <c r="C467" s="16" t="s">
        <v>180</v>
      </c>
      <c r="D467" s="137"/>
      <c r="E467" s="138"/>
      <c r="F467" s="138"/>
      <c r="G467" s="16"/>
    </row>
    <row r="468" spans="1:9" ht="15.75">
      <c r="A468" s="112">
        <f>'02'!A468+(B468-SUM(D468:F468))</f>
        <v>20</v>
      </c>
      <c r="B468" s="134">
        <f>15+5</f>
        <v>20</v>
      </c>
      <c r="C468" s="16" t="s">
        <v>181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-405</v>
      </c>
      <c r="B480" s="135">
        <f>SUM(B466:B479)</f>
        <v>-405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25.94</v>
      </c>
      <c r="E506" s="138"/>
      <c r="F506" s="138"/>
      <c r="G506" s="16" t="s">
        <v>298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861.84</v>
      </c>
      <c r="L5" s="425"/>
      <c r="M5" s="1"/>
      <c r="N5" s="1"/>
      <c r="R5" s="3"/>
    </row>
    <row r="6" spans="1:22" ht="15.75">
      <c r="A6" s="112">
        <f>'03'!A6+(B6-SUM(D6:F6))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620.08000000000004</v>
      </c>
      <c r="L6" s="427"/>
      <c r="M6" s="1" t="s">
        <v>162</v>
      </c>
      <c r="N6" s="1"/>
      <c r="R6" s="3"/>
    </row>
    <row r="7" spans="1:22" ht="15.75">
      <c r="A7" s="112">
        <f>'03'!A7+(B7-SUM(D7:F7))</f>
        <v>29.130000000000052</v>
      </c>
      <c r="B7" s="134">
        <v>67.19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10075.709999999999</v>
      </c>
      <c r="L7" s="427"/>
      <c r="M7" s="1"/>
      <c r="N7" s="1"/>
      <c r="R7" s="3"/>
    </row>
    <row r="8" spans="1:22" ht="15.75">
      <c r="A8" s="112">
        <f>'03'!A8+(B8-SUM(D8:F8))</f>
        <v>-102.64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3501.87</v>
      </c>
      <c r="L8" s="42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35.96</v>
      </c>
      <c r="L9" s="427"/>
      <c r="M9" s="1"/>
      <c r="N9" s="1"/>
      <c r="R9" s="3"/>
    </row>
    <row r="10" spans="1:22" ht="15.75">
      <c r="A10" s="112">
        <f>'03'!A10+(B10-SUM(D10:F10))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'03'!A11+(B11-SUM(D11:F11))</f>
        <v>60.46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v>370</v>
      </c>
      <c r="L11" s="427"/>
      <c r="M11" s="1"/>
      <c r="N11" s="1"/>
      <c r="R11" s="3"/>
    </row>
    <row r="12" spans="1:22" ht="15.75">
      <c r="A12" s="112">
        <f>'03'!A12+(B12-SUM(D12:F12))</f>
        <v>126.5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5092.08+4084.2</f>
        <v>9176.2799999999988</v>
      </c>
      <c r="L12" s="427"/>
      <c r="M12" s="92"/>
      <c r="N12" s="1"/>
      <c r="R12" s="3"/>
    </row>
    <row r="13" spans="1:22" ht="15.75">
      <c r="A13" s="112">
        <f>'03'!A13+(B13-SUM(D13:F13))</f>
        <v>484.5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26443.759999999998</v>
      </c>
      <c r="L19" s="442"/>
      <c r="M19" s="1"/>
      <c r="N19" s="1"/>
      <c r="R19" s="3"/>
    </row>
    <row r="20" spans="1:18" ht="16.5" thickBot="1">
      <c r="A20" s="112">
        <f>SUM(A6:A15)</f>
        <v>1418.4700000000003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'03'!A27+(B27-SUM(D27:F27))</f>
        <v>252.1099999999999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'03'!A28+(B28-SUM(D28:F28))</f>
        <v>205.73000000000002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'03'!A29+(B29-SUM(D29:F29))</f>
        <v>19.920000000000005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'03'!A30+(B30-SUM(D30:F30))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243</v>
      </c>
      <c r="K30" s="408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309</v>
      </c>
      <c r="K31" s="410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234</v>
      </c>
      <c r="K32" s="410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1041.76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303</v>
      </c>
      <c r="K40" s="408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 t="s">
        <v>323</v>
      </c>
      <c r="K41" s="410"/>
      <c r="L41" s="229">
        <v>352.82</v>
      </c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 t="s">
        <v>58</v>
      </c>
      <c r="K42" s="410"/>
      <c r="L42" s="229">
        <v>0.02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324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330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>
        <v>40</v>
      </c>
      <c r="C48" s="16" t="s">
        <v>308</v>
      </c>
      <c r="D48" s="137">
        <v>5.35</v>
      </c>
      <c r="E48" s="138"/>
      <c r="F48" s="138"/>
      <c r="G48" s="16" t="s">
        <v>335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 t="s">
        <v>340</v>
      </c>
      <c r="D49" s="137"/>
      <c r="E49" s="138"/>
      <c r="F49" s="138"/>
      <c r="G49" s="16"/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>
        <v>-146</v>
      </c>
      <c r="C50" s="16" t="s">
        <v>343</v>
      </c>
      <c r="D50" s="137"/>
      <c r="E50" s="138"/>
      <c r="F50" s="138"/>
      <c r="G50" s="16"/>
      <c r="H50" s="1"/>
      <c r="I50" s="404" t="str">
        <f>AÑO!A13</f>
        <v>Gubernamental</v>
      </c>
      <c r="J50" s="407" t="s">
        <v>312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39" t="str">
        <f>'03'!G307</f>
        <v>22/03 Chirec</v>
      </c>
      <c r="K55" s="408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40" t="str">
        <f>'03'!G309</f>
        <v>26/03 Ginecologa</v>
      </c>
      <c r="K56" s="410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 t="s">
        <v>327</v>
      </c>
      <c r="K57" s="410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/>
      <c r="K60" s="408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'03'!A66+(B66+B67-SUM(D66:F78))</f>
        <v>242.48000000000002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331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>
        <v>-50</v>
      </c>
      <c r="C67" s="16" t="s">
        <v>343</v>
      </c>
      <c r="D67" s="137">
        <v>41</v>
      </c>
      <c r="E67" s="138"/>
      <c r="F67" s="138"/>
      <c r="G67" s="31" t="s">
        <v>337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40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282.48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57.56</v>
      </c>
      <c r="E86" s="138"/>
      <c r="F86" s="138"/>
      <c r="G86" s="16" t="s">
        <v>321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338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344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0.48000000000006082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766</v>
      </c>
      <c r="B108" s="134">
        <v>50</v>
      </c>
      <c r="C108" s="18" t="s">
        <v>182</v>
      </c>
      <c r="D108" s="137">
        <v>50</v>
      </c>
      <c r="E108" s="138"/>
      <c r="F108" s="138"/>
      <c r="G108" s="34" t="s">
        <v>333</v>
      </c>
      <c r="H108" s="1"/>
      <c r="M108" s="1"/>
      <c r="R108" s="3"/>
    </row>
    <row r="109" spans="1:18" ht="15.75">
      <c r="A109" s="112">
        <f>'03'!A109+(B109+B110+B111-SUM(D110:F119))</f>
        <v>354.69999999999982</v>
      </c>
      <c r="B109" s="134">
        <v>67.53</v>
      </c>
      <c r="C109" s="18" t="s">
        <v>334</v>
      </c>
      <c r="D109" s="137">
        <v>11</v>
      </c>
      <c r="E109" s="138"/>
      <c r="F109" s="138">
        <v>3</v>
      </c>
      <c r="G109" s="31" t="s">
        <v>339</v>
      </c>
      <c r="H109" s="1"/>
      <c r="M109" s="1"/>
      <c r="R109" s="3"/>
    </row>
    <row r="110" spans="1:18" ht="15.75">
      <c r="B110" s="134">
        <v>1370</v>
      </c>
      <c r="C110" s="18" t="s">
        <v>322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323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4700.5215974244993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733</v>
      </c>
      <c r="I127" s="113">
        <f>D127+D128+'03'!I127</f>
        <v>55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305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313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316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318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319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325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329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342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f>25.99</f>
        <v>25.99</v>
      </c>
      <c r="E186" s="138"/>
      <c r="F186" s="138"/>
      <c r="G186" s="16" t="s">
        <v>315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307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314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281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310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282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283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7" ht="15" customHeight="1" thickBot="1">
      <c r="B263" s="419"/>
      <c r="C263" s="420"/>
      <c r="D263" s="420"/>
      <c r="E263" s="420"/>
      <c r="F263" s="420"/>
      <c r="G263" s="421"/>
    </row>
    <row r="264" spans="1:7">
      <c r="B264" s="429" t="s">
        <v>8</v>
      </c>
      <c r="C264" s="430"/>
      <c r="D264" s="429" t="s">
        <v>9</v>
      </c>
      <c r="E264" s="431"/>
      <c r="F264" s="431"/>
      <c r="G264" s="430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306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311</v>
      </c>
    </row>
    <row r="287" spans="2:8">
      <c r="B287" s="134"/>
      <c r="C287" s="16"/>
      <c r="D287" s="137">
        <v>9.65</v>
      </c>
      <c r="E287" s="138"/>
      <c r="F287" s="138"/>
      <c r="G287" s="16" t="s">
        <v>317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326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221</v>
      </c>
      <c r="D306" s="137">
        <f>37.5+37.5</f>
        <v>75</v>
      </c>
      <c r="E306" s="138"/>
      <c r="F306" s="138"/>
      <c r="G306" s="16" t="s">
        <v>341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320</v>
      </c>
    </row>
    <row r="308" spans="2:7">
      <c r="B308" s="134">
        <f>L55+L56+L57</f>
        <v>37.980000000000004</v>
      </c>
      <c r="C308" s="27" t="s">
        <v>345</v>
      </c>
      <c r="D308" s="137"/>
      <c r="E308" s="138"/>
      <c r="F308" s="138">
        <v>50</v>
      </c>
      <c r="G308" s="16" t="s">
        <v>327</v>
      </c>
    </row>
    <row r="309" spans="2:7">
      <c r="B309" s="134"/>
      <c r="C309" s="16"/>
      <c r="D309" s="137">
        <v>63.9</v>
      </c>
      <c r="E309" s="138"/>
      <c r="F309" s="138"/>
      <c r="G309" s="16" t="s">
        <v>347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29" t="s">
        <v>9</v>
      </c>
      <c r="E344" s="431"/>
      <c r="F344" s="431"/>
      <c r="G344" s="43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193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29" t="s">
        <v>9</v>
      </c>
      <c r="E364" s="431"/>
      <c r="F364" s="431"/>
      <c r="G364" s="43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322</v>
      </c>
      <c r="D387" s="137"/>
      <c r="E387" s="138"/>
      <c r="F387" s="138"/>
      <c r="G387" s="16"/>
    </row>
    <row r="388" spans="2:7">
      <c r="B388" s="134">
        <v>106.26</v>
      </c>
      <c r="C388" s="27" t="s">
        <v>323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304</v>
      </c>
    </row>
    <row r="407" spans="2:7">
      <c r="B407" s="134">
        <v>3.75</v>
      </c>
      <c r="C407" s="16" t="s">
        <v>303</v>
      </c>
      <c r="D407" s="137"/>
      <c r="E407" s="138">
        <f>10+10</f>
        <v>20</v>
      </c>
      <c r="F407" s="138"/>
      <c r="G407" s="16" t="s">
        <v>328</v>
      </c>
    </row>
    <row r="408" spans="2:7">
      <c r="B408" s="134">
        <v>984.2</v>
      </c>
      <c r="C408" s="18" t="s">
        <v>322</v>
      </c>
      <c r="D408" s="137"/>
      <c r="E408" s="138"/>
      <c r="F408" s="138"/>
      <c r="G408" s="16"/>
    </row>
    <row r="409" spans="2:7">
      <c r="B409" s="134">
        <v>85.02</v>
      </c>
      <c r="C409" s="27" t="s">
        <v>323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AÑO!O17</f>
        <v>4322.7000000000007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-176.09999999999854</v>
      </c>
      <c r="C426" s="19" t="s">
        <v>222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346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322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'03'!A467+(B467-SUM(D467:F467))</f>
        <v>125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'03'!A468+(B468+B470-SUM(D468:F468))</f>
        <v>93.19</v>
      </c>
      <c r="B468" s="134">
        <f>15+15</f>
        <v>30</v>
      </c>
      <c r="C468" s="16" t="s">
        <v>181</v>
      </c>
      <c r="D468" s="137"/>
      <c r="E468" s="138"/>
      <c r="F468" s="138"/>
      <c r="G468" s="16"/>
    </row>
    <row r="469" spans="1:7">
      <c r="B469" s="134">
        <v>500</v>
      </c>
      <c r="C469" s="18" t="s">
        <v>322</v>
      </c>
      <c r="D469" s="137"/>
      <c r="E469" s="138"/>
      <c r="F469" s="138"/>
      <c r="G469" s="16"/>
    </row>
    <row r="470" spans="1:7">
      <c r="B470" s="134">
        <v>43.19</v>
      </c>
      <c r="C470" s="27" t="s">
        <v>323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218.19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1773.93</v>
      </c>
      <c r="L5" s="425"/>
      <c r="M5" s="1"/>
      <c r="N5" s="1"/>
      <c r="R5" s="3"/>
    </row>
    <row r="6" spans="1:22" ht="15.75">
      <c r="A6" s="112">
        <f>'04'!A6+(B6-SUM(D6:F6))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</v>
      </c>
      <c r="L6" s="427"/>
      <c r="M6" s="1" t="s">
        <v>162</v>
      </c>
      <c r="N6" s="1"/>
      <c r="R6" s="3"/>
    </row>
    <row r="7" spans="1:22" ht="15.75">
      <c r="A7" s="112">
        <f>'04'!A7+(B7-SUM(D7:F7))</f>
        <v>96.32000000000005</v>
      </c>
      <c r="B7" s="134">
        <v>67.19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7144.52</v>
      </c>
      <c r="L7" s="427"/>
      <c r="M7" s="1"/>
      <c r="N7" s="1"/>
      <c r="R7" s="3"/>
    </row>
    <row r="8" spans="1:22" ht="15.75">
      <c r="A8" s="112">
        <f>'04'!A8+(B8-SUM(D8:F8))</f>
        <v>-0.20000000000000284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10005.620000000001</v>
      </c>
      <c r="L8" s="42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514.82000000000005</v>
      </c>
      <c r="L9" s="427"/>
      <c r="M9" s="1"/>
      <c r="N9" s="1"/>
      <c r="R9" s="3"/>
    </row>
    <row r="10" spans="1:22" ht="15.75">
      <c r="A10" s="112">
        <f>'04'!A10+(B10-SUM(D10:F10))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'04'!A11+(B11-SUM(D11:F11))</f>
        <v>60.45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210</f>
        <v>210</v>
      </c>
      <c r="L11" s="427"/>
      <c r="M11" s="1"/>
      <c r="N11" s="1"/>
      <c r="R11" s="3"/>
    </row>
    <row r="12" spans="1:22" ht="15.75">
      <c r="A12" s="112">
        <f>'04'!A12+(B12-SUM(D12:F12))</f>
        <v>151.5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v>5092.08</v>
      </c>
      <c r="L12" s="427"/>
      <c r="M12" s="92"/>
      <c r="N12" s="1"/>
      <c r="R12" s="3"/>
    </row>
    <row r="13" spans="1:22" ht="15.75">
      <c r="A13" s="112">
        <f>'04'!A13+(B13-SUM(D13:F13))</f>
        <v>491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27163.090000000004</v>
      </c>
      <c r="L19" s="442"/>
      <c r="M19" s="1"/>
      <c r="N19" s="1"/>
      <c r="R19" s="3"/>
    </row>
    <row r="20" spans="1:18" ht="16.5" thickBot="1">
      <c r="A20" s="112">
        <f>SUM(A6:A15)</f>
        <v>1619.5900000000001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4448.8500000000004</v>
      </c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'04'!A27+(B27-SUM(D27:F27))</f>
        <v>256.11999999999989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'04'!A28+(B28-SUM(D28:F28))</f>
        <v>77.910000000000025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'04'!A29+(B29-SUM(D29:F29))</f>
        <v>19.970000000000006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'04'!A30+(B30-SUM(D30:F30))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309</v>
      </c>
      <c r="K30" s="408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243</v>
      </c>
      <c r="K31" s="410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234</v>
      </c>
      <c r="K32" s="410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918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351</v>
      </c>
      <c r="K40" s="408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350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353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336</v>
      </c>
      <c r="D48" s="137">
        <v>27.34</v>
      </c>
      <c r="E48" s="138"/>
      <c r="F48" s="138"/>
      <c r="G48" s="16" t="s">
        <v>359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360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367</v>
      </c>
      <c r="H50" s="1"/>
      <c r="I50" s="404" t="str">
        <f>AÑO!A13</f>
        <v>Gubernamental</v>
      </c>
      <c r="J50" s="407" t="s">
        <v>361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368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372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375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467</v>
      </c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468</v>
      </c>
      <c r="H55" s="1"/>
      <c r="I55" s="404" t="str">
        <f>AÑO!A14</f>
        <v>Mutualite/DKV</v>
      </c>
      <c r="J55" s="407" t="s">
        <v>355</v>
      </c>
      <c r="K55" s="408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/>
      <c r="K60" s="408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'04'!A66+(B66-SUM(D66:F78))</f>
        <v>189.63000000000002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349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357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358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365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366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373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469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50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239.63000000000002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55.61</v>
      </c>
      <c r="E86" s="138"/>
      <c r="F86" s="138"/>
      <c r="G86" s="16" t="s">
        <v>354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369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378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470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0.57000000000006423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816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-507.77000000000021</v>
      </c>
      <c r="B109" s="134">
        <f>67.53+120</f>
        <v>187.53</v>
      </c>
      <c r="C109" s="18" t="s">
        <v>474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291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4750.6115974244995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733</v>
      </c>
      <c r="I127" s="113">
        <f>D127+D128+'04'!I127</f>
        <v>55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59</f>
        <v>59</v>
      </c>
      <c r="E146" s="138"/>
      <c r="F146" s="138"/>
      <c r="G146" s="16" t="s">
        <v>353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371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428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47.63</v>
      </c>
      <c r="E186" s="138"/>
      <c r="F186" s="138"/>
      <c r="G186" s="16" t="s">
        <v>374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370</v>
      </c>
    </row>
    <row r="207" spans="2:12">
      <c r="B207" s="134">
        <v>15</v>
      </c>
      <c r="C207" s="16" t="s">
        <v>428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281</v>
      </c>
      <c r="D246" s="137">
        <v>15</v>
      </c>
      <c r="E246" s="138"/>
      <c r="F246" s="138"/>
      <c r="G246" s="16" t="s">
        <v>368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376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310</v>
      </c>
      <c r="D257" s="137"/>
      <c r="E257" s="138">
        <f>100.67</f>
        <v>100.67</v>
      </c>
      <c r="F257" s="138"/>
      <c r="G257" s="16" t="s">
        <v>472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282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356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363</v>
      </c>
    </row>
    <row r="287" spans="2:8">
      <c r="B287" s="134">
        <v>35</v>
      </c>
      <c r="C287" s="16" t="s">
        <v>473</v>
      </c>
      <c r="D287" s="137">
        <v>54.8</v>
      </c>
      <c r="E287" s="138"/>
      <c r="F287" s="138"/>
      <c r="G287" s="16" t="s">
        <v>475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493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221</v>
      </c>
      <c r="D306" s="137">
        <v>4.4000000000000004</v>
      </c>
      <c r="E306" s="138"/>
      <c r="F306" s="138"/>
      <c r="G306" s="16" t="s">
        <v>348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355</v>
      </c>
    </row>
    <row r="308" spans="2:7">
      <c r="B308" s="134">
        <v>17.45</v>
      </c>
      <c r="C308" s="27" t="s">
        <v>364</v>
      </c>
      <c r="D308" s="137">
        <f>51.89+44.67</f>
        <v>96.56</v>
      </c>
      <c r="E308" s="138"/>
      <c r="F308" s="138"/>
      <c r="G308" s="16" t="s">
        <v>466</v>
      </c>
    </row>
    <row r="309" spans="2:7">
      <c r="B309" s="134">
        <v>170</v>
      </c>
      <c r="C309" s="16" t="s">
        <v>428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362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29" t="s">
        <v>9</v>
      </c>
      <c r="E344" s="431"/>
      <c r="F344" s="431"/>
      <c r="G344" s="43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193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29" t="s">
        <v>9</v>
      </c>
      <c r="E364" s="431"/>
      <c r="F364" s="431"/>
      <c r="G364" s="43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494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291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352</v>
      </c>
    </row>
    <row r="407" spans="2:7">
      <c r="B407" s="134">
        <v>45.86</v>
      </c>
      <c r="C407" s="16" t="s">
        <v>351</v>
      </c>
      <c r="D407" s="137"/>
      <c r="E407" s="138"/>
      <c r="F407" s="138"/>
      <c r="G407" s="16"/>
    </row>
    <row r="408" spans="2:7">
      <c r="B408" s="134">
        <v>-1094.26</v>
      </c>
      <c r="C408" s="16" t="s">
        <v>291</v>
      </c>
      <c r="D408" s="137">
        <v>44.48</v>
      </c>
      <c r="E408" s="138"/>
      <c r="F408" s="138"/>
      <c r="G408" s="16" t="s">
        <v>377</v>
      </c>
    </row>
    <row r="409" spans="2:7">
      <c r="B409" s="134">
        <f>29.29+20</f>
        <v>49.29</v>
      </c>
      <c r="C409" s="16" t="s">
        <v>428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29" t="s">
        <v>9</v>
      </c>
      <c r="E424" s="431"/>
      <c r="F424" s="431"/>
      <c r="G424" s="430"/>
    </row>
    <row r="425" spans="1:8">
      <c r="A425" s="113">
        <f>AÑO!S17</f>
        <v>5958.3200000000015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222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291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-550</v>
      </c>
      <c r="B466" s="134">
        <v>-550</v>
      </c>
      <c r="C466" s="16" t="s">
        <v>292</v>
      </c>
      <c r="D466" s="137"/>
      <c r="E466" s="138"/>
      <c r="F466" s="138"/>
      <c r="G466" s="16"/>
    </row>
    <row r="467" spans="1:7" ht="15.75">
      <c r="A467" s="112">
        <f>'04'!A467+(B467-SUM(D467:F467))</f>
        <v>225</v>
      </c>
      <c r="B467" s="134">
        <f>50+50</f>
        <v>100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'04'!A468+(B468-SUM(D468:F468))</f>
        <v>143.19</v>
      </c>
      <c r="B468" s="134">
        <f>15+35</f>
        <v>50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-181.81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f>M5+2156.93</f>
        <v>1614.1099999999997</v>
      </c>
      <c r="L5" s="425"/>
      <c r="M5" s="1">
        <f>-542.82</f>
        <v>-542.82000000000005</v>
      </c>
      <c r="N5" s="1" t="s">
        <v>471</v>
      </c>
      <c r="R5" s="3"/>
    </row>
    <row r="6" spans="1:22" ht="15.75">
      <c r="A6" s="112">
        <f>'05'!A6+(B6-SUM(D6:F6))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</v>
      </c>
      <c r="L6" s="427"/>
      <c r="M6" s="1" t="s">
        <v>162</v>
      </c>
      <c r="N6" s="1"/>
      <c r="R6" s="3"/>
    </row>
    <row r="7" spans="1:22" ht="15.75">
      <c r="A7" s="112">
        <f>'05'!A7+(B7-SUM(D7:F7))</f>
        <v>163.50000000000006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f>9234.42-58.2</f>
        <v>9176.2199999999993</v>
      </c>
      <c r="L7" s="427"/>
      <c r="M7" s="1"/>
      <c r="N7" s="1"/>
      <c r="R7" s="3"/>
    </row>
    <row r="8" spans="1:22" ht="15.75">
      <c r="A8" s="112">
        <f>'05'!A8+(B8-SUM(D8:F8))</f>
        <v>-99.210000000000008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154</v>
      </c>
      <c r="K9" s="426">
        <v>169.67</v>
      </c>
      <c r="L9" s="427"/>
      <c r="M9" s="1"/>
      <c r="N9" s="1"/>
      <c r="R9" s="3"/>
    </row>
    <row r="10" spans="1:22" ht="15.75">
      <c r="A10" s="112">
        <f>'05'!A10+(B10-SUM(D10:F10))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'05'!A11+(B11-SUM(D11:F11))</f>
        <v>60.45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v>190</v>
      </c>
      <c r="L11" s="427"/>
      <c r="M11" s="1"/>
      <c r="N11" s="1"/>
      <c r="R11" s="3"/>
    </row>
    <row r="12" spans="1:22" ht="15.75">
      <c r="A12" s="112">
        <f>'05'!A12+(B12-SUM(D12:F12))</f>
        <v>176.5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'05'!A13+(B13-SUM(D13:F13))</f>
        <v>497.5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29014.079999999998</v>
      </c>
      <c r="L19" s="442"/>
      <c r="M19" s="1"/>
      <c r="N19" s="1"/>
      <c r="R19" s="3"/>
    </row>
    <row r="20" spans="1:18" ht="16.5" thickBot="1">
      <c r="A20" s="112">
        <f>SUM(A6:A15)</f>
        <v>1619.26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2574.61</v>
      </c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'05'!A27+(B27-SUM(D27:F27))</f>
        <v>260.12999999999988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'05'!A28+(B28-SUM(D28:F28))</f>
        <v>117.91000000000003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'05'!A29+(B29-SUM(D29:F29))</f>
        <v>20.020000000000007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'05'!A30+(B30-SUM(D30:F30))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486</v>
      </c>
      <c r="K30" s="408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309</v>
      </c>
      <c r="K31" s="410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234</v>
      </c>
      <c r="K32" s="410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 t="s">
        <v>242</v>
      </c>
      <c r="K35" s="408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962.06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157</v>
      </c>
      <c r="K45" s="408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478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490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479</v>
      </c>
      <c r="D48" s="137">
        <v>27.2</v>
      </c>
      <c r="E48" s="138"/>
      <c r="F48" s="138"/>
      <c r="G48" s="16" t="s">
        <v>503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504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508</v>
      </c>
      <c r="H50" s="1"/>
      <c r="I50" s="404" t="str">
        <f>AÑO!A13</f>
        <v>Gubernamental</v>
      </c>
      <c r="J50" s="407" t="s">
        <v>499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515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517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523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528</v>
      </c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532</v>
      </c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487</v>
      </c>
      <c r="K60" s="408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'05'!A66+(B66-SUM(D66:F78))+B67+B68</f>
        <v>181.98000000000002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500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>
        <v>-35</v>
      </c>
      <c r="C67" s="16" t="s">
        <v>488</v>
      </c>
      <c r="D67" s="137">
        <v>36.049999999999997</v>
      </c>
      <c r="E67" s="138"/>
      <c r="F67" s="138"/>
      <c r="G67" s="31" t="s">
        <v>511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512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514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518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519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526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60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241.98000000000002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41.71</v>
      </c>
      <c r="E86" s="138"/>
      <c r="F86" s="138"/>
      <c r="G86" s="16" t="s">
        <v>482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484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501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502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522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524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525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530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0.66000000000006764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866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-440.24000000000024</v>
      </c>
      <c r="B109" s="134">
        <v>67.53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4800.7015974244987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733</v>
      </c>
      <c r="I127" s="113">
        <f>D127+D128+'05'!I127</f>
        <v>75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33.159999999999997</v>
      </c>
      <c r="E146" s="138"/>
      <c r="F146" s="138"/>
      <c r="G146" s="16" t="s">
        <v>531</v>
      </c>
      <c r="H146" s="1"/>
      <c r="M146" s="1"/>
      <c r="R146" s="3"/>
    </row>
    <row r="147" spans="1:22" ht="15.75">
      <c r="A147" s="1"/>
      <c r="B147" s="134">
        <v>-60</v>
      </c>
      <c r="C147" s="16" t="s">
        <v>480</v>
      </c>
      <c r="D147" s="137"/>
      <c r="E147" s="138"/>
      <c r="F147" s="138"/>
      <c r="G147" s="16" t="s">
        <v>481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12.98</v>
      </c>
      <c r="E186" s="138"/>
      <c r="F186" s="138"/>
      <c r="G186" s="16" t="s">
        <v>505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509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513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515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516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533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281</v>
      </c>
      <c r="D246" s="137"/>
      <c r="E246" s="138">
        <v>21.08</v>
      </c>
      <c r="F246" s="138"/>
      <c r="G246" s="16" t="s">
        <v>507</v>
      </c>
    </row>
    <row r="247" spans="1:7" ht="15" customHeight="1">
      <c r="A247" s="112"/>
      <c r="B247" s="134">
        <f>-10</f>
        <v>-10</v>
      </c>
      <c r="C247" s="16" t="s">
        <v>535</v>
      </c>
      <c r="D247" s="137">
        <v>12.99</v>
      </c>
      <c r="E247" s="138"/>
      <c r="F247" s="138"/>
      <c r="G247" s="16" t="s">
        <v>515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528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310</v>
      </c>
      <c r="D257" s="137"/>
      <c r="E257" s="138">
        <v>100.67</v>
      </c>
      <c r="F257" s="138"/>
      <c r="G257" s="16" t="s">
        <v>284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282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492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521</v>
      </c>
      <c r="H267" s="89" t="s">
        <v>520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527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9" ht="15" customHeight="1" thickBot="1">
      <c r="B283" s="419"/>
      <c r="C283" s="420"/>
      <c r="D283" s="420"/>
      <c r="E283" s="420"/>
      <c r="F283" s="420"/>
      <c r="G283" s="421"/>
    </row>
    <row r="284" spans="2:9">
      <c r="B284" s="429" t="s">
        <v>8</v>
      </c>
      <c r="C284" s="430"/>
      <c r="D284" s="429" t="s">
        <v>9</v>
      </c>
      <c r="E284" s="431"/>
      <c r="F284" s="431"/>
      <c r="G284" s="430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495</v>
      </c>
    </row>
    <row r="287" spans="2:9">
      <c r="B287" s="134">
        <v>242.41</v>
      </c>
      <c r="C287" s="16" t="s">
        <v>157</v>
      </c>
      <c r="D287" s="137"/>
      <c r="E287" s="138">
        <f>64.83-E50</f>
        <v>34.83</v>
      </c>
      <c r="F287" s="138"/>
      <c r="G287" s="16" t="s">
        <v>506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476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221</v>
      </c>
      <c r="D306" s="137"/>
      <c r="E306" s="138"/>
      <c r="F306" s="138">
        <v>50</v>
      </c>
      <c r="G306" s="16" t="s">
        <v>485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497</v>
      </c>
    </row>
    <row r="308" spans="2:7">
      <c r="B308" s="134"/>
      <c r="C308" s="27"/>
      <c r="D308" s="137"/>
      <c r="E308" s="138"/>
      <c r="F308" s="138">
        <v>50</v>
      </c>
      <c r="G308" s="16" t="s">
        <v>498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496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140.73+(B346-SUM(D346:F357))</f>
        <v>185.73</v>
      </c>
      <c r="B346" s="133">
        <v>45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477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489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510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528</v>
      </c>
    </row>
    <row r="369" spans="2:7">
      <c r="B369" s="134"/>
      <c r="C369" s="16"/>
      <c r="D369" s="137">
        <v>11</v>
      </c>
      <c r="E369" s="138"/>
      <c r="F369" s="138"/>
      <c r="G369" s="16" t="s">
        <v>529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491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AÑO!W17</f>
        <v>4093.3200000000006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-0.82999999999901775</v>
      </c>
      <c r="C426" s="19" t="s">
        <v>222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-550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'05'!A467+(B467-SUM(D467:F467))</f>
        <v>275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'05'!A468+(B468-SUM(D468:F468))+B469</f>
        <v>103.19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>
        <v>-55</v>
      </c>
      <c r="C469" s="16" t="s">
        <v>483</v>
      </c>
      <c r="D469" s="137"/>
      <c r="E469" s="138"/>
      <c r="F469" s="138"/>
      <c r="G469" s="16" t="s">
        <v>227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-171.81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f>2939.95</f>
        <v>2939.95</v>
      </c>
      <c r="L5" s="425"/>
      <c r="M5" s="1"/>
      <c r="N5" s="1"/>
      <c r="R5" s="3"/>
    </row>
    <row r="6" spans="1:22" ht="15.75">
      <c r="A6" s="112">
        <f>'06'!A6+(B6-SUM(D6:F6))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</v>
      </c>
      <c r="L6" s="427"/>
      <c r="M6" s="1" t="s">
        <v>162</v>
      </c>
      <c r="N6" s="1"/>
      <c r="R6" s="3"/>
    </row>
    <row r="7" spans="1:22" ht="15.75">
      <c r="A7" s="112">
        <f>'06'!A7+(B7-SUM(D7:F7))</f>
        <v>230.68000000000006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8049.26</v>
      </c>
      <c r="L7" s="427"/>
      <c r="M7" s="1"/>
      <c r="N7" s="1"/>
      <c r="R7" s="3"/>
    </row>
    <row r="8" spans="1:22" ht="15.75">
      <c r="A8" s="112">
        <f>'06'!A8+(B8-SUM(D8:F8))</f>
        <v>-0.10999999999998522</v>
      </c>
      <c r="B8" s="134">
        <f>L60-550</f>
        <v>99.100000000000023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169.67</v>
      </c>
      <c r="L9" s="427"/>
      <c r="M9" s="1"/>
      <c r="N9" s="1"/>
      <c r="R9" s="3"/>
    </row>
    <row r="10" spans="1:22" ht="15.75">
      <c r="A10" s="112">
        <f>'06'!A10+(B10-SUM(D10:F10))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'06'!A11+(B11-SUM(D11:F11))</f>
        <v>60.46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v>260</v>
      </c>
      <c r="L11" s="427"/>
      <c r="M11" s="1"/>
      <c r="N11" s="1"/>
      <c r="R11" s="3"/>
    </row>
    <row r="12" spans="1:22" ht="15.75">
      <c r="A12" s="112">
        <f>'06'!A12+(B12-SUM(D12:F12))</f>
        <v>201.5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'06'!A13+(B13-SUM(D13:F13))</f>
        <v>504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29282.959999999999</v>
      </c>
      <c r="L19" s="442"/>
      <c r="M19" s="1"/>
      <c r="N19" s="1"/>
      <c r="R19" s="3"/>
    </row>
    <row r="20" spans="1:18" ht="16.5" thickBot="1">
      <c r="A20" s="112">
        <f>SUM(A6:A15)</f>
        <v>1817.0500000000002</v>
      </c>
      <c r="B20" s="135">
        <f>SUM(B6:B19)</f>
        <v>643.1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2568.54</v>
      </c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'06'!A27+(B27-SUM(D27:F27))</f>
        <v>264.13999999999987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'06'!A28+(B28-SUM(D28:F28))</f>
        <v>157.91000000000003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'06'!A29+(B29-SUM(D29:F29))</f>
        <v>20.070000000000007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'06'!A30+(B30-SUM(D30:F30))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309</v>
      </c>
      <c r="K30" s="408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486</v>
      </c>
      <c r="K31" s="410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547</v>
      </c>
      <c r="K32" s="410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1006.1199999999999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534</v>
      </c>
      <c r="K40" s="408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 t="s">
        <v>58</v>
      </c>
      <c r="K41" s="410"/>
      <c r="L41" s="229">
        <v>0.02</v>
      </c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539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545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479</v>
      </c>
      <c r="D48" s="137">
        <v>8.1</v>
      </c>
      <c r="E48" s="138"/>
      <c r="F48" s="138"/>
      <c r="G48" s="16" t="s">
        <v>564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542</v>
      </c>
      <c r="D49" s="137">
        <v>2.5499999999999998</v>
      </c>
      <c r="E49" s="138"/>
      <c r="F49" s="138"/>
      <c r="G49" s="16" t="s">
        <v>573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>
        <v>5</v>
      </c>
      <c r="C50" s="16" t="s">
        <v>569</v>
      </c>
      <c r="D50" s="137">
        <v>69.97</v>
      </c>
      <c r="E50" s="138"/>
      <c r="F50" s="138"/>
      <c r="G50" s="16" t="s">
        <v>584</v>
      </c>
      <c r="H50" s="1"/>
      <c r="I50" s="404" t="str">
        <f>AÑO!A13</f>
        <v>Gubernamental</v>
      </c>
      <c r="J50" s="407" t="s">
        <v>499</v>
      </c>
      <c r="K50" s="408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587</v>
      </c>
      <c r="D51" s="137">
        <v>5.29</v>
      </c>
      <c r="E51" s="138"/>
      <c r="F51" s="138"/>
      <c r="G51" s="16" t="s">
        <v>586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 t="s">
        <v>548</v>
      </c>
      <c r="K55" s="408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 t="s">
        <v>548</v>
      </c>
      <c r="K56" s="410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 t="s">
        <v>548</v>
      </c>
      <c r="K57" s="410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563</v>
      </c>
      <c r="K60" s="408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'06'!A66+(B66-SUM(D66:F78))+B67</f>
        <v>199.78000000000003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540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549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571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570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583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70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269.78000000000003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47.8</v>
      </c>
      <c r="E86" s="138"/>
      <c r="F86" s="138"/>
      <c r="G86" s="16" t="s">
        <v>572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578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0.75000000000007105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916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-372.71000000000026</v>
      </c>
      <c r="B109" s="134">
        <v>67.53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589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592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4850.7915974244988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733</v>
      </c>
      <c r="I127" s="113">
        <f>D127+D128+'06'!I127</f>
        <v>85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544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552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556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558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566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559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560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561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35.94</v>
      </c>
      <c r="E186" s="138"/>
      <c r="F186" s="138"/>
      <c r="G186" s="16" t="s">
        <v>546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545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574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585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539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557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281</v>
      </c>
      <c r="D246" s="137">
        <v>33.729999999999997</v>
      </c>
      <c r="E246" s="138"/>
      <c r="F246" s="138"/>
      <c r="G246" s="16" t="s">
        <v>582</v>
      </c>
    </row>
    <row r="247" spans="1:7" ht="15" customHeight="1">
      <c r="A247" s="112"/>
      <c r="B247" s="134">
        <v>-5</v>
      </c>
      <c r="C247" s="16" t="s">
        <v>569</v>
      </c>
      <c r="D247" s="137">
        <v>20</v>
      </c>
      <c r="E247" s="138"/>
      <c r="F247" s="138"/>
      <c r="G247" s="16" t="s">
        <v>584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567</v>
      </c>
      <c r="D257" s="137"/>
      <c r="E257" s="138">
        <v>100.67</v>
      </c>
      <c r="F257" s="138"/>
      <c r="G257" s="16" t="s">
        <v>593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576</v>
      </c>
      <c r="D258" s="137">
        <v>349</v>
      </c>
      <c r="E258" s="138"/>
      <c r="F258" s="138"/>
      <c r="G258" s="16" t="s">
        <v>543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545</v>
      </c>
    </row>
    <row r="287" spans="2:8">
      <c r="B287" s="134"/>
      <c r="C287" s="16"/>
      <c r="D287" s="137"/>
      <c r="E287" s="138"/>
      <c r="F287" s="138">
        <v>50</v>
      </c>
      <c r="G287" s="16" t="s">
        <v>554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555</v>
      </c>
    </row>
    <row r="289" spans="2:8">
      <c r="B289" s="134"/>
      <c r="C289" s="16"/>
      <c r="D289" s="137">
        <v>26.31</v>
      </c>
      <c r="E289" s="138"/>
      <c r="F289" s="138"/>
      <c r="G289" s="16" t="s">
        <v>557</v>
      </c>
    </row>
    <row r="290" spans="2:8">
      <c r="B290" s="134"/>
      <c r="C290" s="16"/>
      <c r="D290" s="137"/>
      <c r="E290" s="138">
        <v>31.95</v>
      </c>
      <c r="F290" s="138"/>
      <c r="G290" s="16" t="s">
        <v>575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221</v>
      </c>
      <c r="D306" s="137"/>
      <c r="E306" s="138"/>
      <c r="F306" s="138">
        <v>50</v>
      </c>
      <c r="G306" s="16" t="s">
        <v>536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538</v>
      </c>
    </row>
    <row r="308" spans="2:7">
      <c r="B308" s="134">
        <f>37.49+14.27+14.27</f>
        <v>66.03</v>
      </c>
      <c r="C308" s="27" t="s">
        <v>548</v>
      </c>
      <c r="D308" s="137">
        <f>37.5+37.5</f>
        <v>75</v>
      </c>
      <c r="E308" s="138"/>
      <c r="F308" s="138"/>
      <c r="G308" s="16" t="s">
        <v>565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562</v>
      </c>
    </row>
    <row r="327" spans="2:7">
      <c r="B327" s="134">
        <v>100</v>
      </c>
      <c r="C327" s="16" t="s">
        <v>553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'06'!A346+(B346-SUM(D346:F357))</f>
        <v>230.73</v>
      </c>
      <c r="B346" s="133">
        <v>45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579</v>
      </c>
      <c r="D358" s="137">
        <v>64.3</v>
      </c>
      <c r="E358" s="138"/>
      <c r="F358" s="138"/>
      <c r="G358" s="16" t="s">
        <v>577</v>
      </c>
    </row>
    <row r="359" spans="1:7" ht="16.5" thickBot="1">
      <c r="A359" s="112"/>
      <c r="B359" s="135">
        <f>12.64+6.66</f>
        <v>19.3</v>
      </c>
      <c r="C359" s="17" t="s">
        <v>587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541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588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537</v>
      </c>
    </row>
    <row r="407" spans="2:7">
      <c r="B407" s="134">
        <v>1</v>
      </c>
      <c r="C407" s="16" t="s">
        <v>534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588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AÑO!AA17</f>
        <v>4638.26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465.44999999999982</v>
      </c>
      <c r="C426" s="19" t="s">
        <v>222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-550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'06'!A467+(B467-SUM(D467:F467))</f>
        <v>325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'06'!A468+(B468-SUM(D468:F468))</f>
        <v>118.19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-106.81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3508.76</v>
      </c>
      <c r="L5" s="425"/>
      <c r="M5" s="1">
        <f>571.43-192.98-30</f>
        <v>348.44999999999993</v>
      </c>
      <c r="N5" s="1"/>
      <c r="R5" s="3"/>
    </row>
    <row r="6" spans="1:22" ht="15.75">
      <c r="A6" s="112">
        <f>'07'!A6+(B6-SUM(D6:F6))</f>
        <v>784.52</v>
      </c>
      <c r="B6" s="133">
        <v>403.08</v>
      </c>
      <c r="C6" s="19" t="s">
        <v>595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620.12</v>
      </c>
      <c r="L6" s="427"/>
      <c r="M6" s="1" t="s">
        <v>162</v>
      </c>
      <c r="N6" s="1"/>
      <c r="R6" s="3"/>
    </row>
    <row r="7" spans="1:22" ht="15.75">
      <c r="A7" s="112">
        <f>'07'!A7+(B7-SUM(D7:F7))</f>
        <v>297.86000000000007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7490.36</v>
      </c>
      <c r="L7" s="427"/>
      <c r="M7" s="1"/>
      <c r="N7" s="1"/>
      <c r="R7" s="3"/>
    </row>
    <row r="8" spans="1:22" ht="15.75">
      <c r="A8" s="112">
        <f>'07'!A8+(B8-SUM(D8:F8))</f>
        <v>-103.86999999999999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163.63</v>
      </c>
      <c r="L9" s="427"/>
      <c r="M9" s="1"/>
      <c r="N9" s="1"/>
      <c r="R9" s="3"/>
    </row>
    <row r="10" spans="1:22" ht="15.75">
      <c r="A10" s="112">
        <f>'07'!A10+(B10-SUM(D10:F10))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'07'!A11+(B11-SUM(D11:F11))</f>
        <v>60.46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20+120</f>
        <v>140</v>
      </c>
      <c r="L11" s="427"/>
      <c r="M11" s="1"/>
      <c r="N11" s="1"/>
      <c r="R11" s="3"/>
    </row>
    <row r="12" spans="1:22" ht="15.75">
      <c r="A12" s="112">
        <f>'07'!A12+(B12-SUM(D12:F12))</f>
        <v>226.5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'07'!A13+(B13-SUM(D13:F13))</f>
        <v>510.5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29166.850000000002</v>
      </c>
      <c r="L19" s="442"/>
      <c r="M19" s="1"/>
      <c r="N19" s="1"/>
      <c r="R19" s="3"/>
    </row>
    <row r="20" spans="1:18" ht="16.5" thickBot="1">
      <c r="A20" s="112">
        <f>SUM(A6:A15)</f>
        <v>1811.97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2571.5500000000002</v>
      </c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'07'!A27+(B27-SUM(D27:F27))</f>
        <v>268.14999999999986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'07'!A28+(B28-SUM(D28:F28))</f>
        <v>93.720000000000027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'07'!A29+(B29-SUM(D29:F29))</f>
        <v>20.120000000000008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'07'!A30+(B30-SUM(D30:F30))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234</v>
      </c>
      <c r="K30" s="408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 t="s">
        <v>276</v>
      </c>
      <c r="K35" s="408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945.99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634</v>
      </c>
      <c r="K45" s="408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602</v>
      </c>
      <c r="H46" s="1"/>
      <c r="I46" s="405"/>
      <c r="J46" s="409" t="s">
        <v>635</v>
      </c>
      <c r="K46" s="410"/>
      <c r="L46" s="229">
        <v>30</v>
      </c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599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580</v>
      </c>
      <c r="D48" s="137">
        <v>22.34</v>
      </c>
      <c r="E48" s="138"/>
      <c r="F48" s="138"/>
      <c r="G48" s="16" t="s">
        <v>603</v>
      </c>
      <c r="H48" s="1">
        <f>22*8</f>
        <v>176</v>
      </c>
      <c r="I48" s="405"/>
      <c r="J48" s="409"/>
      <c r="K48" s="410"/>
      <c r="L48" s="229"/>
      <c r="M48" s="1"/>
      <c r="R48" s="3"/>
    </row>
    <row r="49" spans="1:18" ht="15.75">
      <c r="A49" s="1"/>
      <c r="B49" s="134">
        <v>23.87</v>
      </c>
      <c r="C49" s="16" t="s">
        <v>587</v>
      </c>
      <c r="D49" s="137">
        <v>49.31</v>
      </c>
      <c r="E49" s="138"/>
      <c r="F49" s="138"/>
      <c r="G49" s="16" t="s">
        <v>609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616</v>
      </c>
      <c r="H50" s="1"/>
      <c r="I50" s="404" t="str">
        <f>AÑO!A13</f>
        <v>Gubernamental</v>
      </c>
      <c r="J50" s="407" t="s">
        <v>499</v>
      </c>
      <c r="K50" s="408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617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43">
        <v>43692</v>
      </c>
      <c r="K55" s="408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44">
        <v>43696</v>
      </c>
      <c r="K56" s="410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37</v>
      </c>
      <c r="K60" s="408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'07'!A66+(SUM(B66:B78)-SUM(D66:F78))</f>
        <v>183.13000000000005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608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>
        <v>30</v>
      </c>
      <c r="C67" s="16" t="s">
        <v>157</v>
      </c>
      <c r="D67" s="137">
        <f>23+8.15</f>
        <v>31.15</v>
      </c>
      <c r="E67" s="138"/>
      <c r="F67" s="138">
        <v>30</v>
      </c>
      <c r="G67" s="31" t="s">
        <v>607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>
        <v>10</v>
      </c>
      <c r="C68" s="16" t="s">
        <v>587</v>
      </c>
      <c r="D68" s="137">
        <v>19.5</v>
      </c>
      <c r="E68" s="138"/>
      <c r="F68" s="138">
        <v>5.5</v>
      </c>
      <c r="G68" s="16" t="s">
        <v>613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614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626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636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80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263.13000000000005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56.61</v>
      </c>
      <c r="E86" s="138"/>
      <c r="F86" s="138"/>
      <c r="G86" s="16" t="s">
        <v>605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606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619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631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0.84000000000007446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966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244.81999999999971</v>
      </c>
      <c r="B109" s="134">
        <v>67.53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601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4900.881597424499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733</v>
      </c>
      <c r="I127" s="113">
        <f>D127+D128+'07'!I127</f>
        <v>105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37.29</v>
      </c>
      <c r="E146" s="138"/>
      <c r="F146" s="138"/>
      <c r="G146" s="16" t="s">
        <v>639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550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50.2</v>
      </c>
      <c r="E186" s="138"/>
      <c r="F186" s="138"/>
      <c r="G186" s="16" t="s">
        <v>623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 t="s">
        <v>551</v>
      </c>
    </row>
    <row r="207" spans="2:12">
      <c r="B207" s="134"/>
      <c r="C207" s="16"/>
      <c r="D207" s="137">
        <v>23</v>
      </c>
      <c r="E207" s="138"/>
      <c r="F207" s="138"/>
      <c r="G207" s="16" t="s">
        <v>620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281</v>
      </c>
      <c r="D246" s="137">
        <f>55.4-D327</f>
        <v>45.4</v>
      </c>
      <c r="E246" s="138"/>
      <c r="F246" s="138"/>
      <c r="G246" s="16" t="s">
        <v>600</v>
      </c>
    </row>
    <row r="247" spans="1:7" ht="15" customHeight="1">
      <c r="A247" s="112"/>
      <c r="B247" s="134">
        <v>12.12</v>
      </c>
      <c r="C247" s="16" t="s">
        <v>587</v>
      </c>
      <c r="D247" s="137">
        <v>16.52</v>
      </c>
      <c r="E247" s="138"/>
      <c r="F247" s="138"/>
      <c r="G247" s="16" t="s">
        <v>615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621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568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596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AÑO!AD34+(SUM(B286:B298)-SUM(D286:F298))</f>
        <v>110.11999999999975</v>
      </c>
      <c r="B286" s="133">
        <v>70</v>
      </c>
      <c r="C286" s="19" t="s">
        <v>31</v>
      </c>
      <c r="D286" s="137"/>
      <c r="E286" s="138"/>
      <c r="F286" s="138"/>
      <c r="G286" s="16" t="s">
        <v>550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627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624</v>
      </c>
      <c r="D299" s="135"/>
      <c r="E299" s="139"/>
      <c r="F299" s="139"/>
      <c r="G299" s="17"/>
    </row>
    <row r="300" spans="1:8" ht="16.5" thickBot="1">
      <c r="A300" s="112">
        <f>SUM(A286:A299)</f>
        <v>130.11999999999975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581</v>
      </c>
      <c r="D306" s="137">
        <v>35.96</v>
      </c>
      <c r="E306" s="138"/>
      <c r="F306" s="138"/>
      <c r="G306" s="16" t="s">
        <v>610</v>
      </c>
    </row>
    <row r="307" spans="2:7">
      <c r="B307" s="134">
        <v>13.15</v>
      </c>
      <c r="C307" s="27" t="s">
        <v>618</v>
      </c>
      <c r="D307" s="137"/>
      <c r="E307" s="138"/>
      <c r="F307" s="138">
        <v>70</v>
      </c>
      <c r="G307" s="16" t="s">
        <v>612</v>
      </c>
    </row>
    <row r="308" spans="2:7">
      <c r="B308" s="134">
        <v>14.27</v>
      </c>
      <c r="C308" s="27" t="s">
        <v>630</v>
      </c>
      <c r="D308" s="137">
        <v>8.68</v>
      </c>
      <c r="E308" s="138"/>
      <c r="F308" s="138"/>
      <c r="G308" s="16" t="s">
        <v>625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598</v>
      </c>
    </row>
    <row r="327" spans="2:7">
      <c r="B327" s="134">
        <v>192.98</v>
      </c>
      <c r="C327" s="16" t="s">
        <v>637</v>
      </c>
      <c r="D327" s="137">
        <v>10</v>
      </c>
      <c r="E327" s="138"/>
      <c r="F327" s="138"/>
      <c r="G327" s="16" t="s">
        <v>600</v>
      </c>
    </row>
    <row r="328" spans="2:7">
      <c r="B328" s="134"/>
      <c r="C328" s="16"/>
      <c r="D328" s="137">
        <v>187.13</v>
      </c>
      <c r="E328" s="138"/>
      <c r="F328" s="138"/>
      <c r="G328" s="16" t="s">
        <v>604</v>
      </c>
    </row>
    <row r="329" spans="2:7">
      <c r="B329" s="134"/>
      <c r="C329" s="16"/>
      <c r="D329" s="137">
        <v>32.14</v>
      </c>
      <c r="E329" s="138"/>
      <c r="F329" s="138"/>
      <c r="G329" s="16" t="s">
        <v>628</v>
      </c>
    </row>
    <row r="330" spans="2:7">
      <c r="B330" s="134"/>
      <c r="C330" s="16"/>
      <c r="D330" s="137">
        <v>7.49</v>
      </c>
      <c r="E330" s="138"/>
      <c r="F330" s="138"/>
      <c r="G330" s="16" t="s">
        <v>629</v>
      </c>
    </row>
    <row r="331" spans="2:7">
      <c r="B331" s="134"/>
      <c r="C331" s="16"/>
      <c r="D331" s="137"/>
      <c r="E331" s="138">
        <v>192.98</v>
      </c>
      <c r="F331" s="138"/>
      <c r="G331" s="16" t="s">
        <v>632</v>
      </c>
    </row>
    <row r="332" spans="2:7">
      <c r="B332" s="134"/>
      <c r="C332" s="16"/>
      <c r="D332" s="137"/>
      <c r="E332" s="138">
        <v>96.65</v>
      </c>
      <c r="F332" s="138"/>
      <c r="G332" s="16" t="s">
        <v>633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'07'!A346+(B346-SUM(D346:F357))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591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590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597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AÑO!AE17</f>
        <v>3945.4900000000002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-300.89999999999918</v>
      </c>
      <c r="C426" s="19" t="s">
        <v>222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-550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'07'!A467+(B467-SUM(D467:F467))+B476</f>
        <v>-175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'07'!A468+(B468-SUM(D468:F468))</f>
        <v>133.19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588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-591.80999999999995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587</v>
      </c>
      <c r="D506" s="137">
        <v>23.43</v>
      </c>
      <c r="E506" s="138"/>
      <c r="F506" s="138"/>
      <c r="G506" s="16" t="s">
        <v>611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Coches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2020-01-30T16:08:23Z</dcterms:modified>
</cp:coreProperties>
</file>