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2F345F12-89EF-431D-AA91-15E25435DBDC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13" l="1"/>
  <c r="D51" i="13"/>
  <c r="D147" i="13"/>
  <c r="AU8" i="1" l="1"/>
  <c r="D366" i="13" l="1"/>
  <c r="D49" i="13" l="1"/>
  <c r="D146" i="13"/>
  <c r="AU15" i="1" l="1"/>
  <c r="AU9" i="1"/>
  <c r="M5" i="13"/>
  <c r="K5" i="13"/>
  <c r="A426" i="13"/>
  <c r="AU12" i="1"/>
  <c r="M4" i="13"/>
  <c r="D47" i="13"/>
  <c r="D46" i="13"/>
  <c r="K7" i="13"/>
  <c r="K11" i="13"/>
  <c r="D247" i="12"/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39" i="1" l="1"/>
  <c r="BN40" i="1"/>
  <c r="BN45" i="1"/>
  <c r="BN33" i="1"/>
  <c r="BN42" i="1"/>
  <c r="BN43" i="1"/>
  <c r="BN37" i="1"/>
  <c r="BN36" i="1"/>
  <c r="BN44" i="1"/>
  <c r="BN21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N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N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N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BN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N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N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BN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AT41" i="1"/>
  <c r="B440" i="13" l="1"/>
  <c r="AV41" i="1" s="1"/>
  <c r="AX41" i="1" s="1"/>
  <c r="AX46" i="1" s="1"/>
  <c r="AT46" i="1"/>
  <c r="AU47" i="1" s="1"/>
  <c r="A12" i="11"/>
  <c r="A20" i="10"/>
  <c r="A22" i="10" s="1"/>
  <c r="BN41" i="1" l="1"/>
  <c r="BN46" i="1" s="1"/>
  <c r="AV46" i="1"/>
  <c r="AV47" i="1" s="1"/>
  <c r="BI41" i="1"/>
  <c r="A12" i="12"/>
  <c r="A20" i="11"/>
  <c r="BL41" i="1" l="1"/>
  <c r="BL46" i="1" s="1"/>
  <c r="BI46" i="1"/>
  <c r="BJ41" i="1" s="1"/>
  <c r="A12" i="13"/>
  <c r="A20" i="13" s="1"/>
  <c r="A20" i="12"/>
  <c r="BJ37" i="1" l="1"/>
  <c r="BJ27" i="1"/>
  <c r="BJ32" i="1"/>
  <c r="BJ34" i="1"/>
  <c r="BJ36" i="1"/>
  <c r="BJ24" i="1"/>
  <c r="BJ22" i="1"/>
  <c r="BJ43" i="1"/>
  <c r="BJ33" i="1"/>
  <c r="BJ26" i="1"/>
  <c r="BJ25" i="1"/>
  <c r="BJ45" i="1"/>
  <c r="BJ44" i="1"/>
  <c r="BJ31" i="1"/>
  <c r="BJ21" i="1"/>
  <c r="BJ35" i="1"/>
  <c r="BJ30" i="1"/>
  <c r="BJ40" i="1"/>
  <c r="BJ42" i="1"/>
  <c r="BJ39" i="1"/>
  <c r="BJ23" i="1"/>
  <c r="BJ20" i="1"/>
  <c r="BJ38" i="1"/>
  <c r="BJ28" i="1"/>
  <c r="BJ29" i="1"/>
  <c r="BK31" i="1" l="1"/>
  <c r="BK38" i="1"/>
  <c r="BK36" i="1"/>
  <c r="BK21" i="1"/>
  <c r="BK34" i="1"/>
  <c r="BK22" i="1"/>
  <c r="BK32" i="1"/>
  <c r="BK24" i="1"/>
  <c r="BK44" i="1"/>
  <c r="BK45" i="1"/>
  <c r="BK40" i="1"/>
  <c r="BK27" i="1"/>
  <c r="BK37" i="1"/>
  <c r="BK20" i="1"/>
  <c r="BK23" i="1"/>
  <c r="BK39" i="1"/>
  <c r="BK42" i="1"/>
  <c r="BK25" i="1"/>
  <c r="BK26" i="1"/>
  <c r="BK29" i="1"/>
  <c r="BK30" i="1"/>
  <c r="BK33" i="1"/>
  <c r="BK28" i="1"/>
  <c r="BK35" i="1"/>
  <c r="BK43" i="1"/>
  <c r="BK41" i="1"/>
</calcChain>
</file>

<file path=xl/sharedStrings.xml><?xml version="1.0" encoding="utf-8"?>
<sst xmlns="http://schemas.openxmlformats.org/spreadsheetml/2006/main" count="5457" uniqueCount="787">
  <si>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</si>
  <si>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</si>
  <si>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</si>
  <si>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</si>
  <si>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</si>
  <si>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</si>
  <si>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</si>
  <si>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</si>
  <si>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</si>
  <si>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</si>
  <si>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</si>
  <si>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</si>
  <si>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</si>
  <si>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</si>
  <si>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</si>
  <si>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</si>
  <si>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</si>
  <si>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</si>
  <si>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</si>
  <si>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</si>
  <si>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</si>
  <si>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</si>
  <si>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</si>
  <si>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</si>
  <si>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</si>
  <si>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</si>
  <si>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</si>
  <si>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</si>
  <si>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</si>
  <si>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</si>
  <si>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</si>
  <si>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</si>
  <si>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</si>
  <si>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</si>
  <si>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</si>
  <si>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</si>
  <si>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</si>
  <si>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</si>
  <si>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</si>
  <si>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</si>
  <si>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</si>
  <si>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</si>
  <si>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</si>
  <si>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</si>
  <si>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</si>
  <si>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</si>
  <si>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</si>
  <si>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</si>
  <si>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</si>
  <si>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</si>
  <si>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</si>
  <si>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</si>
  <si>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</si>
  <si>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</si>
  <si>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</si>
  <si>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</si>
  <si>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</si>
  <si>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</si>
  <si>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</si>
  <si>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</si>
  <si>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</si>
  <si>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</si>
  <si>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</si>
  <si>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</si>
  <si>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</si>
  <si>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</si>
  <si>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</si>
  <si>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</si>
  <si>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</si>
  <si>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</si>
  <si>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</si>
  <si>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</si>
  <si>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</si>
  <si>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</si>
  <si>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</si>
  <si>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</si>
  <si>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</si>
  <si>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</si>
  <si>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</si>
  <si>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</si>
  <si>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</si>
  <si>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</si>
  <si>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</si>
  <si>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</si>
  <si>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</si>
  <si>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</si>
  <si>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</si>
  <si>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</si>
  <si>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</si>
  <si>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</si>
  <si>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</si>
  <si>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</si>
  <si>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</si>
  <si>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</si>
  <si>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</si>
  <si>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</si>
  <si>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</si>
  <si>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</si>
  <si>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</si>
  <si>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</si>
  <si>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</si>
  <si>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</si>
  <si>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</si>
  <si>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</si>
  <si>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</si>
  <si>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</si>
  <si>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</si>
  <si>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</si>
  <si>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</si>
  <si>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</si>
  <si>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</si>
  <si>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</si>
  <si>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</si>
  <si>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</si>
  <si>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</si>
  <si>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</si>
  <si>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</si>
  <si>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</si>
  <si>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</si>
  <si>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</si>
  <si>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</si>
  <si>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</si>
  <si>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</si>
  <si>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</si>
  <si>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</si>
  <si>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</si>
  <si>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</si>
  <si>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</si>
  <si>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</si>
  <si>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</si>
  <si>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</si>
  <si>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</si>
  <si>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</si>
  <si>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</si>
  <si>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</si>
  <si>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</si>
  <si>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</si>
  <si>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</si>
  <si>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</si>
  <si>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</si>
  <si>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</si>
  <si>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</si>
  <si>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</si>
  <si>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</si>
  <si>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</si>
  <si>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</si>
  <si>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</si>
  <si>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</si>
  <si>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</si>
  <si>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</si>
  <si>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</si>
  <si>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</si>
  <si>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</si>
  <si>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</si>
  <si>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</si>
  <si>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</si>
  <si>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</si>
  <si>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</si>
  <si>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</si>
  <si>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</si>
  <si>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</si>
  <si>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</si>
  <si>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</si>
  <si>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</si>
  <si>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</si>
  <si>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</si>
  <si>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</si>
  <si>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</si>
  <si>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</si>
  <si>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</si>
  <si>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</si>
  <si>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</si>
  <si>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</si>
  <si>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</si>
  <si>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</si>
  <si>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</si>
  <si>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</si>
  <si>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</si>
  <si>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</si>
  <si>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</si>
  <si>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</si>
  <si>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</si>
  <si>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</si>
  <si>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</si>
  <si>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</si>
  <si>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</si>
  <si>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</si>
  <si>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</si>
  <si>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</si>
  <si>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</si>
  <si>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</si>
  <si>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</si>
  <si>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</si>
  <si>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</si>
  <si>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</si>
  <si>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</si>
  <si>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</si>
  <si>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</si>
  <si>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</si>
  <si>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</si>
  <si>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</si>
  <si>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</si>
  <si>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</si>
  <si>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</si>
  <si>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</si>
  <si>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</si>
  <si>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</si>
  <si>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</si>
  <si>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</si>
  <si>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</si>
  <si>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</si>
  <si>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</si>
  <si>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</si>
  <si>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</si>
  <si>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</si>
  <si>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</si>
  <si>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</si>
  <si>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</si>
  <si>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</si>
  <si>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</si>
  <si>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</si>
  <si>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</si>
  <si>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</si>
  <si>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</si>
  <si>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</si>
  <si>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</si>
  <si>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</si>
  <si>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</si>
  <si>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</si>
  <si>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</si>
  <si>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</si>
  <si>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</si>
  <si>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</si>
  <si>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</si>
  <si>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</si>
  <si>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</si>
  <si>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</si>
  <si>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</si>
  <si>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</si>
  <si>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</si>
  <si>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</si>
  <si>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</si>
  <si>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</si>
  <si>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</si>
  <si>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</si>
  <si>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</si>
  <si>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</si>
  <si>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</si>
  <si>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</si>
  <si>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</si>
  <si>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</si>
  <si>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</si>
  <si>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</si>
  <si>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</si>
  <si>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</si>
  <si>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</si>
  <si>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</si>
  <si>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</si>
  <si>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</si>
  <si>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</si>
  <si>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</si>
  <si>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</si>
  <si>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</si>
  <si>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</si>
  <si>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</si>
  <si>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</si>
  <si>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</si>
  <si>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</si>
  <si>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</si>
  <si>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</si>
  <si>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</si>
  <si>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</si>
  <si>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</si>
  <si>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</si>
  <si>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</si>
  <si>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</si>
  <si>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</si>
  <si>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</si>
  <si>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</si>
  <si>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</si>
  <si>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</si>
  <si>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</si>
  <si>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</si>
  <si>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</si>
  <si>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</si>
  <si>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</si>
  <si>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</si>
  <si>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</si>
  <si>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</si>
  <si>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</si>
  <si>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</si>
  <si>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</si>
  <si>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</si>
  <si>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</si>
  <si>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</si>
  <si>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</si>
  <si>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</si>
  <si>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</si>
  <si>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</si>
  <si>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</si>
  <si>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</si>
  <si>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</si>
  <si>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</si>
  <si>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</si>
  <si>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</si>
  <si>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</si>
  <si>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</si>
  <si>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</si>
  <si>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</si>
  <si>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</si>
  <si>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</si>
  <si>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</si>
  <si>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</si>
  <si>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</si>
  <si>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</si>
  <si>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</si>
  <si>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</si>
  <si>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</si>
  <si>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</si>
  <si>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</si>
  <si>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</si>
  <si>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</si>
  <si>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</si>
  <si>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</si>
  <si>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</si>
  <si>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</si>
  <si>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</si>
  <si>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</si>
  <si>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</si>
  <si>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</si>
  <si>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</si>
  <si>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</si>
  <si>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</si>
  <si>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</si>
  <si>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</si>
  <si>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</si>
  <si>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</si>
  <si>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</si>
  <si>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</si>
  <si>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</si>
  <si>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</si>
  <si>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</si>
  <si>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</si>
  <si>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</si>
  <si>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</si>
  <si>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</si>
  <si>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</si>
  <si>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</si>
  <si>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</si>
  <si>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</si>
  <si>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</si>
  <si>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</si>
  <si>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</si>
  <si>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</si>
  <si>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</si>
  <si>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</si>
  <si>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</si>
  <si>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</si>
  <si>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</si>
  <si>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</si>
  <si>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</si>
  <si>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</si>
  <si>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</si>
  <si>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</si>
  <si>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</si>
  <si>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</si>
  <si>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</si>
  <si>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</si>
  <si>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</si>
  <si>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</si>
  <si>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</si>
  <si>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</si>
  <si>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</si>
  <si>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</si>
  <si>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</si>
  <si>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</si>
  <si>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</si>
  <si>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</si>
  <si>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</si>
  <si>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</si>
  <si>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</si>
  <si>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</si>
  <si>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</si>
  <si>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</si>
  <si>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</si>
  <si>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</si>
  <si>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</si>
  <si>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</si>
  <si>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</si>
  <si>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</si>
  <si>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</si>
  <si>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</si>
  <si>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</si>
  <si>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</si>
  <si>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</si>
  <si>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</si>
  <si>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</si>
  <si>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</si>
  <si>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</si>
  <si>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</si>
  <si>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</si>
  <si>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</si>
  <si>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</si>
  <si>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</si>
  <si>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</si>
  <si>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</si>
  <si>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</si>
  <si>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</si>
  <si>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</si>
  <si>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</si>
  <si>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</si>
  <si>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</si>
  <si>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</si>
  <si>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</si>
  <si>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</si>
  <si>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</si>
  <si>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</si>
  <si>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</si>
  <si>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</si>
  <si>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</si>
  <si>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</si>
  <si>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</si>
  <si>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</si>
  <si>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</si>
  <si>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</si>
  <si>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</si>
  <si>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</si>
  <si>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</si>
  <si>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</si>
  <si>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</si>
  <si>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</si>
  <si>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</si>
  <si>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</si>
  <si>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</si>
  <si>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</si>
  <si>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</si>
  <si>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</si>
  <si>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</si>
  <si>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</si>
  <si>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</si>
  <si>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</si>
  <si>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</si>
  <si>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</si>
  <si>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</si>
  <si>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</si>
  <si>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</si>
  <si>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</si>
  <si>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</si>
  <si>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</si>
  <si>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</si>
  <si>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</si>
  <si>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</si>
  <si>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</si>
  <si>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</si>
  <si>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</si>
  <si>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</si>
  <si>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</si>
  <si>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</si>
  <si>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</si>
  <si>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</si>
  <si>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</si>
  <si>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</si>
  <si>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</si>
  <si>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</si>
  <si>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</si>
  <si>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</si>
  <si>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</si>
  <si>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</si>
  <si>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</si>
  <si>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</si>
  <si>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</si>
  <si>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</si>
  <si>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</si>
  <si>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</si>
  <si>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</si>
  <si>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</si>
  <si>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</si>
  <si>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</si>
  <si>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</si>
  <si>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</si>
  <si>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</si>
  <si>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</si>
  <si>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</si>
  <si>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</si>
  <si>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</si>
  <si>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</si>
  <si>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</si>
  <si>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</si>
  <si>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</si>
  <si>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</si>
  <si>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</si>
  <si>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</si>
  <si>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</si>
  <si>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</si>
  <si>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</si>
  <si>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</si>
  <si>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</si>
  <si>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</si>
  <si>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</si>
  <si>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</si>
  <si>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</si>
  <si>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</si>
  <si>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</si>
  <si>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</si>
  <si>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</si>
  <si>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</si>
  <si>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</si>
  <si>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</si>
  <si>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</si>
  <si>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</si>
  <si>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</si>
  <si>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</si>
  <si>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</si>
  <si>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</si>
  <si>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</si>
  <si>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</si>
  <si>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</si>
  <si>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</si>
  <si>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</si>
  <si>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</si>
  <si>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</si>
  <si>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</si>
  <si>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</si>
  <si>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</si>
  <si>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</si>
  <si>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</si>
  <si>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</si>
  <si>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</si>
  <si>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</si>
  <si>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</si>
  <si>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</si>
  <si>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</si>
  <si>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</si>
  <si>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</si>
  <si>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</si>
  <si>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</si>
  <si>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</si>
  <si>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</si>
  <si>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</si>
  <si>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</si>
  <si>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</si>
  <si>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</si>
  <si>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</si>
  <si>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</si>
  <si>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</si>
  <si>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</si>
  <si>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</si>
  <si>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</si>
  <si>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</si>
  <si>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</si>
  <si>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</si>
  <si>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</si>
  <si>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</si>
  <si>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</si>
  <si>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</si>
  <si>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</si>
  <si>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</si>
  <si>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</si>
  <si>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</si>
  <si>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</si>
  <si>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</si>
  <si>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</si>
  <si>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</si>
  <si>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</si>
  <si>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</si>
  <si>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</si>
  <si>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</si>
  <si>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</si>
  <si>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</si>
  <si>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</si>
  <si>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</si>
  <si>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</si>
  <si>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</si>
  <si>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</si>
  <si>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</si>
  <si>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</si>
  <si>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</si>
  <si>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</si>
  <si>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</si>
  <si>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</si>
  <si>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</si>
  <si>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</si>
  <si>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</si>
  <si>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</si>
  <si>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</si>
  <si>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</si>
  <si>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</si>
  <si>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</si>
  <si>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</si>
  <si>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</si>
  <si>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</si>
  <si>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</si>
  <si>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</si>
  <si>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</si>
  <si>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</si>
  <si>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</si>
  <si>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</si>
  <si>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</si>
  <si>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</si>
  <si>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</si>
  <si>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</si>
  <si>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</si>
  <si>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</si>
  <si>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</si>
  <si>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</si>
  <si>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</si>
  <si>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</si>
  <si>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</si>
  <si>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</si>
  <si>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</si>
  <si>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</si>
  <si>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</si>
  <si>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</si>
  <si>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</si>
  <si>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</si>
  <si>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</si>
  <si>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</si>
  <si>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</si>
  <si>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</si>
  <si>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</si>
  <si>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</si>
  <si>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</si>
  <si>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</si>
  <si>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</si>
  <si>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</si>
  <si>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</si>
  <si>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</si>
  <si>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</si>
  <si>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</si>
  <si>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</si>
  <si>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</si>
  <si>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</si>
  <si>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</si>
  <si>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</si>
  <si>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</si>
  <si>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</si>
  <si>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</si>
  <si>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</si>
  <si>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</si>
  <si>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</si>
  <si>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</si>
  <si>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</si>
  <si>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</si>
  <si>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</si>
  <si>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</si>
  <si>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</si>
  <si>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</si>
  <si>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</si>
  <si>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</si>
  <si>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</si>
  <si>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</si>
  <si>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</si>
  <si>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</si>
  <si>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</si>
  <si>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</si>
  <si>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</si>
  <si>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</si>
  <si>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</si>
  <si>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</si>
  <si>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</si>
  <si>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</si>
  <si>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</si>
  <si>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</si>
  <si>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</si>
  <si>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</si>
  <si>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</si>
  <si>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</si>
  <si>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</si>
  <si>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</si>
  <si>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</si>
  <si>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</si>
  <si>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</si>
  <si>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</si>
  <si>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</si>
  <si>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</si>
  <si>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</si>
  <si>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</si>
  <si>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</si>
  <si>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</si>
  <si>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</si>
  <si>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</si>
  <si>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</si>
  <si>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</si>
  <si>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</si>
  <si>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</si>
  <si>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</si>
  <si>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</si>
  <si>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</si>
  <si>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</si>
  <si>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</si>
  <si>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</si>
  <si>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</si>
  <si>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</si>
  <si>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</si>
  <si>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</si>
  <si>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</si>
  <si>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</si>
  <si>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</si>
  <si>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</si>
  <si>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</si>
  <si>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</si>
  <si>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</si>
  <si>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</si>
  <si>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</si>
  <si>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</si>
  <si>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</si>
  <si>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</si>
  <si>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</si>
  <si>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</si>
  <si>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</si>
  <si>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</si>
  <si>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</si>
  <si>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</si>
  <si>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</si>
  <si>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</si>
  <si>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</si>
  <si>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</si>
  <si>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</si>
  <si>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</si>
  <si>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</si>
  <si>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</si>
  <si>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</si>
  <si>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</si>
  <si>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</si>
  <si>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</si>
  <si>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</si>
  <si>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</si>
  <si>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</si>
  <si>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</si>
  <si>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</si>
  <si>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</si>
  <si>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</si>
  <si>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</si>
  <si>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</si>
  <si>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</si>
  <si>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</si>
  <si>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</si>
  <si>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</si>
  <si>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</si>
  <si>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</si>
  <si>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</si>
  <si>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</si>
  <si>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</si>
  <si>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</si>
  <si>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</si>
  <si>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</si>
  <si>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</si>
  <si>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</si>
  <si>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</si>
  <si>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</si>
  <si>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</si>
  <si>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</si>
  <si>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</si>
  <si>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</si>
  <si>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</si>
  <si>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</si>
  <si>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</si>
  <si>
    <t>30/11 Action</t>
  </si>
  <si>
    <t>30/11 Amazon Deshumificador</t>
  </si>
  <si>
    <t>118.28 € a deber</t>
  </si>
  <si>
    <t>Brussels</t>
  </si>
  <si>
    <t>Cine</t>
  </si>
  <si>
    <t>Brussels Papa</t>
  </si>
  <si>
    <t>Alter Nos</t>
  </si>
  <si>
    <t>Cartama</t>
  </si>
  <si>
    <t>Vacaciones 19,20,21,27,28</t>
  </si>
  <si>
    <t>Horas Vacaciones= 35</t>
  </si>
  <si>
    <t>Restantes = 0</t>
  </si>
  <si>
    <t>Subida Noviembre</t>
  </si>
  <si>
    <t>09/12 Rocio</t>
  </si>
  <si>
    <t>08/12 Braine</t>
  </si>
  <si>
    <t>07/12 Tren</t>
  </si>
  <si>
    <t>05/12 Esso</t>
  </si>
  <si>
    <t>10/12 Lentillas</t>
  </si>
  <si>
    <t>01/12 Aldi</t>
  </si>
  <si>
    <t>01/12 Sequoia</t>
  </si>
  <si>
    <t>01/12 Delhaize</t>
  </si>
  <si>
    <t>06/12 Carrefour</t>
  </si>
  <si>
    <t>06/12 Lidl</t>
  </si>
  <si>
    <t>04/12 Erasme</t>
  </si>
  <si>
    <t>Brussels Airlines Papa</t>
  </si>
  <si>
    <t>10/12 Ellis</t>
  </si>
  <si>
    <t>10/12 Neuhaus</t>
  </si>
  <si>
    <t>10/12 Pimkie</t>
  </si>
  <si>
    <t>13/12 Hema</t>
  </si>
  <si>
    <t>13/12 Colruyt</t>
  </si>
  <si>
    <t>13/12 Tom&amp;Co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</si>
</sst>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1" fillId="0" borderId="22" xfId="0" applyNumberFormat="1" applyFont="1" applyFill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abSelected="1" topLeftCell="A13" zoomScaleNormal="100" workbookViewId="0">
      <pane xSplit="1" topLeftCell="AO1" activePane="topRight" state="frozen"/>
      <selection pane="topRight" activeCell="AX25" sqref="AX25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6" t="s">
        <v>0</v>
      </c>
      <c r="D4" s="277"/>
      <c r="E4" s="277"/>
      <c r="F4" s="278"/>
      <c r="G4" s="276" t="s">
        <v>1</v>
      </c>
      <c r="H4" s="277"/>
      <c r="I4" s="277"/>
      <c r="J4" s="278"/>
      <c r="K4" s="276" t="s">
        <v>2</v>
      </c>
      <c r="L4" s="277"/>
      <c r="M4" s="277"/>
      <c r="N4" s="278"/>
      <c r="O4" s="276" t="s">
        <v>3</v>
      </c>
      <c r="P4" s="277"/>
      <c r="Q4" s="277"/>
      <c r="R4" s="278"/>
      <c r="S4" s="276" t="s">
        <v>99</v>
      </c>
      <c r="T4" s="277"/>
      <c r="U4" s="277"/>
      <c r="V4" s="278"/>
      <c r="W4" s="276" t="s">
        <v>95</v>
      </c>
      <c r="X4" s="277"/>
      <c r="Y4" s="277"/>
      <c r="Z4" s="278"/>
      <c r="AA4" s="276" t="s">
        <v>103</v>
      </c>
      <c r="AB4" s="277"/>
      <c r="AC4" s="277"/>
      <c r="AD4" s="278"/>
      <c r="AE4" s="276" t="s">
        <v>104</v>
      </c>
      <c r="AF4" s="277"/>
      <c r="AG4" s="277"/>
      <c r="AH4" s="278"/>
      <c r="AI4" s="276" t="s">
        <v>107</v>
      </c>
      <c r="AJ4" s="277"/>
      <c r="AK4" s="277"/>
      <c r="AL4" s="278"/>
      <c r="AM4" s="276" t="s">
        <v>109</v>
      </c>
      <c r="AN4" s="277"/>
      <c r="AO4" s="277"/>
      <c r="AP4" s="278"/>
      <c r="AQ4" s="276" t="s">
        <v>113</v>
      </c>
      <c r="AR4" s="277"/>
      <c r="AS4" s="277"/>
      <c r="AT4" s="278"/>
      <c r="AU4" s="276" t="s">
        <v>118</v>
      </c>
      <c r="AV4" s="277"/>
      <c r="AW4" s="277"/>
      <c r="AX4" s="278"/>
      <c r="AY4" s="1"/>
      <c r="AZ4" s="1"/>
      <c r="BA4" s="1"/>
      <c r="BB4" s="1"/>
    </row>
    <row r="5" spans="1:56" ht="16.5" thickBot="1">
      <c r="A5" s="6" t="s">
        <v>5</v>
      </c>
      <c r="B5" s="65"/>
      <c r="C5" s="288">
        <f>'01'!K19</f>
        <v>17336.68</v>
      </c>
      <c r="D5" s="286"/>
      <c r="E5" s="286"/>
      <c r="F5" s="287"/>
      <c r="G5" s="288">
        <f>'02'!K19</f>
        <v>20217</v>
      </c>
      <c r="H5" s="286"/>
      <c r="I5" s="286"/>
      <c r="J5" s="287"/>
      <c r="K5" s="285">
        <f>'03'!K19</f>
        <v>21214.57</v>
      </c>
      <c r="L5" s="286"/>
      <c r="M5" s="286"/>
      <c r="N5" s="287"/>
      <c r="O5" s="285">
        <f>'04'!K19</f>
        <v>20719.909999999996</v>
      </c>
      <c r="P5" s="286"/>
      <c r="Q5" s="286"/>
      <c r="R5" s="287"/>
      <c r="S5" s="285">
        <f>'05'!K19</f>
        <v>22905.86</v>
      </c>
      <c r="T5" s="286"/>
      <c r="U5" s="286"/>
      <c r="V5" s="287"/>
      <c r="W5" s="285">
        <f>'06'!K19</f>
        <v>23622.14</v>
      </c>
      <c r="X5" s="286"/>
      <c r="Y5" s="286"/>
      <c r="Z5" s="287"/>
      <c r="AA5" s="285">
        <f>'07'!K19</f>
        <v>24911.559999999998</v>
      </c>
      <c r="AB5" s="286"/>
      <c r="AC5" s="286"/>
      <c r="AD5" s="287"/>
      <c r="AE5" s="285">
        <f>'08'!K19</f>
        <v>24488.75</v>
      </c>
      <c r="AF5" s="286"/>
      <c r="AG5" s="286"/>
      <c r="AH5" s="287"/>
      <c r="AI5" s="285">
        <f>'09'!K19</f>
        <v>24613.260000000002</v>
      </c>
      <c r="AJ5" s="286"/>
      <c r="AK5" s="286"/>
      <c r="AL5" s="287"/>
      <c r="AM5" s="285">
        <f>'10'!K19</f>
        <v>23755.86</v>
      </c>
      <c r="AN5" s="286"/>
      <c r="AO5" s="286"/>
      <c r="AP5" s="287"/>
      <c r="AQ5" s="285">
        <f>'11'!K19</f>
        <v>23313.940000000002</v>
      </c>
      <c r="AR5" s="286"/>
      <c r="AS5" s="286"/>
      <c r="AT5" s="287"/>
      <c r="AU5" s="285">
        <f>'12'!K19</f>
        <v>22909.4</v>
      </c>
      <c r="AV5" s="286"/>
      <c r="AW5" s="286"/>
      <c r="AX5" s="287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9" t="s">
        <v>7</v>
      </c>
      <c r="D7" s="280"/>
      <c r="E7" s="280"/>
      <c r="F7" s="281"/>
      <c r="G7" s="279" t="s">
        <v>7</v>
      </c>
      <c r="H7" s="280"/>
      <c r="I7" s="280"/>
      <c r="J7" s="281"/>
      <c r="K7" s="279" t="s">
        <v>7</v>
      </c>
      <c r="L7" s="280"/>
      <c r="M7" s="280"/>
      <c r="N7" s="281"/>
      <c r="O7" s="279" t="s">
        <v>7</v>
      </c>
      <c r="P7" s="280"/>
      <c r="Q7" s="280"/>
      <c r="R7" s="281"/>
      <c r="S7" s="279" t="s">
        <v>7</v>
      </c>
      <c r="T7" s="280"/>
      <c r="U7" s="280"/>
      <c r="V7" s="281"/>
      <c r="W7" s="279" t="s">
        <v>7</v>
      </c>
      <c r="X7" s="280"/>
      <c r="Y7" s="280"/>
      <c r="Z7" s="281"/>
      <c r="AA7" s="279" t="s">
        <v>7</v>
      </c>
      <c r="AB7" s="280"/>
      <c r="AC7" s="280"/>
      <c r="AD7" s="281"/>
      <c r="AE7" s="279" t="s">
        <v>7</v>
      </c>
      <c r="AF7" s="280"/>
      <c r="AG7" s="280"/>
      <c r="AH7" s="281"/>
      <c r="AI7" s="279" t="s">
        <v>7</v>
      </c>
      <c r="AJ7" s="280"/>
      <c r="AK7" s="280"/>
      <c r="AL7" s="281"/>
      <c r="AM7" s="279" t="s">
        <v>7</v>
      </c>
      <c r="AN7" s="280"/>
      <c r="AO7" s="280"/>
      <c r="AP7" s="281"/>
      <c r="AQ7" s="279" t="s">
        <v>7</v>
      </c>
      <c r="AR7" s="280"/>
      <c r="AS7" s="280"/>
      <c r="AT7" s="281"/>
      <c r="AU7" s="279" t="s">
        <v>7</v>
      </c>
      <c r="AV7" s="280"/>
      <c r="AW7" s="280"/>
      <c r="AX7" s="281"/>
      <c r="AY7" s="10" t="s">
        <v>8</v>
      </c>
      <c r="AZ7" s="25" t="s">
        <v>618</v>
      </c>
      <c r="BA7" s="1"/>
      <c r="BB7" s="1"/>
    </row>
    <row r="8" spans="1:56" ht="15.75">
      <c r="A8" s="11" t="s">
        <v>124</v>
      </c>
      <c r="B8" s="199">
        <v>28683.489999999998</v>
      </c>
      <c r="C8" s="282">
        <v>2317.46</v>
      </c>
      <c r="D8" s="283"/>
      <c r="E8" s="283"/>
      <c r="F8" s="284"/>
      <c r="G8" s="282">
        <f>2317.46+1638.24</f>
        <v>3955.7</v>
      </c>
      <c r="H8" s="283"/>
      <c r="I8" s="283"/>
      <c r="J8" s="284"/>
      <c r="K8" s="282">
        <v>2320.84</v>
      </c>
      <c r="L8" s="283"/>
      <c r="M8" s="283"/>
      <c r="N8" s="284"/>
      <c r="O8" s="282">
        <v>2325.9</v>
      </c>
      <c r="P8" s="283"/>
      <c r="Q8" s="283"/>
      <c r="R8" s="284"/>
      <c r="S8" s="282">
        <v>2321.1799999999998</v>
      </c>
      <c r="T8" s="283"/>
      <c r="U8" s="283"/>
      <c r="V8" s="284"/>
      <c r="W8" s="282">
        <v>3973.79</v>
      </c>
      <c r="X8" s="283"/>
      <c r="Y8" s="283"/>
      <c r="Z8" s="284"/>
      <c r="AA8" s="282">
        <v>2328.91</v>
      </c>
      <c r="AB8" s="283"/>
      <c r="AC8" s="283"/>
      <c r="AD8" s="284"/>
      <c r="AE8" s="282">
        <v>2318.6999999999998</v>
      </c>
      <c r="AF8" s="283"/>
      <c r="AG8" s="283"/>
      <c r="AH8" s="284"/>
      <c r="AI8" s="282">
        <v>2328.61</v>
      </c>
      <c r="AJ8" s="283"/>
      <c r="AK8" s="283"/>
      <c r="AL8" s="284"/>
      <c r="AM8" s="282">
        <v>2328.61</v>
      </c>
      <c r="AN8" s="283"/>
      <c r="AO8" s="283"/>
      <c r="AP8" s="284"/>
      <c r="AQ8" s="282">
        <v>2326.02</v>
      </c>
      <c r="AR8" s="283"/>
      <c r="AS8" s="283"/>
      <c r="AT8" s="284"/>
      <c r="AU8" s="282">
        <f>'12'!K26</f>
        <v>186.99</v>
      </c>
      <c r="AV8" s="283"/>
      <c r="AW8" s="283"/>
      <c r="AX8" s="284"/>
      <c r="AY8" s="12">
        <f>SUM(C8:AU8)</f>
        <v>29032.710000000003</v>
      </c>
      <c r="AZ8" s="163">
        <f t="shared" ref="AZ8:AZ16" ca="1" si="0">AY8/BB$17</f>
        <v>2419.3925000000004</v>
      </c>
      <c r="BA8" s="1"/>
      <c r="BB8" s="1"/>
    </row>
    <row r="9" spans="1:56" ht="15.75">
      <c r="A9" s="13" t="s">
        <v>125</v>
      </c>
      <c r="B9" s="200">
        <v>4981.99</v>
      </c>
      <c r="C9" s="269">
        <f>72.66+314.12</f>
        <v>386.78</v>
      </c>
      <c r="D9" s="270"/>
      <c r="E9" s="270"/>
      <c r="F9" s="271"/>
      <c r="G9" s="269">
        <f>176.46</f>
        <v>176.46</v>
      </c>
      <c r="H9" s="270"/>
      <c r="I9" s="270"/>
      <c r="J9" s="271"/>
      <c r="K9" s="269">
        <f>259.63+176.46</f>
        <v>436.09000000000003</v>
      </c>
      <c r="L9" s="270"/>
      <c r="M9" s="270"/>
      <c r="N9" s="271"/>
      <c r="O9" s="269">
        <f>249.22+197.22+325.64</f>
        <v>772.07999999999993</v>
      </c>
      <c r="P9" s="270"/>
      <c r="Q9" s="270"/>
      <c r="R9" s="271"/>
      <c r="S9" s="269">
        <f>155.7+267.29</f>
        <v>422.99</v>
      </c>
      <c r="T9" s="270"/>
      <c r="U9" s="270"/>
      <c r="V9" s="271"/>
      <c r="W9" s="269">
        <f>197.22</f>
        <v>197.22</v>
      </c>
      <c r="X9" s="270"/>
      <c r="Y9" s="270"/>
      <c r="Z9" s="271"/>
      <c r="AA9" s="269">
        <f>786.42+134.94+83.04</f>
        <v>1004.3999999999999</v>
      </c>
      <c r="AB9" s="270"/>
      <c r="AC9" s="270"/>
      <c r="AD9" s="271"/>
      <c r="AE9" s="269">
        <f>269.88</f>
        <v>269.88</v>
      </c>
      <c r="AF9" s="270"/>
      <c r="AG9" s="270"/>
      <c r="AH9" s="271"/>
      <c r="AI9" s="269">
        <v>280.26</v>
      </c>
      <c r="AJ9" s="270"/>
      <c r="AK9" s="270"/>
      <c r="AL9" s="271"/>
      <c r="AM9" s="269">
        <f>'10'!K25+'10'!K28+'10'!K29</f>
        <v>534.53</v>
      </c>
      <c r="AN9" s="270"/>
      <c r="AO9" s="270"/>
      <c r="AP9" s="271"/>
      <c r="AQ9" s="269">
        <f>'11'!K26+'11'!K27+'11'!K28+'11'!K30</f>
        <v>887.38</v>
      </c>
      <c r="AR9" s="270"/>
      <c r="AS9" s="270"/>
      <c r="AT9" s="271"/>
      <c r="AU9" s="269">
        <f>'12'!K25+'12'!K28</f>
        <v>397.67</v>
      </c>
      <c r="AV9" s="270"/>
      <c r="AW9" s="270"/>
      <c r="AX9" s="271"/>
      <c r="AY9" s="14">
        <f t="shared" ref="AY9:AY15" si="1">SUM(C9:AX9)</f>
        <v>5765.74</v>
      </c>
      <c r="AZ9" s="163">
        <f t="shared" ca="1" si="0"/>
        <v>480.4783333333333</v>
      </c>
      <c r="BA9" s="1"/>
      <c r="BB9" s="1"/>
    </row>
    <row r="10" spans="1:56" ht="15.75">
      <c r="A10" s="15" t="s">
        <v>126</v>
      </c>
      <c r="B10" s="201">
        <v>723.38</v>
      </c>
      <c r="C10" s="272">
        <v>90.43</v>
      </c>
      <c r="D10" s="273"/>
      <c r="E10" s="273"/>
      <c r="F10" s="274"/>
      <c r="G10" s="272">
        <f>1117.39-956.06</f>
        <v>161.33000000000015</v>
      </c>
      <c r="H10" s="273"/>
      <c r="I10" s="273"/>
      <c r="J10" s="274"/>
      <c r="K10" s="272">
        <v>285.58</v>
      </c>
      <c r="L10" s="273"/>
      <c r="M10" s="273"/>
      <c r="N10" s="274"/>
      <c r="O10" s="272">
        <f>275.29+42.8</f>
        <v>318.09000000000003</v>
      </c>
      <c r="P10" s="273"/>
      <c r="Q10" s="273"/>
      <c r="R10" s="274"/>
      <c r="S10" s="272">
        <f>421.56</f>
        <v>421.56</v>
      </c>
      <c r="T10" s="273"/>
      <c r="U10" s="273"/>
      <c r="V10" s="274"/>
      <c r="W10" s="272">
        <v>341.74</v>
      </c>
      <c r="X10" s="273"/>
      <c r="Y10" s="273"/>
      <c r="Z10" s="274"/>
      <c r="AA10" s="272">
        <v>234.71</v>
      </c>
      <c r="AB10" s="273"/>
      <c r="AC10" s="273"/>
      <c r="AD10" s="274"/>
      <c r="AE10" s="272">
        <v>83.23</v>
      </c>
      <c r="AF10" s="273"/>
      <c r="AG10" s="273"/>
      <c r="AH10" s="274"/>
      <c r="AI10" s="272">
        <f>300+99.65</f>
        <v>399.65</v>
      </c>
      <c r="AJ10" s="273"/>
      <c r="AK10" s="273"/>
      <c r="AL10" s="274"/>
      <c r="AM10" s="272">
        <v>246.4</v>
      </c>
      <c r="AN10" s="273"/>
      <c r="AO10" s="273"/>
      <c r="AP10" s="274"/>
      <c r="AQ10" s="272">
        <v>58.49</v>
      </c>
      <c r="AR10" s="273"/>
      <c r="AS10" s="273"/>
      <c r="AT10" s="274"/>
      <c r="AU10" s="272"/>
      <c r="AV10" s="273"/>
      <c r="AW10" s="273"/>
      <c r="AX10" s="274"/>
      <c r="AY10" s="16">
        <f t="shared" si="1"/>
        <v>2641.21</v>
      </c>
      <c r="AZ10" s="163">
        <f t="shared" ca="1" si="0"/>
        <v>220.10083333333333</v>
      </c>
      <c r="BA10" s="1"/>
      <c r="BB10" s="1"/>
    </row>
    <row r="11" spans="1:56" ht="15.75">
      <c r="A11" s="13" t="s">
        <v>127</v>
      </c>
      <c r="B11" s="200">
        <v>180.64</v>
      </c>
      <c r="C11" s="269">
        <f>1.01+0.04+2831.41+0.05</f>
        <v>2832.51</v>
      </c>
      <c r="D11" s="270"/>
      <c r="E11" s="270"/>
      <c r="F11" s="271"/>
      <c r="G11" s="269"/>
      <c r="H11" s="270"/>
      <c r="I11" s="270"/>
      <c r="J11" s="271"/>
      <c r="K11" s="269"/>
      <c r="L11" s="270"/>
      <c r="M11" s="270"/>
      <c r="N11" s="271"/>
      <c r="O11" s="269">
        <v>0.03</v>
      </c>
      <c r="P11" s="270"/>
      <c r="Q11" s="270"/>
      <c r="R11" s="271"/>
      <c r="S11" s="269">
        <f>38.64</f>
        <v>38.64</v>
      </c>
      <c r="T11" s="270"/>
      <c r="U11" s="270"/>
      <c r="V11" s="271"/>
      <c r="W11" s="269"/>
      <c r="X11" s="270"/>
      <c r="Y11" s="270"/>
      <c r="Z11" s="271"/>
      <c r="AA11" s="269">
        <f>0.02</f>
        <v>0.02</v>
      </c>
      <c r="AB11" s="270"/>
      <c r="AC11" s="270"/>
      <c r="AD11" s="271"/>
      <c r="AE11" s="269"/>
      <c r="AF11" s="270"/>
      <c r="AG11" s="270"/>
      <c r="AH11" s="271"/>
      <c r="AI11" s="269"/>
      <c r="AJ11" s="270"/>
      <c r="AK11" s="270"/>
      <c r="AL11" s="271"/>
      <c r="AM11" s="269">
        <f>'10'!K27</f>
        <v>0.06</v>
      </c>
      <c r="AN11" s="270"/>
      <c r="AO11" s="270"/>
      <c r="AP11" s="271"/>
      <c r="AQ11" s="269">
        <f>'11'!K25</f>
        <v>35.619999999999997</v>
      </c>
      <c r="AR11" s="270"/>
      <c r="AS11" s="270"/>
      <c r="AT11" s="271"/>
      <c r="AU11" s="269"/>
      <c r="AV11" s="270"/>
      <c r="AW11" s="270"/>
      <c r="AX11" s="271"/>
      <c r="AY11" s="14">
        <f t="shared" si="1"/>
        <v>2906.88</v>
      </c>
      <c r="AZ11" s="163">
        <f t="shared" ca="1" si="0"/>
        <v>242.24</v>
      </c>
      <c r="BA11" s="1"/>
      <c r="BB11" s="1"/>
    </row>
    <row r="12" spans="1:56" ht="15.75">
      <c r="A12" s="15" t="s">
        <v>128</v>
      </c>
      <c r="B12" s="201">
        <v>626.6</v>
      </c>
      <c r="C12" s="272">
        <f>700+50+449</f>
        <v>1199</v>
      </c>
      <c r="D12" s="273"/>
      <c r="E12" s="273"/>
      <c r="F12" s="274"/>
      <c r="G12" s="272">
        <v>447.43</v>
      </c>
      <c r="H12" s="273"/>
      <c r="I12" s="273"/>
      <c r="J12" s="274"/>
      <c r="K12" s="272"/>
      <c r="L12" s="273"/>
      <c r="M12" s="273"/>
      <c r="N12" s="274"/>
      <c r="O12" s="272">
        <f>80.1</f>
        <v>80.099999999999994</v>
      </c>
      <c r="P12" s="273"/>
      <c r="Q12" s="273"/>
      <c r="R12" s="274"/>
      <c r="S12" s="272"/>
      <c r="T12" s="273"/>
      <c r="U12" s="273"/>
      <c r="V12" s="274"/>
      <c r="W12" s="272">
        <f>200</f>
        <v>200</v>
      </c>
      <c r="X12" s="273"/>
      <c r="Y12" s="273"/>
      <c r="Z12" s="274"/>
      <c r="AA12" s="272">
        <f>106.3</f>
        <v>106.3</v>
      </c>
      <c r="AB12" s="273"/>
      <c r="AC12" s="273"/>
      <c r="AD12" s="274"/>
      <c r="AE12" s="272"/>
      <c r="AF12" s="273"/>
      <c r="AG12" s="273"/>
      <c r="AH12" s="274"/>
      <c r="AI12" s="272">
        <v>500</v>
      </c>
      <c r="AJ12" s="273"/>
      <c r="AK12" s="273"/>
      <c r="AL12" s="274"/>
      <c r="AM12" s="272"/>
      <c r="AN12" s="273"/>
      <c r="AO12" s="273"/>
      <c r="AP12" s="274"/>
      <c r="AQ12" s="272"/>
      <c r="AR12" s="273"/>
      <c r="AS12" s="273"/>
      <c r="AT12" s="274"/>
      <c r="AU12" s="272">
        <f>'12'!K27</f>
        <v>318.27999999999997</v>
      </c>
      <c r="AV12" s="273"/>
      <c r="AW12" s="273"/>
      <c r="AX12" s="274"/>
      <c r="AY12" s="16">
        <f t="shared" si="1"/>
        <v>2851.1099999999997</v>
      </c>
      <c r="AZ12" s="163">
        <f t="shared" ca="1" si="0"/>
        <v>237.59249999999997</v>
      </c>
      <c r="BA12" s="1"/>
      <c r="BB12" s="1"/>
    </row>
    <row r="13" spans="1:56" ht="15.75">
      <c r="A13" s="13" t="s">
        <v>129</v>
      </c>
      <c r="B13" s="202">
        <v>3448.3199999999993</v>
      </c>
      <c r="C13" s="269">
        <f>93.93</f>
        <v>93.93</v>
      </c>
      <c r="D13" s="270"/>
      <c r="E13" s="270"/>
      <c r="F13" s="271"/>
      <c r="G13" s="269">
        <f>93.93</f>
        <v>93.93</v>
      </c>
      <c r="H13" s="270"/>
      <c r="I13" s="270"/>
      <c r="J13" s="271"/>
      <c r="K13" s="269">
        <f>93.93</f>
        <v>93.93</v>
      </c>
      <c r="L13" s="270"/>
      <c r="M13" s="270"/>
      <c r="N13" s="271"/>
      <c r="O13" s="269">
        <f>93.93+2290.23</f>
        <v>2384.16</v>
      </c>
      <c r="P13" s="270"/>
      <c r="Q13" s="270"/>
      <c r="R13" s="271"/>
      <c r="S13" s="269">
        <f>93.93</f>
        <v>93.93</v>
      </c>
      <c r="T13" s="270"/>
      <c r="U13" s="270"/>
      <c r="V13" s="271"/>
      <c r="W13" s="269">
        <f>93.93</f>
        <v>93.93</v>
      </c>
      <c r="X13" s="270"/>
      <c r="Y13" s="270"/>
      <c r="Z13" s="271"/>
      <c r="AA13" s="269">
        <f>93.93</f>
        <v>93.93</v>
      </c>
      <c r="AB13" s="270"/>
      <c r="AC13" s="270"/>
      <c r="AD13" s="271"/>
      <c r="AE13" s="269">
        <v>114.74</v>
      </c>
      <c r="AF13" s="270"/>
      <c r="AG13" s="270"/>
      <c r="AH13" s="271"/>
      <c r="AI13" s="269">
        <v>93.93</v>
      </c>
      <c r="AJ13" s="270"/>
      <c r="AK13" s="270"/>
      <c r="AL13" s="271"/>
      <c r="AM13" s="269">
        <v>95.8</v>
      </c>
      <c r="AN13" s="270"/>
      <c r="AO13" s="270"/>
      <c r="AP13" s="271"/>
      <c r="AQ13" s="269">
        <v>95.8</v>
      </c>
      <c r="AR13" s="270"/>
      <c r="AS13" s="270"/>
      <c r="AT13" s="271"/>
      <c r="AU13" s="269">
        <v>95.8</v>
      </c>
      <c r="AV13" s="270"/>
      <c r="AW13" s="270"/>
      <c r="AX13" s="271"/>
      <c r="AY13" s="17">
        <f t="shared" si="1"/>
        <v>3443.8099999999995</v>
      </c>
      <c r="AZ13" s="163">
        <f t="shared" ca="1" si="0"/>
        <v>286.98416666666662</v>
      </c>
      <c r="BA13" s="1"/>
      <c r="BB13" s="1"/>
    </row>
    <row r="14" spans="1:56" ht="15.75">
      <c r="A14" s="15" t="s">
        <v>130</v>
      </c>
      <c r="B14" s="201">
        <v>795.41</v>
      </c>
      <c r="C14" s="272"/>
      <c r="D14" s="273"/>
      <c r="E14" s="273"/>
      <c r="F14" s="274"/>
      <c r="G14" s="272">
        <f>27.27+13.86+8.75+34.09</f>
        <v>83.97</v>
      </c>
      <c r="H14" s="273"/>
      <c r="I14" s="273"/>
      <c r="J14" s="274"/>
      <c r="K14" s="272"/>
      <c r="L14" s="273"/>
      <c r="M14" s="273"/>
      <c r="N14" s="274"/>
      <c r="O14" s="272">
        <f>25+27.27+16.9+26.12</f>
        <v>95.289999999999992</v>
      </c>
      <c r="P14" s="273"/>
      <c r="Q14" s="273"/>
      <c r="R14" s="274"/>
      <c r="S14" s="272">
        <f>22.09+27.27</f>
        <v>49.36</v>
      </c>
      <c r="T14" s="273"/>
      <c r="U14" s="273"/>
      <c r="V14" s="274"/>
      <c r="W14" s="272">
        <f>8.75+27.27+27.27</f>
        <v>63.289999999999992</v>
      </c>
      <c r="X14" s="273"/>
      <c r="Y14" s="273"/>
      <c r="Z14" s="274"/>
      <c r="AA14" s="272"/>
      <c r="AB14" s="273"/>
      <c r="AC14" s="273"/>
      <c r="AD14" s="274"/>
      <c r="AE14" s="272"/>
      <c r="AF14" s="273"/>
      <c r="AG14" s="273"/>
      <c r="AH14" s="274"/>
      <c r="AI14" s="272"/>
      <c r="AJ14" s="273"/>
      <c r="AK14" s="273"/>
      <c r="AL14" s="274"/>
      <c r="AM14" s="272"/>
      <c r="AN14" s="273"/>
      <c r="AO14" s="273"/>
      <c r="AP14" s="274"/>
      <c r="AQ14" s="272">
        <f>'11'!K29</f>
        <v>72.710000000000008</v>
      </c>
      <c r="AR14" s="273"/>
      <c r="AS14" s="273"/>
      <c r="AT14" s="274"/>
      <c r="AU14" s="272"/>
      <c r="AV14" s="273"/>
      <c r="AW14" s="273"/>
      <c r="AX14" s="274"/>
      <c r="AY14" s="16">
        <f t="shared" si="1"/>
        <v>364.62</v>
      </c>
      <c r="AZ14" s="163">
        <f t="shared" ca="1" si="0"/>
        <v>30.385000000000002</v>
      </c>
      <c r="BA14" s="3"/>
      <c r="BB14" s="3"/>
    </row>
    <row r="15" spans="1:56" ht="15.75">
      <c r="A15" s="13" t="s">
        <v>131</v>
      </c>
      <c r="B15" s="200">
        <v>2461.34</v>
      </c>
      <c r="C15" s="269">
        <v>648.49</v>
      </c>
      <c r="D15" s="270"/>
      <c r="E15" s="270"/>
      <c r="F15" s="271"/>
      <c r="G15" s="269">
        <v>550</v>
      </c>
      <c r="H15" s="270"/>
      <c r="I15" s="270"/>
      <c r="J15" s="271"/>
      <c r="K15" s="269">
        <v>690</v>
      </c>
      <c r="L15" s="270"/>
      <c r="M15" s="270"/>
      <c r="N15" s="271"/>
      <c r="O15" s="269">
        <f>550</f>
        <v>550</v>
      </c>
      <c r="P15" s="270"/>
      <c r="Q15" s="270"/>
      <c r="R15" s="271"/>
      <c r="S15" s="269">
        <v>650.01</v>
      </c>
      <c r="T15" s="270"/>
      <c r="U15" s="270"/>
      <c r="V15" s="271"/>
      <c r="W15" s="269">
        <v>568.34</v>
      </c>
      <c r="X15" s="270"/>
      <c r="Y15" s="270"/>
      <c r="Z15" s="271"/>
      <c r="AA15" s="269">
        <v>632.86</v>
      </c>
      <c r="AB15" s="270"/>
      <c r="AC15" s="270"/>
      <c r="AD15" s="271"/>
      <c r="AE15" s="269">
        <v>550</v>
      </c>
      <c r="AF15" s="270"/>
      <c r="AG15" s="270"/>
      <c r="AH15" s="271"/>
      <c r="AI15" s="269">
        <v>586.85</v>
      </c>
      <c r="AJ15" s="270"/>
      <c r="AK15" s="270"/>
      <c r="AL15" s="271"/>
      <c r="AM15" s="275">
        <f>'10'!K26</f>
        <v>550</v>
      </c>
      <c r="AN15" s="270"/>
      <c r="AO15" s="270"/>
      <c r="AP15" s="271"/>
      <c r="AQ15" s="269">
        <v>644.96</v>
      </c>
      <c r="AR15" s="270"/>
      <c r="AS15" s="270"/>
      <c r="AT15" s="271"/>
      <c r="AU15" s="269">
        <f>'12'!K29</f>
        <v>584.53</v>
      </c>
      <c r="AV15" s="270"/>
      <c r="AW15" s="270"/>
      <c r="AX15" s="271"/>
      <c r="AY15" s="14">
        <f t="shared" si="1"/>
        <v>7206.04</v>
      </c>
      <c r="AZ15" s="163">
        <f t="shared" ca="1" si="0"/>
        <v>600.50333333333333</v>
      </c>
      <c r="BA15" s="1"/>
      <c r="BB15" s="1"/>
    </row>
    <row r="16" spans="1:56" ht="16.5" thickBot="1">
      <c r="A16" s="15" t="s">
        <v>132</v>
      </c>
      <c r="B16" s="203">
        <v>15626.78</v>
      </c>
      <c r="C16" s="266">
        <f>28.78+200.62+1566.27</f>
        <v>1795.67</v>
      </c>
      <c r="D16" s="267"/>
      <c r="E16" s="267"/>
      <c r="F16" s="268"/>
      <c r="G16" s="266">
        <f>47.52</f>
        <v>47.52</v>
      </c>
      <c r="H16" s="267"/>
      <c r="I16" s="267"/>
      <c r="J16" s="268"/>
      <c r="K16" s="266"/>
      <c r="L16" s="267"/>
      <c r="M16" s="267"/>
      <c r="N16" s="268"/>
      <c r="O16" s="266"/>
      <c r="P16" s="267"/>
      <c r="Q16" s="267"/>
      <c r="R16" s="268"/>
      <c r="S16" s="266"/>
      <c r="T16" s="267"/>
      <c r="U16" s="267"/>
      <c r="V16" s="268"/>
      <c r="W16" s="266"/>
      <c r="X16" s="267"/>
      <c r="Y16" s="267"/>
      <c r="Z16" s="268"/>
      <c r="AA16" s="266">
        <v>26.77</v>
      </c>
      <c r="AB16" s="267"/>
      <c r="AC16" s="267"/>
      <c r="AD16" s="268"/>
      <c r="AE16" s="266">
        <v>49</v>
      </c>
      <c r="AF16" s="267"/>
      <c r="AG16" s="267"/>
      <c r="AH16" s="268"/>
      <c r="AI16" s="266"/>
      <c r="AJ16" s="267"/>
      <c r="AK16" s="267"/>
      <c r="AL16" s="268"/>
      <c r="AM16" s="266"/>
      <c r="AN16" s="267"/>
      <c r="AO16" s="267"/>
      <c r="AP16" s="268"/>
      <c r="AQ16" s="266"/>
      <c r="AR16" s="267"/>
      <c r="AS16" s="267"/>
      <c r="AT16" s="268"/>
      <c r="AU16" s="266"/>
      <c r="AV16" s="267"/>
      <c r="AW16" s="267"/>
      <c r="AX16" s="268"/>
      <c r="AY16" s="85">
        <f>SUM(C16:AX16)</f>
        <v>1918.96</v>
      </c>
      <c r="AZ16" s="163">
        <f t="shared" ca="1" si="0"/>
        <v>159.91333333333333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62">
        <f>SUM(C8:C16)</f>
        <v>9364.27</v>
      </c>
      <c r="D17" s="263"/>
      <c r="E17" s="263"/>
      <c r="F17" s="264"/>
      <c r="G17" s="262">
        <f>SUM(G8:G16)</f>
        <v>5516.3400000000011</v>
      </c>
      <c r="H17" s="263"/>
      <c r="I17" s="263"/>
      <c r="J17" s="264"/>
      <c r="K17" s="262">
        <f>SUM(K8:K16)</f>
        <v>3826.44</v>
      </c>
      <c r="L17" s="263"/>
      <c r="M17" s="263"/>
      <c r="N17" s="264"/>
      <c r="O17" s="262">
        <f>SUM(O8:O16)</f>
        <v>6525.6500000000005</v>
      </c>
      <c r="P17" s="263"/>
      <c r="Q17" s="263"/>
      <c r="R17" s="264"/>
      <c r="S17" s="262">
        <f>SUM(S8:S16)</f>
        <v>3997.67</v>
      </c>
      <c r="T17" s="263"/>
      <c r="U17" s="263"/>
      <c r="V17" s="264"/>
      <c r="W17" s="262">
        <f>SUM(W8:W16)</f>
        <v>5438.31</v>
      </c>
      <c r="X17" s="263"/>
      <c r="Y17" s="263"/>
      <c r="Z17" s="264"/>
      <c r="AA17" s="262">
        <f>SUM(AA8:AA16)</f>
        <v>4427.8999999999996</v>
      </c>
      <c r="AB17" s="263"/>
      <c r="AC17" s="263"/>
      <c r="AD17" s="264"/>
      <c r="AE17" s="262">
        <f>SUM(AE8:AE16)</f>
        <v>3385.5499999999997</v>
      </c>
      <c r="AF17" s="263"/>
      <c r="AG17" s="263"/>
      <c r="AH17" s="264"/>
      <c r="AI17" s="262">
        <f>SUM(AI8:AI16)</f>
        <v>4189.3</v>
      </c>
      <c r="AJ17" s="263"/>
      <c r="AK17" s="263"/>
      <c r="AL17" s="264"/>
      <c r="AM17" s="262">
        <f>SUM(AM8:AM16)</f>
        <v>3755.4000000000005</v>
      </c>
      <c r="AN17" s="263"/>
      <c r="AO17" s="263"/>
      <c r="AP17" s="264"/>
      <c r="AQ17" s="262">
        <f>SUM(AQ8:AQ16)</f>
        <v>4120.9799999999996</v>
      </c>
      <c r="AR17" s="263"/>
      <c r="AS17" s="263"/>
      <c r="AT17" s="264"/>
      <c r="AU17" s="262">
        <f>SUM(AU8:AU16)</f>
        <v>1583.27</v>
      </c>
      <c r="AV17" s="263"/>
      <c r="AW17" s="263"/>
      <c r="AX17" s="264"/>
      <c r="AY17" s="18">
        <f>SUM(AY8:AY16)</f>
        <v>56131.08</v>
      </c>
      <c r="AZ17" s="163">
        <f ca="1">AY17/BB$17</f>
        <v>4677.59</v>
      </c>
      <c r="BA17" s="1" t="s">
        <v>117</v>
      </c>
      <c r="BB17" s="1">
        <f ca="1">MONTH(TODAY())</f>
        <v>12</v>
      </c>
      <c r="BC17" s="87"/>
      <c r="BD17" s="229"/>
    </row>
    <row r="18" spans="1:66" ht="32.25" customHeight="1" thickTop="1" thickBot="1">
      <c r="A18" s="19"/>
      <c r="B18" s="19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476</v>
      </c>
      <c r="AV18" s="265"/>
      <c r="AW18" s="265"/>
      <c r="AX18" s="265"/>
      <c r="AY18" s="217">
        <f>(2250*13)+5500+(550*12)+(93.93*12)</f>
        <v>42477.16</v>
      </c>
      <c r="AZ18" s="217">
        <f ca="1">12*AZ17</f>
        <v>56131.08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619</v>
      </c>
      <c r="BJ19" s="25" t="s">
        <v>622</v>
      </c>
      <c r="BK19" s="25" t="s">
        <v>620</v>
      </c>
      <c r="BL19" s="25" t="s">
        <v>621</v>
      </c>
      <c r="BN19" s="24" t="s">
        <v>750</v>
      </c>
    </row>
    <row r="20" spans="1:66" ht="16.5" thickBot="1">
      <c r="A20" s="38" t="s">
        <v>496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578.53</v>
      </c>
      <c r="AW20" s="177">
        <f>SUM('12'!D20:F20)</f>
        <v>46.53</v>
      </c>
      <c r="AX20" s="178">
        <f t="shared" ref="AX20:AX45" si="13">AT20+AV20-AW20</f>
        <v>763.18999999999983</v>
      </c>
      <c r="AY20" s="39">
        <f t="shared" ref="AY20:AY27" si="14">E20+I20+M20+Q20+U20+Y20+AC20+AG20+AK20+AO20+AS20+AW20</f>
        <v>7797.3099999999986</v>
      </c>
      <c r="AZ20" s="40">
        <f t="shared" ref="AZ20:AZ45" si="15">AY20/AY$46</f>
        <v>0.15570414234031768</v>
      </c>
      <c r="BA20" s="41">
        <f>_xlfn.RANK.EQ(AZ20,$AZ$20:$AZ$45,)</f>
        <v>2</v>
      </c>
      <c r="BB20" s="41">
        <f t="shared" ref="BB20:BB45" ca="1" si="16">AY20/BB$17</f>
        <v>649.77583333333325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8274.09</v>
      </c>
      <c r="BJ20" s="40">
        <f t="shared" ref="BJ20:BJ45" ca="1" si="17">BI20/BI$46</f>
        <v>0.14740919663752486</v>
      </c>
      <c r="BK20" s="41">
        <f ca="1">_xlfn.RANK.EQ(BJ20,$BJ$20:$BJ$45,)</f>
        <v>2</v>
      </c>
      <c r="BL20" s="41">
        <f ca="1">BI20/BB$17</f>
        <v>689.50750000000005</v>
      </c>
      <c r="BN20" s="230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476.77999999999986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1834.7499999999998</v>
      </c>
      <c r="AY21" s="44">
        <f t="shared" si="14"/>
        <v>12128.17</v>
      </c>
      <c r="AZ21" s="40">
        <f t="shared" si="15"/>
        <v>0.242186896251088</v>
      </c>
      <c r="BA21" s="41">
        <f t="shared" ref="BA21:BA45" si="18">_xlfn.RANK.EQ(AZ21,$AZ$20:$AZ$45,)</f>
        <v>1</v>
      </c>
      <c r="BB21" s="41">
        <f t="shared" ca="1" si="16"/>
        <v>1010.6808333333333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13962.92</v>
      </c>
      <c r="BJ21" s="40">
        <f t="shared" ca="1" si="17"/>
        <v>0.24876002314623463</v>
      </c>
      <c r="BK21" s="41">
        <f t="shared" ref="BK21:BK45" ca="1" si="20">_xlfn.RANK.EQ(BJ21,$BJ$20:$BJ$45,)</f>
        <v>1</v>
      </c>
      <c r="BL21" s="41">
        <f t="shared" ref="BL21:BL45" ca="1" si="21">BI21/BB$17</f>
        <v>1163.5766666666666</v>
      </c>
      <c r="BN21" s="230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1834.7499999999998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400.86999999999995</v>
      </c>
      <c r="AT22" s="183">
        <f t="shared" si="12"/>
        <v>190.58000000000021</v>
      </c>
      <c r="AU22" s="26" t="s">
        <v>118</v>
      </c>
      <c r="AV22" s="182">
        <f>'12'!B60</f>
        <v>470</v>
      </c>
      <c r="AW22" s="182">
        <f>SUM('12'!D60:F60)</f>
        <v>240.77</v>
      </c>
      <c r="AX22" s="183">
        <f t="shared" si="13"/>
        <v>419.81000000000017</v>
      </c>
      <c r="AY22" s="42">
        <f t="shared" si="14"/>
        <v>5099.6500000000005</v>
      </c>
      <c r="AZ22" s="40">
        <f t="shared" si="15"/>
        <v>0.10183468779435488</v>
      </c>
      <c r="BA22" s="41">
        <f t="shared" si="18"/>
        <v>3</v>
      </c>
      <c r="BB22" s="41">
        <f t="shared" ca="1" si="16"/>
        <v>424.97083333333336</v>
      </c>
      <c r="BI22" s="39">
        <f t="shared" ca="1" si="19"/>
        <v>5519.46</v>
      </c>
      <c r="BJ22" s="40">
        <f t="shared" ca="1" si="17"/>
        <v>9.8333371340286718E-2</v>
      </c>
      <c r="BK22" s="41">
        <f t="shared" ca="1" si="20"/>
        <v>4</v>
      </c>
      <c r="BL22" s="41">
        <f t="shared" ca="1" si="21"/>
        <v>459.95499999999998</v>
      </c>
      <c r="BN22" s="230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419.81000000000017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159.38999999999999</v>
      </c>
      <c r="AT23" s="181">
        <f t="shared" si="12"/>
        <v>-0.12999999999996703</v>
      </c>
      <c r="AU23" s="27" t="s">
        <v>118</v>
      </c>
      <c r="AV23" s="179">
        <f>'12'!B80</f>
        <v>155</v>
      </c>
      <c r="AW23" s="180">
        <f>SUM('12'!D80:F80)</f>
        <v>95.740000000000009</v>
      </c>
      <c r="AX23" s="181">
        <f t="shared" si="13"/>
        <v>59.130000000000024</v>
      </c>
      <c r="AY23" s="44">
        <f t="shared" si="14"/>
        <v>2236.0699999999997</v>
      </c>
      <c r="AZ23" s="40">
        <f t="shared" si="15"/>
        <v>4.4651984025633737E-2</v>
      </c>
      <c r="BA23" s="41">
        <f t="shared" si="18"/>
        <v>7</v>
      </c>
      <c r="BB23" s="41">
        <f t="shared" ca="1" si="16"/>
        <v>186.33916666666664</v>
      </c>
      <c r="BI23" s="175">
        <f t="shared" ca="1" si="19"/>
        <v>2291.9399999999996</v>
      </c>
      <c r="BJ23" s="40">
        <f t="shared" ca="1" si="17"/>
        <v>4.0832651583607216E-2</v>
      </c>
      <c r="BK23" s="41">
        <f t="shared" ca="1" si="20"/>
        <v>8</v>
      </c>
      <c r="BL23" s="41">
        <f t="shared" ca="1" si="21"/>
        <v>190.99499999999998</v>
      </c>
      <c r="BN23" s="230">
        <f t="shared" ca="1" si="22"/>
        <v>55.870000000000026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175</v>
      </c>
      <c r="AW24" s="182">
        <f>SUM('12'!D100:F100)</f>
        <v>59.41</v>
      </c>
      <c r="AX24" s="183">
        <f t="shared" si="13"/>
        <v>61.730000000000018</v>
      </c>
      <c r="AY24" s="42">
        <f t="shared" si="14"/>
        <v>1855.7300000000002</v>
      </c>
      <c r="AZ24" s="40">
        <f t="shared" si="15"/>
        <v>3.7056991201478179E-2</v>
      </c>
      <c r="BA24" s="41">
        <f t="shared" si="18"/>
        <v>9</v>
      </c>
      <c r="BB24" s="41">
        <f t="shared" ca="1" si="16"/>
        <v>154.64416666666668</v>
      </c>
      <c r="BI24" s="39">
        <f t="shared" ca="1" si="19"/>
        <v>1842.9</v>
      </c>
      <c r="BJ24" s="40">
        <f t="shared" ca="1" si="17"/>
        <v>3.2832662985693241E-2</v>
      </c>
      <c r="BK24" s="41">
        <f t="shared" ca="1" si="20"/>
        <v>9</v>
      </c>
      <c r="BL24" s="41">
        <f t="shared" ca="1" si="21"/>
        <v>153.57500000000002</v>
      </c>
      <c r="BN24" s="230">
        <f t="shared" ca="1" si="22"/>
        <v>-12.829999999999984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327.38</v>
      </c>
      <c r="AX25" s="181">
        <f t="shared" si="13"/>
        <v>2980.5199999999986</v>
      </c>
      <c r="AY25" s="44">
        <f t="shared" si="14"/>
        <v>4899.300000000002</v>
      </c>
      <c r="AZ25" s="40">
        <f t="shared" si="15"/>
        <v>9.7833907407544246E-2</v>
      </c>
      <c r="BA25" s="41">
        <f t="shared" si="18"/>
        <v>4</v>
      </c>
      <c r="BB25" s="41">
        <f t="shared" ca="1" si="16"/>
        <v>408.27500000000015</v>
      </c>
      <c r="BI25" s="175">
        <f t="shared" ca="1" si="19"/>
        <v>4805</v>
      </c>
      <c r="BJ25" s="40">
        <f t="shared" ca="1" si="17"/>
        <v>8.5604723884234624E-2</v>
      </c>
      <c r="BK25" s="41">
        <f t="shared" ca="1" si="20"/>
        <v>5</v>
      </c>
      <c r="BL25" s="41">
        <f t="shared" ca="1" si="21"/>
        <v>400.41666666666669</v>
      </c>
      <c r="BN25" s="230">
        <f t="shared" ca="1" si="22"/>
        <v>-94.300000000001091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8</v>
      </c>
      <c r="AX26" s="183">
        <f t="shared" si="13"/>
        <v>47.039999999999949</v>
      </c>
      <c r="AY26" s="42">
        <f t="shared" si="14"/>
        <v>554.43000000000006</v>
      </c>
      <c r="AZ26" s="40">
        <f t="shared" si="15"/>
        <v>1.1071388419562947E-2</v>
      </c>
      <c r="BA26" s="41">
        <f t="shared" si="18"/>
        <v>16</v>
      </c>
      <c r="BB26" s="41">
        <f t="shared" ca="1" si="16"/>
        <v>46.202500000000008</v>
      </c>
      <c r="BI26" s="39">
        <f t="shared" ca="1" si="19"/>
        <v>567</v>
      </c>
      <c r="BJ26" s="40">
        <f t="shared" ca="1" si="17"/>
        <v>1.0101535575933619E-2</v>
      </c>
      <c r="BK26" s="41">
        <f t="shared" ca="1" si="20"/>
        <v>17</v>
      </c>
      <c r="BL26" s="41">
        <f t="shared" ca="1" si="21"/>
        <v>47.25</v>
      </c>
      <c r="BN26" s="230">
        <f t="shared" ca="1" si="22"/>
        <v>12.569999999999951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16.330000000000002</v>
      </c>
      <c r="AT27" s="184">
        <f t="shared" si="12"/>
        <v>290.78000000000003</v>
      </c>
      <c r="AU27" s="27" t="s">
        <v>118</v>
      </c>
      <c r="AV27" s="179">
        <f>'12'!B160</f>
        <v>50</v>
      </c>
      <c r="AW27" s="179">
        <f>SUM('12'!D160:F160)</f>
        <v>66.830000000000013</v>
      </c>
      <c r="AX27" s="184">
        <f t="shared" si="13"/>
        <v>273.95000000000005</v>
      </c>
      <c r="AY27" s="44">
        <f t="shared" si="14"/>
        <v>481.44000000000005</v>
      </c>
      <c r="AZ27" s="40">
        <f t="shared" si="15"/>
        <v>9.6138543021019509E-3</v>
      </c>
      <c r="BA27" s="41">
        <f t="shared" si="18"/>
        <v>18</v>
      </c>
      <c r="BB27" s="41">
        <f t="shared" ca="1" si="16"/>
        <v>40.120000000000005</v>
      </c>
      <c r="BI27" s="175">
        <f t="shared" ca="1" si="19"/>
        <v>630</v>
      </c>
      <c r="BJ27" s="40">
        <f t="shared" ca="1" si="17"/>
        <v>1.122392841770402E-2</v>
      </c>
      <c r="BK27" s="41">
        <f t="shared" ca="1" si="20"/>
        <v>15</v>
      </c>
      <c r="BL27" s="41">
        <f t="shared" ca="1" si="21"/>
        <v>52.5</v>
      </c>
      <c r="BN27" s="230">
        <f t="shared" ca="1" si="22"/>
        <v>148.56000000000006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518.28</v>
      </c>
      <c r="AW28" s="182">
        <f>SUM('12'!D180:F180)</f>
        <v>0</v>
      </c>
      <c r="AX28" s="185">
        <f t="shared" si="13"/>
        <v>509.85</v>
      </c>
      <c r="AY28" s="39">
        <f t="shared" ref="AY28:AY45" si="23">E28+I28+M28+Q28+U28+Y28+AC28+AG28+AK28+AO28+AS28+AW28</f>
        <v>3498.32</v>
      </c>
      <c r="AZ28" s="40">
        <f t="shared" si="15"/>
        <v>6.9857799065572643E-2</v>
      </c>
      <c r="BA28" s="41">
        <f t="shared" si="18"/>
        <v>5</v>
      </c>
      <c r="BB28" s="41">
        <f t="shared" ca="1" si="16"/>
        <v>291.5266666666667</v>
      </c>
      <c r="BI28" s="39">
        <f t="shared" ca="1" si="19"/>
        <v>3995.8100000000004</v>
      </c>
      <c r="BJ28" s="40">
        <f t="shared" ca="1" si="17"/>
        <v>7.1188389540866509E-2</v>
      </c>
      <c r="BK28" s="41">
        <f t="shared" ca="1" si="20"/>
        <v>6</v>
      </c>
      <c r="BL28" s="41">
        <f t="shared" ca="1" si="21"/>
        <v>332.98416666666668</v>
      </c>
      <c r="BN28" s="230">
        <f t="shared" ca="1" si="22"/>
        <v>497.49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32.989999999999995</v>
      </c>
      <c r="AX29" s="186">
        <f t="shared" si="13"/>
        <v>-19.419999999999931</v>
      </c>
      <c r="AY29" s="44">
        <f t="shared" si="23"/>
        <v>1119.7499999999998</v>
      </c>
      <c r="AZ29" s="40">
        <f t="shared" si="15"/>
        <v>2.2360238772803791E-2</v>
      </c>
      <c r="BA29" s="41">
        <f t="shared" si="18"/>
        <v>11</v>
      </c>
      <c r="BB29" s="41">
        <f t="shared" ca="1" si="16"/>
        <v>93.312499999999986</v>
      </c>
      <c r="BI29" s="175">
        <f t="shared" ca="1" si="19"/>
        <v>884.05</v>
      </c>
      <c r="BJ29" s="40">
        <f t="shared" ca="1" si="17"/>
        <v>1.5750022091541648E-2</v>
      </c>
      <c r="BK29" s="41">
        <f t="shared" ca="1" si="20"/>
        <v>12</v>
      </c>
      <c r="BL29" s="41">
        <f t="shared" ca="1" si="21"/>
        <v>73.670833333333334</v>
      </c>
      <c r="BN29" s="230">
        <f t="shared" ca="1" si="22"/>
        <v>-235.69999999999996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-75.630000000000024</v>
      </c>
      <c r="AY30" s="42">
        <f t="shared" si="23"/>
        <v>539.50000000000011</v>
      </c>
      <c r="AZ30" s="40">
        <f t="shared" si="15"/>
        <v>1.0773251902592229E-2</v>
      </c>
      <c r="BA30" s="41">
        <f t="shared" si="18"/>
        <v>17</v>
      </c>
      <c r="BB30" s="41">
        <f t="shared" ca="1" si="16"/>
        <v>44.958333333333343</v>
      </c>
      <c r="BI30" s="39">
        <f t="shared" ca="1" si="19"/>
        <v>420</v>
      </c>
      <c r="BJ30" s="40">
        <f t="shared" ca="1" si="17"/>
        <v>7.4826189451360136E-3</v>
      </c>
      <c r="BK30" s="41">
        <f t="shared" ca="1" si="20"/>
        <v>20</v>
      </c>
      <c r="BL30" s="41">
        <f t="shared" ca="1" si="21"/>
        <v>35</v>
      </c>
      <c r="BN30" s="230">
        <f t="shared" ca="1" si="22"/>
        <v>-119.50000000000003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97.02000000000001</v>
      </c>
      <c r="AY31" s="44">
        <f t="shared" si="23"/>
        <v>714.98</v>
      </c>
      <c r="AZ31" s="40">
        <f t="shared" si="15"/>
        <v>1.4277404347201837E-2</v>
      </c>
      <c r="BA31" s="41">
        <f t="shared" si="18"/>
        <v>13</v>
      </c>
      <c r="BB31" s="41">
        <f t="shared" ca="1" si="16"/>
        <v>59.581666666666671</v>
      </c>
      <c r="BI31" s="175">
        <f t="shared" ca="1" si="19"/>
        <v>680</v>
      </c>
      <c r="BJ31" s="40">
        <f t="shared" ca="1" si="17"/>
        <v>1.211471638736307E-2</v>
      </c>
      <c r="BK31" s="41">
        <f t="shared" ca="1" si="20"/>
        <v>14</v>
      </c>
      <c r="BL31" s="41">
        <f t="shared" ca="1" si="21"/>
        <v>56.666666666666664</v>
      </c>
      <c r="BN31" s="230">
        <f t="shared" ca="1" si="22"/>
        <v>-34.97999999999999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148.76999999999998</v>
      </c>
      <c r="AT32" s="187">
        <f t="shared" si="12"/>
        <v>-69.249999999999972</v>
      </c>
      <c r="AU32" s="26" t="s">
        <v>118</v>
      </c>
      <c r="AV32" s="182">
        <f>'12'!B260</f>
        <v>55</v>
      </c>
      <c r="AW32" s="182">
        <f>SUM('12'!D260:F260)</f>
        <v>0</v>
      </c>
      <c r="AX32" s="187">
        <f t="shared" si="13"/>
        <v>-14.249999999999972</v>
      </c>
      <c r="AY32" s="42">
        <f t="shared" si="23"/>
        <v>1315.8400000000004</v>
      </c>
      <c r="AZ32" s="40">
        <f t="shared" si="15"/>
        <v>2.6275951405944322E-2</v>
      </c>
      <c r="BA32" s="41">
        <f t="shared" si="18"/>
        <v>10</v>
      </c>
      <c r="BB32" s="41">
        <f t="shared" ca="1" si="16"/>
        <v>109.65333333333336</v>
      </c>
      <c r="BI32" s="39">
        <f t="shared" ca="1" si="19"/>
        <v>1301.5900000000001</v>
      </c>
      <c r="BJ32" s="40">
        <f t="shared" ca="1" si="17"/>
        <v>2.3188814268570439E-2</v>
      </c>
      <c r="BK32" s="41">
        <f t="shared" ca="1" si="20"/>
        <v>11</v>
      </c>
      <c r="BL32" s="41">
        <f t="shared" ca="1" si="21"/>
        <v>108.46583333333335</v>
      </c>
      <c r="BN32" s="230">
        <f t="shared" ca="1" si="22"/>
        <v>-14.249999999999972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6.2982088045923797E-4</v>
      </c>
      <c r="BA33" s="41">
        <f t="shared" si="18"/>
        <v>22</v>
      </c>
      <c r="BB33" s="41">
        <f t="shared" ca="1" si="16"/>
        <v>2.6283333333333334</v>
      </c>
      <c r="BI33" s="175">
        <f t="shared" ca="1" si="19"/>
        <v>341.53999999999996</v>
      </c>
      <c r="BJ33" s="40">
        <f t="shared" ca="1" si="17"/>
        <v>6.084794463147033E-3</v>
      </c>
      <c r="BK33" s="41">
        <f t="shared" ca="1" si="20"/>
        <v>21</v>
      </c>
      <c r="BL33" s="41">
        <f t="shared" ca="1" si="21"/>
        <v>28.461666666666662</v>
      </c>
      <c r="BN33" s="230">
        <f t="shared" ca="1" si="22"/>
        <v>310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197.2</v>
      </c>
      <c r="AT34" s="187">
        <f t="shared" si="12"/>
        <v>377.35999999999996</v>
      </c>
      <c r="AU34" s="26" t="s">
        <v>118</v>
      </c>
      <c r="AV34" s="182">
        <f>'12'!B300</f>
        <v>90</v>
      </c>
      <c r="AW34" s="182">
        <f>SUM('12'!D300:F300)</f>
        <v>109</v>
      </c>
      <c r="AX34" s="187">
        <f t="shared" si="13"/>
        <v>358.35999999999996</v>
      </c>
      <c r="AY34" s="42">
        <f>E34+I34+M34+Q34+U34+Y34+AC34+AG34+AK34+AO34+AS34+AW34+(E36+I36+M36)</f>
        <v>3411.8199999999997</v>
      </c>
      <c r="AZ34" s="40">
        <f t="shared" si="15"/>
        <v>6.8130484349030976E-2</v>
      </c>
      <c r="BA34" s="41">
        <f t="shared" si="18"/>
        <v>6</v>
      </c>
      <c r="BB34" s="41">
        <f t="shared" ca="1" si="16"/>
        <v>284.31833333333333</v>
      </c>
      <c r="BI34" s="39">
        <f t="shared" ca="1" si="19"/>
        <v>2977.6</v>
      </c>
      <c r="BJ34" s="40">
        <f t="shared" ca="1" si="17"/>
        <v>5.30482051691357E-2</v>
      </c>
      <c r="BK34" s="41">
        <f t="shared" ca="1" si="20"/>
        <v>7</v>
      </c>
      <c r="BL34" s="41">
        <f t="shared" ca="1" si="21"/>
        <v>248.13333333333333</v>
      </c>
      <c r="BN34" s="230">
        <f t="shared" ca="1" si="22"/>
        <v>254.02999999999994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8.6999999999999993</v>
      </c>
      <c r="AX35" s="184">
        <f t="shared" si="13"/>
        <v>1489.6000000000004</v>
      </c>
      <c r="AY35" s="44">
        <f t="shared" si="23"/>
        <v>1907.21</v>
      </c>
      <c r="AZ35" s="40">
        <f t="shared" si="15"/>
        <v>3.8084993069773719E-2</v>
      </c>
      <c r="BA35" s="41">
        <f t="shared" si="18"/>
        <v>8</v>
      </c>
      <c r="BB35" s="41">
        <f t="shared" ca="1" si="16"/>
        <v>158.93416666666667</v>
      </c>
      <c r="BI35" s="175">
        <f t="shared" ca="1" si="19"/>
        <v>1317.71</v>
      </c>
      <c r="BJ35" s="40">
        <f t="shared" ca="1" si="17"/>
        <v>2.3476004309988516E-2</v>
      </c>
      <c r="BK35" s="41">
        <f t="shared" ca="1" si="20"/>
        <v>10</v>
      </c>
      <c r="BL35" s="41">
        <f t="shared" ca="1" si="21"/>
        <v>109.80916666666667</v>
      </c>
      <c r="BN35" s="230">
        <f t="shared" ca="1" si="22"/>
        <v>-589.5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1.3663958010876288E-2</v>
      </c>
      <c r="BA36" s="41">
        <f t="shared" si="18"/>
        <v>14</v>
      </c>
      <c r="BB36" s="41">
        <f t="shared" ca="1" si="16"/>
        <v>57.021666666666668</v>
      </c>
      <c r="BI36" s="39">
        <f t="shared" ca="1" si="19"/>
        <v>621.19000000000005</v>
      </c>
      <c r="BJ36" s="40">
        <f t="shared" ca="1" si="17"/>
        <v>1.1066971577450097E-2</v>
      </c>
      <c r="BK36" s="41">
        <f t="shared" ca="1" si="20"/>
        <v>16</v>
      </c>
      <c r="BL36" s="41">
        <f t="shared" ca="1" si="21"/>
        <v>51.76583333333334</v>
      </c>
      <c r="BN36" s="230">
        <f t="shared" ca="1" si="22"/>
        <v>-751.31999999999994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1.3481641440217036E-2</v>
      </c>
      <c r="BA37" s="41">
        <f t="shared" si="18"/>
        <v>15</v>
      </c>
      <c r="BB37" s="41">
        <f t="shared" ca="1" si="16"/>
        <v>56.260833333333331</v>
      </c>
      <c r="BI37" s="175">
        <f t="shared" ca="1" si="19"/>
        <v>470</v>
      </c>
      <c r="BJ37" s="40">
        <f t="shared" ca="1" si="17"/>
        <v>8.3734069147950625E-3</v>
      </c>
      <c r="BK37" s="41">
        <f t="shared" ca="1" si="20"/>
        <v>19</v>
      </c>
      <c r="BL37" s="41">
        <f t="shared" ca="1" si="21"/>
        <v>39.166666666666664</v>
      </c>
      <c r="BN37" s="230">
        <f t="shared" ca="1" si="22"/>
        <v>-205.13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55.7</v>
      </c>
      <c r="AT38" s="183">
        <f t="shared" si="12"/>
        <v>-9.9099999999999682</v>
      </c>
      <c r="AU38" s="26" t="s">
        <v>118</v>
      </c>
      <c r="AV38" s="190">
        <f>'12'!B380</f>
        <v>70</v>
      </c>
      <c r="AW38" s="190">
        <f>SUM('12'!D380:F380)</f>
        <v>16.39</v>
      </c>
      <c r="AX38" s="183">
        <f t="shared" si="13"/>
        <v>43.700000000000031</v>
      </c>
      <c r="AY38" s="42">
        <f t="shared" si="23"/>
        <v>817.09</v>
      </c>
      <c r="AZ38" s="40">
        <f t="shared" si="15"/>
        <v>1.6316434470971426E-2</v>
      </c>
      <c r="BA38" s="41">
        <f t="shared" si="18"/>
        <v>12</v>
      </c>
      <c r="BB38" s="41">
        <f t="shared" ca="1" si="16"/>
        <v>68.090833333333336</v>
      </c>
      <c r="BI38" s="39">
        <f t="shared" ca="1" si="19"/>
        <v>789.77</v>
      </c>
      <c r="BJ38" s="40">
        <f t="shared" ca="1" si="17"/>
        <v>1.4070352295952545E-2</v>
      </c>
      <c r="BK38" s="41">
        <f t="shared" ca="1" si="20"/>
        <v>13</v>
      </c>
      <c r="BL38" s="41">
        <f t="shared" ca="1" si="21"/>
        <v>65.814166666666665</v>
      </c>
      <c r="BN38" s="230">
        <f t="shared" ca="1" si="22"/>
        <v>-27.319999999999979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160</v>
      </c>
      <c r="BJ39" s="40">
        <f t="shared" ca="1" si="17"/>
        <v>2.8505215029089575E-3</v>
      </c>
      <c r="BK39" s="41">
        <f t="shared" ca="1" si="20"/>
        <v>22</v>
      </c>
      <c r="BL39" s="41">
        <f t="shared" ca="1" si="21"/>
        <v>13.333333333333334</v>
      </c>
      <c r="BN39" s="230">
        <f t="shared" ca="1" si="22"/>
        <v>160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2.7734883350343546E-3</v>
      </c>
      <c r="BA40" s="41">
        <f t="shared" si="18"/>
        <v>19</v>
      </c>
      <c r="BB40" s="41">
        <f t="shared" ca="1" si="16"/>
        <v>11.574166666666665</v>
      </c>
      <c r="BI40" s="39">
        <f t="shared" ca="1" si="19"/>
        <v>-2480.3199999999997</v>
      </c>
      <c r="BJ40" s="40">
        <f t="shared" ca="1" si="17"/>
        <v>-4.4188784338094651E-2</v>
      </c>
      <c r="BK40" s="41">
        <f t="shared" ca="1" si="20"/>
        <v>26</v>
      </c>
      <c r="BL40" s="41">
        <f t="shared" ca="1" si="21"/>
        <v>-206.6933333333333</v>
      </c>
      <c r="BN40" s="230">
        <f t="shared" ca="1" si="22"/>
        <v>-2619.21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-2669.5400000000004</v>
      </c>
      <c r="AW41" s="189">
        <f>SUM('12'!D440:F440)</f>
        <v>0</v>
      </c>
      <c r="AX41" s="181">
        <f t="shared" si="13"/>
        <v>4556.2199999999993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-749.29</v>
      </c>
      <c r="BJ41" s="40">
        <f t="shared" ca="1" si="17"/>
        <v>-1.3349170355716578E-2</v>
      </c>
      <c r="BK41" s="41">
        <f t="shared" ca="1" si="20"/>
        <v>25</v>
      </c>
      <c r="BL41" s="41">
        <f t="shared" ca="1" si="21"/>
        <v>-62.44083333333333</v>
      </c>
      <c r="BN41" s="230">
        <f t="shared" ca="1" si="22"/>
        <v>-749.29000000000087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0.12278835162893052</v>
      </c>
      <c r="BK42" s="41">
        <f t="shared" ca="1" si="20"/>
        <v>3</v>
      </c>
      <c r="BL42" s="41">
        <f t="shared" ca="1" si="21"/>
        <v>574.34333333333336</v>
      </c>
      <c r="BN42" s="230">
        <f t="shared" ca="1" si="22"/>
        <v>6892.12</v>
      </c>
    </row>
    <row r="43" spans="1:66" ht="16.5" thickBot="1">
      <c r="A43" s="50" t="s">
        <v>466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1.9968956260597273E-3</v>
      </c>
      <c r="BA43" s="41">
        <f t="shared" si="18"/>
        <v>20</v>
      </c>
      <c r="BB43" s="41">
        <f t="shared" ca="1" si="16"/>
        <v>8.3333333333333339</v>
      </c>
      <c r="BI43" s="175">
        <f t="shared" ca="1" si="19"/>
        <v>516</v>
      </c>
      <c r="BJ43" s="40">
        <f t="shared" ca="1" si="17"/>
        <v>9.1929318468813876E-3</v>
      </c>
      <c r="BK43" s="41">
        <f t="shared" ca="1" si="20"/>
        <v>18</v>
      </c>
      <c r="BL43" s="41">
        <f t="shared" ca="1" si="21"/>
        <v>43</v>
      </c>
      <c r="BN43" s="230">
        <f t="shared" ca="1" si="22"/>
        <v>416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  <c r="BN44" s="230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1.4237865813805854E-3</v>
      </c>
      <c r="BA45" s="41">
        <f t="shared" si="18"/>
        <v>21</v>
      </c>
      <c r="BB45" s="41">
        <f t="shared" ca="1" si="16"/>
        <v>5.9416666666666664</v>
      </c>
      <c r="BI45" s="175">
        <f t="shared" ca="1" si="19"/>
        <v>99</v>
      </c>
      <c r="BJ45" s="40">
        <f t="shared" ca="1" si="17"/>
        <v>1.7637601799249175E-3</v>
      </c>
      <c r="BK45" s="41">
        <f t="shared" ca="1" si="20"/>
        <v>23</v>
      </c>
      <c r="BL45" s="41">
        <f t="shared" ca="1" si="21"/>
        <v>8.25</v>
      </c>
      <c r="BN45" s="230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4617.4199999999992</v>
      </c>
      <c r="AT46" s="197">
        <f>SUM(AT20:AT45)</f>
        <v>22817.499999999996</v>
      </c>
      <c r="AU46" s="81"/>
      <c r="AV46" s="196">
        <f>SUM(AV20:AV45)</f>
        <v>1583.2699999999991</v>
      </c>
      <c r="AW46" s="196">
        <f>SUM(AW20:AW45)</f>
        <v>1011.7400000000001</v>
      </c>
      <c r="AX46" s="197">
        <f>SUM(AX20:AX45)</f>
        <v>23389.03</v>
      </c>
      <c r="AY46" s="28">
        <f>SUM(AY20:AY45)</f>
        <v>50077.73000000001</v>
      </c>
      <c r="AZ46" s="1"/>
      <c r="BA46" s="1"/>
      <c r="BB46" s="176">
        <f ca="1">SUM(BB20:BB45)</f>
        <v>4173.1441666666651</v>
      </c>
      <c r="BI46" s="28">
        <f ca="1">SUM(BI20:BI45)</f>
        <v>56130.079999999994</v>
      </c>
      <c r="BJ46" s="1"/>
      <c r="BK46" s="1"/>
      <c r="BL46" s="176">
        <f ca="1">SUM(BL20:BL45)</f>
        <v>4677.5066666666653</v>
      </c>
      <c r="BN46" s="28">
        <f ca="1">SUM(BN20:BN45)</f>
        <v>6052.3499999999976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-496.4399999999996</v>
      </c>
      <c r="AT47" s="227"/>
      <c r="AU47" s="198">
        <f>AU5-AT46</f>
        <v>91.900000000005093</v>
      </c>
      <c r="AV47" s="198">
        <f>AU17-AV46</f>
        <v>0</v>
      </c>
      <c r="AW47" s="198">
        <f>AU17-AW46</f>
        <v>571.52999999999986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625</v>
      </c>
      <c r="AW48" s="5"/>
      <c r="AX48" s="5"/>
      <c r="AY48" s="163">
        <v>46128</v>
      </c>
      <c r="AZ48" s="163"/>
      <c r="BA48" s="1" t="s">
        <v>626</v>
      </c>
      <c r="BB48" s="163">
        <f ca="1">12*BB46</f>
        <v>50077.729999999981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428.86999999999995</v>
      </c>
      <c r="AT50" s="170"/>
      <c r="AU50" s="170"/>
      <c r="AV50" s="170"/>
      <c r="AW50" s="170">
        <f>AW22+28</f>
        <v>268.77</v>
      </c>
      <c r="AX50" s="170"/>
      <c r="AY50" s="170"/>
    </row>
    <row r="51" spans="1:66" ht="15.75" thickBot="1"/>
    <row r="52" spans="1:66">
      <c r="C52" s="235" t="s">
        <v>197</v>
      </c>
      <c r="D52" s="236"/>
      <c r="E52" s="236"/>
      <c r="F52" s="237"/>
      <c r="G52" s="235" t="s">
        <v>197</v>
      </c>
      <c r="H52" s="236"/>
      <c r="I52" s="236"/>
      <c r="J52" s="237"/>
      <c r="K52" s="235" t="s">
        <v>197</v>
      </c>
      <c r="L52" s="236"/>
      <c r="M52" s="236"/>
      <c r="N52" s="237"/>
      <c r="O52" s="235" t="s">
        <v>197</v>
      </c>
      <c r="P52" s="236"/>
      <c r="Q52" s="236"/>
      <c r="R52" s="237"/>
      <c r="S52" s="235" t="s">
        <v>197</v>
      </c>
      <c r="T52" s="236"/>
      <c r="U52" s="236"/>
      <c r="V52" s="237"/>
      <c r="W52" s="235" t="s">
        <v>197</v>
      </c>
      <c r="X52" s="236"/>
      <c r="Y52" s="236"/>
      <c r="Z52" s="237"/>
      <c r="AA52" s="235" t="s">
        <v>197</v>
      </c>
      <c r="AB52" s="236"/>
      <c r="AC52" s="236"/>
      <c r="AD52" s="237"/>
      <c r="AE52" s="235" t="s">
        <v>197</v>
      </c>
      <c r="AF52" s="236"/>
      <c r="AG52" s="236"/>
      <c r="AH52" s="237"/>
      <c r="AI52" s="235" t="s">
        <v>197</v>
      </c>
      <c r="AJ52" s="236"/>
      <c r="AK52" s="236"/>
      <c r="AL52" s="237"/>
      <c r="AM52" s="235" t="s">
        <v>197</v>
      </c>
      <c r="AN52" s="236"/>
      <c r="AO52" s="236"/>
      <c r="AP52" s="237"/>
      <c r="AQ52" s="235" t="s">
        <v>197</v>
      </c>
      <c r="AR52" s="236"/>
      <c r="AS52" s="236"/>
      <c r="AT52" s="237"/>
      <c r="AU52" s="235" t="s">
        <v>197</v>
      </c>
      <c r="AV52" s="236"/>
      <c r="AW52" s="236"/>
      <c r="AX52" s="237"/>
    </row>
    <row r="53" spans="1:66" ht="15.75" thickBot="1">
      <c r="C53" s="141" t="s">
        <v>198</v>
      </c>
      <c r="D53" s="238" t="s">
        <v>33</v>
      </c>
      <c r="E53" s="239"/>
      <c r="F53" s="142" t="s">
        <v>134</v>
      </c>
      <c r="G53" s="141" t="s">
        <v>198</v>
      </c>
      <c r="H53" s="238" t="s">
        <v>33</v>
      </c>
      <c r="I53" s="239"/>
      <c r="J53" s="142" t="s">
        <v>134</v>
      </c>
      <c r="K53" s="141" t="s">
        <v>198</v>
      </c>
      <c r="L53" s="238" t="s">
        <v>33</v>
      </c>
      <c r="M53" s="239"/>
      <c r="N53" s="142" t="s">
        <v>134</v>
      </c>
      <c r="O53" s="141" t="s">
        <v>198</v>
      </c>
      <c r="P53" s="238" t="s">
        <v>33</v>
      </c>
      <c r="Q53" s="239"/>
      <c r="R53" s="142" t="s">
        <v>134</v>
      </c>
      <c r="S53" s="141" t="s">
        <v>198</v>
      </c>
      <c r="T53" s="238" t="s">
        <v>33</v>
      </c>
      <c r="U53" s="239"/>
      <c r="V53" s="142" t="s">
        <v>134</v>
      </c>
      <c r="W53" s="141" t="s">
        <v>198</v>
      </c>
      <c r="X53" s="238" t="s">
        <v>33</v>
      </c>
      <c r="Y53" s="239"/>
      <c r="Z53" s="142" t="s">
        <v>134</v>
      </c>
      <c r="AA53" s="141" t="s">
        <v>198</v>
      </c>
      <c r="AB53" s="238" t="s">
        <v>33</v>
      </c>
      <c r="AC53" s="239"/>
      <c r="AD53" s="142" t="s">
        <v>134</v>
      </c>
      <c r="AE53" s="141" t="s">
        <v>198</v>
      </c>
      <c r="AF53" s="238" t="s">
        <v>33</v>
      </c>
      <c r="AG53" s="239"/>
      <c r="AH53" s="142" t="s">
        <v>134</v>
      </c>
      <c r="AI53" s="141" t="s">
        <v>198</v>
      </c>
      <c r="AJ53" s="238" t="s">
        <v>33</v>
      </c>
      <c r="AK53" s="239"/>
      <c r="AL53" s="142" t="s">
        <v>134</v>
      </c>
      <c r="AM53" s="141" t="s">
        <v>198</v>
      </c>
      <c r="AN53" s="238" t="s">
        <v>33</v>
      </c>
      <c r="AO53" s="239"/>
      <c r="AP53" s="142" t="s">
        <v>134</v>
      </c>
      <c r="AQ53" s="141" t="s">
        <v>198</v>
      </c>
      <c r="AR53" s="238" t="s">
        <v>33</v>
      </c>
      <c r="AS53" s="239"/>
      <c r="AT53" s="142" t="s">
        <v>134</v>
      </c>
      <c r="AU53" s="141" t="s">
        <v>198</v>
      </c>
      <c r="AV53" s="238" t="s">
        <v>33</v>
      </c>
      <c r="AW53" s="239"/>
      <c r="AX53" s="142" t="s">
        <v>134</v>
      </c>
    </row>
    <row r="54" spans="1:66">
      <c r="C54" s="143">
        <v>43112</v>
      </c>
      <c r="D54" s="240" t="s">
        <v>199</v>
      </c>
      <c r="E54" s="241"/>
      <c r="F54" s="146">
        <v>10</v>
      </c>
      <c r="G54" s="143">
        <v>43137</v>
      </c>
      <c r="H54" s="240" t="s">
        <v>219</v>
      </c>
      <c r="I54" s="241"/>
      <c r="J54" s="148">
        <v>10</v>
      </c>
      <c r="K54" s="143">
        <v>43166</v>
      </c>
      <c r="L54" s="246" t="s">
        <v>287</v>
      </c>
      <c r="M54" s="247"/>
      <c r="N54" s="148"/>
      <c r="O54" s="143">
        <v>43195</v>
      </c>
      <c r="P54" s="246" t="s">
        <v>219</v>
      </c>
      <c r="Q54" s="247"/>
      <c r="R54" s="153">
        <v>10</v>
      </c>
      <c r="S54" s="143">
        <v>43224</v>
      </c>
      <c r="T54" s="246" t="s">
        <v>287</v>
      </c>
      <c r="U54" s="247"/>
      <c r="V54" s="154"/>
      <c r="W54" s="144">
        <v>43264</v>
      </c>
      <c r="X54" s="248" t="s">
        <v>199</v>
      </c>
      <c r="Y54" s="249"/>
      <c r="Z54" s="155">
        <v>15</v>
      </c>
      <c r="AA54" s="143"/>
      <c r="AB54" s="258" t="s">
        <v>370</v>
      </c>
      <c r="AC54" s="259"/>
      <c r="AD54" s="148">
        <f>1452-580.8</f>
        <v>871.2</v>
      </c>
      <c r="AE54" s="143"/>
      <c r="AF54" s="254"/>
      <c r="AG54" s="255"/>
      <c r="AH54" s="148"/>
      <c r="AI54" s="143">
        <v>43370</v>
      </c>
      <c r="AJ54" s="252" t="s">
        <v>219</v>
      </c>
      <c r="AK54" s="253"/>
      <c r="AL54" s="148">
        <v>10</v>
      </c>
      <c r="AM54" s="143">
        <v>43399</v>
      </c>
      <c r="AN54" s="252" t="s">
        <v>219</v>
      </c>
      <c r="AO54" s="253"/>
      <c r="AP54" s="148" t="s">
        <v>641</v>
      </c>
      <c r="AQ54" s="143">
        <v>43415</v>
      </c>
      <c r="AR54" s="246" t="s">
        <v>666</v>
      </c>
      <c r="AS54" s="247"/>
      <c r="AT54" s="148"/>
      <c r="AU54" s="143">
        <v>43447</v>
      </c>
      <c r="AV54" s="240" t="s">
        <v>666</v>
      </c>
      <c r="AW54" s="241"/>
      <c r="AX54" s="148"/>
    </row>
    <row r="55" spans="1:66">
      <c r="C55" s="144"/>
      <c r="D55" s="231"/>
      <c r="E55" s="232"/>
      <c r="F55" s="146"/>
      <c r="G55" s="144">
        <v>43146</v>
      </c>
      <c r="H55" s="231" t="s">
        <v>272</v>
      </c>
      <c r="I55" s="232"/>
      <c r="J55" s="148">
        <v>10</v>
      </c>
      <c r="K55" s="144">
        <v>43168</v>
      </c>
      <c r="L55" s="260" t="s">
        <v>272</v>
      </c>
      <c r="M55" s="261"/>
      <c r="N55" s="148">
        <v>15</v>
      </c>
      <c r="O55" s="144">
        <v>43209</v>
      </c>
      <c r="P55" s="248" t="s">
        <v>199</v>
      </c>
      <c r="Q55" s="249"/>
      <c r="R55" s="153">
        <v>15</v>
      </c>
      <c r="S55" s="144">
        <v>43238</v>
      </c>
      <c r="T55" s="248" t="s">
        <v>359</v>
      </c>
      <c r="U55" s="249"/>
      <c r="V55" s="148"/>
      <c r="W55" s="144">
        <v>43253</v>
      </c>
      <c r="X55" s="248" t="s">
        <v>219</v>
      </c>
      <c r="Y55" s="249"/>
      <c r="Z55" s="148">
        <v>10</v>
      </c>
      <c r="AA55" s="144"/>
      <c r="AB55" s="231" t="s">
        <v>371</v>
      </c>
      <c r="AC55" s="232"/>
      <c r="AD55" s="148">
        <f>200-43.62+(76.38*6)</f>
        <v>614.66</v>
      </c>
      <c r="AE55" s="144">
        <v>43318</v>
      </c>
      <c r="AF55" s="248" t="s">
        <v>199</v>
      </c>
      <c r="AG55" s="249"/>
      <c r="AH55" s="148">
        <v>15</v>
      </c>
      <c r="AI55" s="144">
        <v>43361</v>
      </c>
      <c r="AJ55" s="248" t="s">
        <v>199</v>
      </c>
      <c r="AK55" s="249"/>
      <c r="AL55" s="148">
        <v>15</v>
      </c>
      <c r="AM55" s="144">
        <v>43393</v>
      </c>
      <c r="AN55" s="248" t="s">
        <v>199</v>
      </c>
      <c r="AO55" s="249"/>
      <c r="AP55" s="148">
        <v>15</v>
      </c>
      <c r="AQ55" s="144">
        <v>43425</v>
      </c>
      <c r="AR55" s="248" t="s">
        <v>699</v>
      </c>
      <c r="AS55" s="249"/>
      <c r="AT55" s="148"/>
      <c r="AU55" s="144"/>
      <c r="AV55" s="231"/>
      <c r="AW55" s="232"/>
      <c r="AX55" s="148"/>
    </row>
    <row r="56" spans="1:66">
      <c r="C56" s="144">
        <v>43117</v>
      </c>
      <c r="D56" s="231" t="s">
        <v>200</v>
      </c>
      <c r="E56" s="232"/>
      <c r="F56" s="146"/>
      <c r="G56" s="144">
        <v>43147</v>
      </c>
      <c r="H56" s="231" t="s">
        <v>283</v>
      </c>
      <c r="I56" s="232"/>
      <c r="J56" s="148"/>
      <c r="K56" s="144">
        <v>43189</v>
      </c>
      <c r="L56" s="231" t="s">
        <v>292</v>
      </c>
      <c r="M56" s="232"/>
      <c r="N56" s="148"/>
      <c r="O56" s="144">
        <v>43193</v>
      </c>
      <c r="P56" s="248" t="s">
        <v>328</v>
      </c>
      <c r="Q56" s="249"/>
      <c r="R56" s="153">
        <v>258.52</v>
      </c>
      <c r="S56" s="144">
        <v>43249</v>
      </c>
      <c r="T56" s="231" t="s">
        <v>374</v>
      </c>
      <c r="U56" s="232"/>
      <c r="V56" s="148"/>
      <c r="W56" s="144">
        <v>43249</v>
      </c>
      <c r="X56" s="231" t="s">
        <v>379</v>
      </c>
      <c r="Y56" s="232"/>
      <c r="Z56" s="148"/>
      <c r="AA56" s="144"/>
      <c r="AB56" s="231" t="s">
        <v>372</v>
      </c>
      <c r="AC56" s="232"/>
      <c r="AD56" s="148">
        <f>AD54-AD55</f>
        <v>256.54000000000008</v>
      </c>
      <c r="AE56" s="144">
        <v>43341</v>
      </c>
      <c r="AF56" s="248" t="s">
        <v>287</v>
      </c>
      <c r="AG56" s="249"/>
      <c r="AH56" s="148"/>
      <c r="AI56" s="144">
        <v>43347</v>
      </c>
      <c r="AJ56" s="250" t="s">
        <v>378</v>
      </c>
      <c r="AK56" s="251"/>
      <c r="AL56" s="148"/>
      <c r="AM56" s="144">
        <v>43377</v>
      </c>
      <c r="AN56" s="250" t="s">
        <v>378</v>
      </c>
      <c r="AO56" s="251"/>
      <c r="AP56" s="148"/>
      <c r="AQ56" s="144">
        <v>43411</v>
      </c>
      <c r="AR56" s="248" t="s">
        <v>691</v>
      </c>
      <c r="AS56" s="249"/>
      <c r="AT56" s="148"/>
      <c r="AU56" s="144"/>
      <c r="AV56" s="231"/>
      <c r="AW56" s="232"/>
      <c r="AX56" s="148"/>
    </row>
    <row r="57" spans="1:66">
      <c r="C57" s="144"/>
      <c r="D57" s="231" t="s">
        <v>201</v>
      </c>
      <c r="E57" s="232"/>
      <c r="F57" s="146"/>
      <c r="G57" s="144"/>
      <c r="H57" s="231" t="s">
        <v>284</v>
      </c>
      <c r="I57" s="232"/>
      <c r="J57" s="148"/>
      <c r="K57" s="144"/>
      <c r="L57" s="231" t="s">
        <v>293</v>
      </c>
      <c r="M57" s="232"/>
      <c r="N57" s="148"/>
      <c r="O57" s="144"/>
      <c r="P57" s="248" t="s">
        <v>299</v>
      </c>
      <c r="Q57" s="249"/>
      <c r="R57" s="148">
        <v>2290.23</v>
      </c>
      <c r="S57" s="144"/>
      <c r="T57" s="231" t="s">
        <v>375</v>
      </c>
      <c r="U57" s="232"/>
      <c r="V57" s="148"/>
      <c r="W57" s="144"/>
      <c r="X57" s="231" t="s">
        <v>380</v>
      </c>
      <c r="Y57" s="232"/>
      <c r="Z57" s="148"/>
      <c r="AA57" s="144">
        <v>43282</v>
      </c>
      <c r="AB57" s="248" t="s">
        <v>287</v>
      </c>
      <c r="AC57" s="249"/>
      <c r="AD57" s="148"/>
      <c r="AE57" s="144">
        <v>43189</v>
      </c>
      <c r="AF57" s="231" t="s">
        <v>383</v>
      </c>
      <c r="AG57" s="232"/>
      <c r="AH57" s="148"/>
      <c r="AI57" s="144"/>
      <c r="AJ57" s="242"/>
      <c r="AK57" s="243"/>
      <c r="AL57" s="148"/>
      <c r="AM57" s="144">
        <v>43404</v>
      </c>
      <c r="AN57" s="250" t="s">
        <v>378</v>
      </c>
      <c r="AO57" s="251"/>
      <c r="AP57" s="148"/>
      <c r="AQ57" s="144">
        <v>43428</v>
      </c>
      <c r="AR57" s="248" t="s">
        <v>219</v>
      </c>
      <c r="AS57" s="249"/>
      <c r="AT57" s="148">
        <v>10</v>
      </c>
      <c r="AU57" s="144"/>
      <c r="AV57" s="231"/>
      <c r="AW57" s="232"/>
      <c r="AX57" s="148"/>
    </row>
    <row r="58" spans="1:66">
      <c r="C58" s="144"/>
      <c r="D58" s="231" t="s">
        <v>202</v>
      </c>
      <c r="E58" s="232"/>
      <c r="F58" s="146"/>
      <c r="G58" s="144"/>
      <c r="H58" s="231" t="s">
        <v>285</v>
      </c>
      <c r="I58" s="232"/>
      <c r="J58" s="148"/>
      <c r="K58" s="144"/>
      <c r="L58" s="231" t="s">
        <v>294</v>
      </c>
      <c r="M58" s="232"/>
      <c r="N58" s="148"/>
      <c r="O58" s="144"/>
      <c r="P58" s="231"/>
      <c r="Q58" s="232"/>
      <c r="R58" s="148"/>
      <c r="S58" s="144"/>
      <c r="T58" s="231" t="s">
        <v>376</v>
      </c>
      <c r="U58" s="232"/>
      <c r="V58" s="148"/>
      <c r="W58" s="144"/>
      <c r="X58" s="231" t="s">
        <v>381</v>
      </c>
      <c r="Y58" s="232"/>
      <c r="Z58" s="148"/>
      <c r="AA58" s="144"/>
      <c r="AB58" s="248" t="s">
        <v>359</v>
      </c>
      <c r="AC58" s="249"/>
      <c r="AD58" s="148"/>
      <c r="AE58" s="144"/>
      <c r="AF58" s="231" t="s">
        <v>384</v>
      </c>
      <c r="AG58" s="232"/>
      <c r="AH58" s="148"/>
      <c r="AI58" s="144"/>
      <c r="AJ58" s="242"/>
      <c r="AK58" s="243"/>
      <c r="AL58" s="148"/>
      <c r="AM58" s="144"/>
      <c r="AN58" s="242"/>
      <c r="AO58" s="243"/>
      <c r="AP58" s="148"/>
      <c r="AQ58" s="144">
        <v>43419</v>
      </c>
      <c r="AR58" s="248" t="s">
        <v>714</v>
      </c>
      <c r="AS58" s="249"/>
      <c r="AT58" s="148"/>
      <c r="AU58" s="144"/>
      <c r="AV58" s="231"/>
      <c r="AW58" s="232"/>
      <c r="AX58" s="148"/>
    </row>
    <row r="59" spans="1:66">
      <c r="C59" s="144"/>
      <c r="D59" s="231"/>
      <c r="E59" s="232"/>
      <c r="F59" s="146"/>
      <c r="G59" s="144"/>
      <c r="H59" s="231"/>
      <c r="I59" s="232"/>
      <c r="J59" s="148"/>
      <c r="K59" s="144"/>
      <c r="L59" s="231"/>
      <c r="M59" s="232"/>
      <c r="N59" s="148"/>
      <c r="O59" s="144"/>
      <c r="P59" s="231"/>
      <c r="Q59" s="232"/>
      <c r="R59" s="148"/>
      <c r="S59" s="144">
        <v>43236</v>
      </c>
      <c r="T59" s="250" t="s">
        <v>378</v>
      </c>
      <c r="U59" s="251"/>
      <c r="V59" s="148"/>
      <c r="W59" s="144">
        <v>43263</v>
      </c>
      <c r="X59" s="250" t="s">
        <v>378</v>
      </c>
      <c r="Y59" s="251"/>
      <c r="Z59" s="148"/>
      <c r="AA59" s="144"/>
      <c r="AB59" s="250" t="s">
        <v>451</v>
      </c>
      <c r="AC59" s="251"/>
      <c r="AD59" s="148">
        <f>(50*7)-'01'!D13-'03'!E13</f>
        <v>285.02</v>
      </c>
      <c r="AE59" s="144"/>
      <c r="AF59" s="231" t="s">
        <v>385</v>
      </c>
      <c r="AG59" s="232"/>
      <c r="AH59" s="148"/>
      <c r="AI59" s="144"/>
      <c r="AJ59" s="242"/>
      <c r="AK59" s="243"/>
      <c r="AL59" s="148"/>
      <c r="AM59" s="144"/>
      <c r="AN59" s="242"/>
      <c r="AO59" s="243"/>
      <c r="AP59" s="148"/>
      <c r="AQ59" s="144">
        <v>43406</v>
      </c>
      <c r="AR59" s="231" t="s">
        <v>659</v>
      </c>
      <c r="AS59" s="232"/>
      <c r="AT59" s="148"/>
      <c r="AU59" s="144">
        <v>43189</v>
      </c>
      <c r="AV59" s="231" t="s">
        <v>765</v>
      </c>
      <c r="AW59" s="232"/>
      <c r="AX59" s="148"/>
    </row>
    <row r="60" spans="1:66">
      <c r="C60" s="144"/>
      <c r="D60" s="231"/>
      <c r="E60" s="232"/>
      <c r="F60" s="146"/>
      <c r="G60" s="144"/>
      <c r="H60" s="231"/>
      <c r="I60" s="232"/>
      <c r="J60" s="148"/>
      <c r="K60" s="144"/>
      <c r="L60" s="231"/>
      <c r="M60" s="232"/>
      <c r="N60" s="148"/>
      <c r="O60" s="144"/>
      <c r="P60" s="231"/>
      <c r="Q60" s="232"/>
      <c r="R60" s="148"/>
      <c r="S60" s="144"/>
      <c r="T60" s="250"/>
      <c r="U60" s="251"/>
      <c r="V60" s="148"/>
      <c r="W60" s="144"/>
      <c r="X60" s="242" t="s">
        <v>308</v>
      </c>
      <c r="Y60" s="243"/>
      <c r="Z60" s="148">
        <f>622.46*2</f>
        <v>1244.92</v>
      </c>
      <c r="AA60" s="144"/>
      <c r="AB60" s="242"/>
      <c r="AC60" s="243"/>
      <c r="AD60" s="148"/>
      <c r="AE60" s="144">
        <v>43319</v>
      </c>
      <c r="AF60" s="250" t="s">
        <v>378</v>
      </c>
      <c r="AG60" s="251"/>
      <c r="AH60" s="148"/>
      <c r="AI60" s="144"/>
      <c r="AJ60" s="242"/>
      <c r="AK60" s="243"/>
      <c r="AL60" s="148"/>
      <c r="AM60" s="144"/>
      <c r="AN60" s="242"/>
      <c r="AO60" s="243"/>
      <c r="AP60" s="148"/>
      <c r="AQ60" s="144"/>
      <c r="AR60" s="231" t="s">
        <v>380</v>
      </c>
      <c r="AS60" s="232"/>
      <c r="AT60" s="148"/>
      <c r="AU60" s="144"/>
      <c r="AV60" s="231" t="s">
        <v>766</v>
      </c>
      <c r="AW60" s="232"/>
      <c r="AX60" s="148"/>
    </row>
    <row r="61" spans="1:66">
      <c r="C61" s="144"/>
      <c r="D61" s="231"/>
      <c r="E61" s="232"/>
      <c r="F61" s="146"/>
      <c r="G61" s="144"/>
      <c r="H61" s="231"/>
      <c r="I61" s="232"/>
      <c r="J61" s="148"/>
      <c r="K61" s="144"/>
      <c r="L61" s="231"/>
      <c r="M61" s="232"/>
      <c r="N61" s="148"/>
      <c r="O61" s="144"/>
      <c r="P61" s="231"/>
      <c r="Q61" s="232"/>
      <c r="R61" s="148"/>
      <c r="S61" s="144"/>
      <c r="T61" s="250"/>
      <c r="U61" s="251"/>
      <c r="V61" s="148"/>
      <c r="W61" s="144"/>
      <c r="X61" s="242"/>
      <c r="Y61" s="243"/>
      <c r="Z61" s="148"/>
      <c r="AA61" s="144"/>
      <c r="AB61" s="242"/>
      <c r="AC61" s="243"/>
      <c r="AD61" s="148"/>
      <c r="AE61" s="144"/>
      <c r="AF61" s="242"/>
      <c r="AG61" s="243"/>
      <c r="AH61" s="148"/>
      <c r="AI61" s="144"/>
      <c r="AJ61" s="242"/>
      <c r="AK61" s="243"/>
      <c r="AL61" s="148"/>
      <c r="AM61" s="144"/>
      <c r="AN61" s="242"/>
      <c r="AO61" s="243"/>
      <c r="AP61" s="148"/>
      <c r="AQ61" s="144"/>
      <c r="AR61" s="231" t="s">
        <v>660</v>
      </c>
      <c r="AS61" s="232"/>
      <c r="AT61" s="148"/>
      <c r="AU61" s="144"/>
      <c r="AV61" s="231" t="s">
        <v>767</v>
      </c>
      <c r="AW61" s="232"/>
      <c r="AX61" s="148"/>
    </row>
    <row r="62" spans="1:66">
      <c r="C62" s="144"/>
      <c r="D62" s="231"/>
      <c r="E62" s="232"/>
      <c r="F62" s="146"/>
      <c r="G62" s="144"/>
      <c r="H62" s="231"/>
      <c r="I62" s="232"/>
      <c r="J62" s="148"/>
      <c r="K62" s="144"/>
      <c r="L62" s="231"/>
      <c r="M62" s="232"/>
      <c r="N62" s="148"/>
      <c r="O62" s="144"/>
      <c r="P62" s="231"/>
      <c r="Q62" s="232"/>
      <c r="R62" s="148"/>
      <c r="S62" s="144"/>
      <c r="T62" s="250"/>
      <c r="U62" s="251"/>
      <c r="V62" s="148"/>
      <c r="W62" s="144"/>
      <c r="X62" s="242"/>
      <c r="Y62" s="243"/>
      <c r="Z62" s="148"/>
      <c r="AA62" s="144"/>
      <c r="AB62" s="242"/>
      <c r="AC62" s="243"/>
      <c r="AD62" s="148"/>
      <c r="AE62" s="144"/>
      <c r="AF62" s="242"/>
      <c r="AG62" s="243"/>
      <c r="AH62" s="148"/>
      <c r="AI62" s="144"/>
      <c r="AJ62" s="242"/>
      <c r="AK62" s="243"/>
      <c r="AL62" s="148"/>
      <c r="AM62" s="144"/>
      <c r="AN62" s="242"/>
      <c r="AO62" s="243"/>
      <c r="AP62" s="148"/>
      <c r="AQ62" s="144">
        <v>43425</v>
      </c>
      <c r="AR62" s="248" t="s">
        <v>199</v>
      </c>
      <c r="AS62" s="249"/>
      <c r="AT62" s="148">
        <v>10</v>
      </c>
      <c r="AU62" s="144"/>
      <c r="AV62" s="231"/>
      <c r="AW62" s="232"/>
      <c r="AX62" s="148"/>
    </row>
    <row r="63" spans="1:66">
      <c r="C63" s="144"/>
      <c r="D63" s="231"/>
      <c r="E63" s="232"/>
      <c r="F63" s="146"/>
      <c r="G63" s="144"/>
      <c r="H63" s="231"/>
      <c r="I63" s="232"/>
      <c r="J63" s="148"/>
      <c r="K63" s="144"/>
      <c r="L63" s="231"/>
      <c r="M63" s="232"/>
      <c r="N63" s="148"/>
      <c r="O63" s="144"/>
      <c r="P63" s="231"/>
      <c r="Q63" s="232"/>
      <c r="R63" s="148"/>
      <c r="S63" s="144"/>
      <c r="T63" s="250"/>
      <c r="U63" s="251"/>
      <c r="V63" s="148"/>
      <c r="W63" s="144"/>
      <c r="X63" s="242"/>
      <c r="Y63" s="243"/>
      <c r="Z63" s="148"/>
      <c r="AA63" s="144"/>
      <c r="AB63" s="242"/>
      <c r="AC63" s="243"/>
      <c r="AD63" s="148"/>
      <c r="AE63" s="144"/>
      <c r="AF63" s="242"/>
      <c r="AG63" s="243"/>
      <c r="AH63" s="148"/>
      <c r="AI63" s="144"/>
      <c r="AJ63" s="242"/>
      <c r="AK63" s="243"/>
      <c r="AL63" s="148"/>
      <c r="AM63" s="144"/>
      <c r="AN63" s="242"/>
      <c r="AO63" s="243"/>
      <c r="AP63" s="148"/>
      <c r="AQ63" s="144">
        <v>43433</v>
      </c>
      <c r="AR63" s="250" t="s">
        <v>378</v>
      </c>
      <c r="AS63" s="251"/>
      <c r="AT63" s="148"/>
      <c r="AU63" s="144"/>
      <c r="AV63" s="231"/>
      <c r="AW63" s="232"/>
      <c r="AX63" s="148"/>
    </row>
    <row r="64" spans="1:66">
      <c r="C64" s="144"/>
      <c r="D64" s="231"/>
      <c r="E64" s="232"/>
      <c r="F64" s="146"/>
      <c r="G64" s="144"/>
      <c r="H64" s="231"/>
      <c r="I64" s="232"/>
      <c r="J64" s="148"/>
      <c r="K64" s="144"/>
      <c r="L64" s="231"/>
      <c r="M64" s="232"/>
      <c r="N64" s="148"/>
      <c r="O64" s="144"/>
      <c r="P64" s="231"/>
      <c r="Q64" s="232"/>
      <c r="R64" s="148"/>
      <c r="S64" s="144"/>
      <c r="T64" s="250"/>
      <c r="U64" s="251"/>
      <c r="V64" s="148"/>
      <c r="W64" s="144"/>
      <c r="X64" s="242"/>
      <c r="Y64" s="243"/>
      <c r="Z64" s="148"/>
      <c r="AA64" s="144"/>
      <c r="AB64" s="242"/>
      <c r="AC64" s="243"/>
      <c r="AD64" s="148"/>
      <c r="AE64" s="144"/>
      <c r="AF64" s="242"/>
      <c r="AG64" s="243"/>
      <c r="AH64" s="148"/>
      <c r="AI64" s="144"/>
      <c r="AJ64" s="242"/>
      <c r="AK64" s="243"/>
      <c r="AL64" s="148"/>
      <c r="AM64" s="144"/>
      <c r="AN64" s="242"/>
      <c r="AO64" s="243"/>
      <c r="AP64" s="148"/>
      <c r="AQ64" s="144"/>
      <c r="AR64" s="231"/>
      <c r="AS64" s="232"/>
      <c r="AT64" s="148"/>
      <c r="AU64" s="144"/>
      <c r="AV64" s="231"/>
      <c r="AW64" s="232"/>
      <c r="AX64" s="148"/>
    </row>
    <row r="65" spans="3:50">
      <c r="C65" s="144"/>
      <c r="D65" s="231"/>
      <c r="E65" s="232"/>
      <c r="F65" s="146"/>
      <c r="G65" s="144"/>
      <c r="H65" s="231"/>
      <c r="I65" s="232"/>
      <c r="J65" s="148"/>
      <c r="K65" s="144"/>
      <c r="L65" s="231"/>
      <c r="M65" s="232"/>
      <c r="N65" s="148"/>
      <c r="O65" s="144"/>
      <c r="P65" s="231"/>
      <c r="Q65" s="232"/>
      <c r="R65" s="148"/>
      <c r="S65" s="144"/>
      <c r="T65" s="250"/>
      <c r="U65" s="251"/>
      <c r="V65" s="148"/>
      <c r="W65" s="144"/>
      <c r="X65" s="242"/>
      <c r="Y65" s="243"/>
      <c r="Z65" s="148"/>
      <c r="AA65" s="144"/>
      <c r="AB65" s="242"/>
      <c r="AC65" s="243"/>
      <c r="AD65" s="148"/>
      <c r="AE65" s="144"/>
      <c r="AF65" s="242"/>
      <c r="AG65" s="243"/>
      <c r="AH65" s="148"/>
      <c r="AI65" s="144"/>
      <c r="AJ65" s="242"/>
      <c r="AK65" s="243"/>
      <c r="AL65" s="148"/>
      <c r="AM65" s="144"/>
      <c r="AN65" s="242"/>
      <c r="AO65" s="243"/>
      <c r="AP65" s="148"/>
      <c r="AQ65" s="144"/>
      <c r="AR65" s="231"/>
      <c r="AS65" s="232"/>
      <c r="AT65" s="148"/>
      <c r="AU65" s="144"/>
      <c r="AV65" s="231"/>
      <c r="AW65" s="232"/>
      <c r="AX65" s="148"/>
    </row>
    <row r="66" spans="3:50">
      <c r="C66" s="144"/>
      <c r="D66" s="231"/>
      <c r="E66" s="232"/>
      <c r="F66" s="146"/>
      <c r="G66" s="144"/>
      <c r="H66" s="231"/>
      <c r="I66" s="232"/>
      <c r="J66" s="148"/>
      <c r="K66" s="144"/>
      <c r="L66" s="231"/>
      <c r="M66" s="232"/>
      <c r="N66" s="148"/>
      <c r="O66" s="144"/>
      <c r="P66" s="231"/>
      <c r="Q66" s="232"/>
      <c r="R66" s="148"/>
      <c r="S66" s="144"/>
      <c r="T66" s="242"/>
      <c r="U66" s="243"/>
      <c r="V66" s="148"/>
      <c r="W66" s="144"/>
      <c r="X66" s="242"/>
      <c r="Y66" s="243"/>
      <c r="Z66" s="148"/>
      <c r="AA66" s="144"/>
      <c r="AB66" s="242"/>
      <c r="AC66" s="243"/>
      <c r="AD66" s="148"/>
      <c r="AE66" s="144"/>
      <c r="AF66" s="242"/>
      <c r="AG66" s="243"/>
      <c r="AH66" s="148"/>
      <c r="AI66" s="144"/>
      <c r="AJ66" s="242"/>
      <c r="AK66" s="243"/>
      <c r="AL66" s="148"/>
      <c r="AM66" s="144"/>
      <c r="AN66" s="242"/>
      <c r="AO66" s="243"/>
      <c r="AP66" s="148"/>
      <c r="AQ66" s="144"/>
      <c r="AR66" s="231"/>
      <c r="AS66" s="232"/>
      <c r="AT66" s="148"/>
      <c r="AU66" s="144"/>
      <c r="AV66" s="231"/>
      <c r="AW66" s="232"/>
      <c r="AX66" s="148"/>
    </row>
    <row r="67" spans="3:50">
      <c r="C67" s="144"/>
      <c r="D67" s="231"/>
      <c r="E67" s="232"/>
      <c r="F67" s="146"/>
      <c r="G67" s="144"/>
      <c r="H67" s="231"/>
      <c r="I67" s="232"/>
      <c r="J67" s="148"/>
      <c r="K67" s="144"/>
      <c r="L67" s="231"/>
      <c r="M67" s="232"/>
      <c r="N67" s="148"/>
      <c r="O67" s="144"/>
      <c r="P67" s="231"/>
      <c r="Q67" s="232"/>
      <c r="R67" s="148"/>
      <c r="S67" s="144"/>
      <c r="T67" s="242"/>
      <c r="U67" s="243"/>
      <c r="V67" s="148"/>
      <c r="W67" s="144"/>
      <c r="X67" s="242"/>
      <c r="Y67" s="243"/>
      <c r="Z67" s="148"/>
      <c r="AA67" s="144"/>
      <c r="AB67" s="242"/>
      <c r="AC67" s="243"/>
      <c r="AD67" s="148"/>
      <c r="AE67" s="144"/>
      <c r="AF67" s="242"/>
      <c r="AG67" s="243"/>
      <c r="AH67" s="148"/>
      <c r="AI67" s="144"/>
      <c r="AJ67" s="242"/>
      <c r="AK67" s="243"/>
      <c r="AL67" s="148"/>
      <c r="AM67" s="144"/>
      <c r="AN67" s="242"/>
      <c r="AO67" s="243"/>
      <c r="AP67" s="148"/>
      <c r="AQ67" s="144"/>
      <c r="AR67" s="231"/>
      <c r="AS67" s="232"/>
      <c r="AT67" s="148"/>
      <c r="AU67" s="144"/>
      <c r="AV67" s="231"/>
      <c r="AW67" s="232"/>
      <c r="AX67" s="148"/>
    </row>
    <row r="68" spans="3:50">
      <c r="C68" s="144"/>
      <c r="D68" s="231"/>
      <c r="E68" s="232"/>
      <c r="F68" s="146"/>
      <c r="G68" s="144"/>
      <c r="H68" s="231"/>
      <c r="I68" s="232"/>
      <c r="J68" s="148"/>
      <c r="K68" s="144"/>
      <c r="L68" s="231"/>
      <c r="M68" s="232"/>
      <c r="N68" s="148"/>
      <c r="O68" s="144"/>
      <c r="P68" s="231"/>
      <c r="Q68" s="232"/>
      <c r="R68" s="148"/>
      <c r="S68" s="144"/>
      <c r="T68" s="242"/>
      <c r="U68" s="243"/>
      <c r="V68" s="148"/>
      <c r="W68" s="144"/>
      <c r="X68" s="242"/>
      <c r="Y68" s="243"/>
      <c r="Z68" s="148"/>
      <c r="AA68" s="144"/>
      <c r="AB68" s="242"/>
      <c r="AC68" s="243"/>
      <c r="AD68" s="148"/>
      <c r="AE68" s="144"/>
      <c r="AF68" s="242"/>
      <c r="AG68" s="243"/>
      <c r="AH68" s="148"/>
      <c r="AI68" s="144"/>
      <c r="AJ68" s="242"/>
      <c r="AK68" s="243"/>
      <c r="AL68" s="148"/>
      <c r="AM68" s="144"/>
      <c r="AN68" s="242"/>
      <c r="AO68" s="243"/>
      <c r="AP68" s="148"/>
      <c r="AQ68" s="144"/>
      <c r="AR68" s="231"/>
      <c r="AS68" s="232"/>
      <c r="AT68" s="148"/>
      <c r="AU68" s="144"/>
      <c r="AV68" s="231"/>
      <c r="AW68" s="232"/>
      <c r="AX68" s="148"/>
    </row>
    <row r="69" spans="3:50">
      <c r="C69" s="144"/>
      <c r="D69" s="231"/>
      <c r="E69" s="232"/>
      <c r="F69" s="146"/>
      <c r="G69" s="144"/>
      <c r="H69" s="231"/>
      <c r="I69" s="232"/>
      <c r="J69" s="148"/>
      <c r="K69" s="144"/>
      <c r="L69" s="231"/>
      <c r="M69" s="232"/>
      <c r="N69" s="148"/>
      <c r="O69" s="144"/>
      <c r="P69" s="231"/>
      <c r="Q69" s="232"/>
      <c r="R69" s="148"/>
      <c r="S69" s="144"/>
      <c r="T69" s="242"/>
      <c r="U69" s="243"/>
      <c r="V69" s="148"/>
      <c r="W69" s="144"/>
      <c r="X69" s="242"/>
      <c r="Y69" s="243"/>
      <c r="Z69" s="148"/>
      <c r="AA69" s="144"/>
      <c r="AB69" s="242"/>
      <c r="AC69" s="243"/>
      <c r="AD69" s="148"/>
      <c r="AE69" s="144"/>
      <c r="AF69" s="242"/>
      <c r="AG69" s="243"/>
      <c r="AH69" s="148"/>
      <c r="AI69" s="144"/>
      <c r="AJ69" s="242"/>
      <c r="AK69" s="243"/>
      <c r="AL69" s="148"/>
      <c r="AM69" s="144"/>
      <c r="AN69" s="242"/>
      <c r="AO69" s="243"/>
      <c r="AP69" s="148"/>
      <c r="AQ69" s="144"/>
      <c r="AR69" s="231"/>
      <c r="AS69" s="232"/>
      <c r="AT69" s="148"/>
      <c r="AU69" s="144"/>
      <c r="AV69" s="231"/>
      <c r="AW69" s="232"/>
      <c r="AX69" s="148"/>
    </row>
    <row r="70" spans="3:50">
      <c r="C70" s="144"/>
      <c r="D70" s="231"/>
      <c r="E70" s="232"/>
      <c r="F70" s="146"/>
      <c r="G70" s="144"/>
      <c r="H70" s="231"/>
      <c r="I70" s="232"/>
      <c r="J70" s="148"/>
      <c r="K70" s="144"/>
      <c r="L70" s="231"/>
      <c r="M70" s="232"/>
      <c r="N70" s="148"/>
      <c r="O70" s="144"/>
      <c r="P70" s="231"/>
      <c r="Q70" s="232"/>
      <c r="R70" s="148"/>
      <c r="S70" s="144"/>
      <c r="T70" s="242"/>
      <c r="U70" s="243"/>
      <c r="V70" s="148"/>
      <c r="W70" s="144"/>
      <c r="X70" s="231" t="s">
        <v>431</v>
      </c>
      <c r="Y70" s="232"/>
      <c r="Z70" s="148">
        <f>3289.11+270.87</f>
        <v>3559.98</v>
      </c>
      <c r="AA70" s="144"/>
      <c r="AB70" s="242"/>
      <c r="AC70" s="243"/>
      <c r="AD70" s="148"/>
      <c r="AE70" s="144"/>
      <c r="AF70" s="242"/>
      <c r="AG70" s="243"/>
      <c r="AH70" s="148"/>
      <c r="AI70" s="144"/>
      <c r="AJ70" s="242"/>
      <c r="AK70" s="243"/>
      <c r="AL70" s="148"/>
      <c r="AM70" s="144"/>
      <c r="AN70" s="242"/>
      <c r="AO70" s="243"/>
      <c r="AP70" s="148"/>
      <c r="AQ70" s="144"/>
      <c r="AR70" s="231"/>
      <c r="AS70" s="232"/>
      <c r="AT70" s="148"/>
      <c r="AU70" s="144"/>
      <c r="AV70" s="231"/>
      <c r="AW70" s="232"/>
      <c r="AX70" s="148"/>
    </row>
    <row r="71" spans="3:50" ht="15.75" thickBot="1">
      <c r="C71" s="145"/>
      <c r="D71" s="233"/>
      <c r="E71" s="234"/>
      <c r="F71" s="147"/>
      <c r="G71" s="145"/>
      <c r="H71" s="233"/>
      <c r="I71" s="234"/>
      <c r="J71" s="149"/>
      <c r="K71" s="145"/>
      <c r="L71" s="233"/>
      <c r="M71" s="234"/>
      <c r="N71" s="149"/>
      <c r="O71" s="145"/>
      <c r="P71" s="233"/>
      <c r="Q71" s="234"/>
      <c r="R71" s="149"/>
      <c r="S71" s="145"/>
      <c r="T71" s="244"/>
      <c r="U71" s="245"/>
      <c r="V71" s="149"/>
      <c r="W71" s="145"/>
      <c r="X71" s="256" t="s">
        <v>432</v>
      </c>
      <c r="Y71" s="257"/>
      <c r="Z71" s="149">
        <f>Z70-1484.91-429.89</f>
        <v>1645.1799999999998</v>
      </c>
      <c r="AA71" s="145"/>
      <c r="AB71" s="244"/>
      <c r="AC71" s="245"/>
      <c r="AD71" s="149">
        <f>550-161.56</f>
        <v>388.44</v>
      </c>
      <c r="AE71" s="145"/>
      <c r="AF71" s="244"/>
      <c r="AG71" s="245"/>
      <c r="AH71" s="149"/>
      <c r="AI71" s="145"/>
      <c r="AJ71" s="244"/>
      <c r="AK71" s="245"/>
      <c r="AL71" s="149"/>
      <c r="AM71" s="145"/>
      <c r="AN71" s="244"/>
      <c r="AO71" s="245"/>
      <c r="AP71" s="149"/>
      <c r="AQ71" s="145"/>
      <c r="AR71" s="233"/>
      <c r="AS71" s="234"/>
      <c r="AT71" s="149"/>
      <c r="AU71" s="145"/>
      <c r="AV71" s="233"/>
      <c r="AW71" s="234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2037.62</v>
      </c>
      <c r="L5" s="300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6798.75</v>
      </c>
      <c r="L7" s="290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400+185+90</f>
        <v>675</v>
      </c>
      <c r="L11" s="290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24613.260000000002</v>
      </c>
      <c r="L19" s="306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608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575</v>
      </c>
      <c r="K25" s="299">
        <v>300</v>
      </c>
      <c r="L25" s="300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280.26</v>
      </c>
      <c r="L26" s="290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580</v>
      </c>
      <c r="K27" s="289">
        <v>586.85</v>
      </c>
      <c r="L27" s="290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644</v>
      </c>
      <c r="K28" s="289">
        <v>500</v>
      </c>
      <c r="L28" s="290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589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598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603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604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617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627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630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634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572</v>
      </c>
      <c r="H66" s="1"/>
      <c r="M66" s="1"/>
      <c r="R66" s="3"/>
    </row>
    <row r="67" spans="1:18" ht="15.75">
      <c r="A67" s="1"/>
      <c r="B67" s="55">
        <v>97.1</v>
      </c>
      <c r="C67" s="33" t="s">
        <v>645</v>
      </c>
      <c r="D67" s="57">
        <f>29.39</f>
        <v>29.39</v>
      </c>
      <c r="E67" s="58"/>
      <c r="F67" s="58">
        <v>1</v>
      </c>
      <c r="G67" s="70" t="s">
        <v>605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628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643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570</v>
      </c>
      <c r="H86" s="1"/>
      <c r="M86" s="1"/>
      <c r="R86" s="3"/>
    </row>
    <row r="87" spans="1:18" ht="15.75">
      <c r="A87" s="1"/>
      <c r="B87" s="55">
        <v>2.9</v>
      </c>
      <c r="C87" s="33" t="s">
        <v>645</v>
      </c>
      <c r="D87" s="57">
        <v>53.97</v>
      </c>
      <c r="E87" s="58"/>
      <c r="F87" s="58"/>
      <c r="G87" s="33" t="s">
        <v>590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600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601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611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614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629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639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616</v>
      </c>
      <c r="D108" s="57">
        <f>2</f>
        <v>2</v>
      </c>
      <c r="E108" s="58"/>
      <c r="F108" s="58"/>
      <c r="G108" s="73" t="s">
        <v>612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615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569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579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506</v>
      </c>
      <c r="D186" s="57">
        <v>33.799999999999997</v>
      </c>
      <c r="E186" s="58"/>
      <c r="F186" s="58"/>
      <c r="G186" s="33" t="s">
        <v>573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585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647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599</v>
      </c>
    </row>
    <row r="287" spans="2:7">
      <c r="B287" s="55">
        <v>399</v>
      </c>
      <c r="C287" s="33" t="s">
        <v>646</v>
      </c>
      <c r="D287" s="57">
        <v>9.6999999999999993</v>
      </c>
      <c r="E287" s="58"/>
      <c r="F287" s="58"/>
      <c r="G287" s="33" t="s">
        <v>631</v>
      </c>
    </row>
    <row r="288" spans="2:7">
      <c r="B288" s="55"/>
      <c r="C288" s="33"/>
      <c r="D288" s="57"/>
      <c r="E288" s="58">
        <v>27.64</v>
      </c>
      <c r="F288" s="58"/>
      <c r="G288" s="33" t="s">
        <v>632</v>
      </c>
    </row>
    <row r="289" spans="2:7">
      <c r="B289" s="55"/>
      <c r="C289" s="33"/>
      <c r="D289" s="57">
        <v>6.49</v>
      </c>
      <c r="E289" s="58"/>
      <c r="F289" s="58"/>
      <c r="G289" s="33" t="s">
        <v>637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472</v>
      </c>
      <c r="D306" s="57">
        <v>10.81</v>
      </c>
      <c r="E306" s="58"/>
      <c r="F306" s="58"/>
      <c r="G306" s="33" t="s">
        <v>571</v>
      </c>
    </row>
    <row r="307" spans="2:7">
      <c r="B307" s="84"/>
      <c r="C307" s="66"/>
      <c r="D307" s="57">
        <v>49.56</v>
      </c>
      <c r="E307" s="58"/>
      <c r="F307" s="58"/>
      <c r="G307" s="33" t="s">
        <v>584</v>
      </c>
    </row>
    <row r="308" spans="2:7">
      <c r="B308" s="84"/>
      <c r="C308" s="66"/>
      <c r="D308" s="57">
        <v>9.1</v>
      </c>
      <c r="E308" s="58"/>
      <c r="F308" s="58"/>
      <c r="G308" s="33" t="s">
        <v>607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613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606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634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592</v>
      </c>
    </row>
    <row r="347" spans="2:7">
      <c r="B347" s="55">
        <v>30</v>
      </c>
      <c r="C347" s="33" t="s">
        <v>558</v>
      </c>
      <c r="D347" s="57">
        <v>83</v>
      </c>
      <c r="E347" s="58"/>
      <c r="F347" s="58"/>
      <c r="G347" s="33" t="s">
        <v>640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591</v>
      </c>
    </row>
    <row r="368" spans="2:7">
      <c r="B368" s="55"/>
      <c r="C368" s="33"/>
      <c r="D368" s="57">
        <v>5.78</v>
      </c>
      <c r="E368" s="58"/>
      <c r="F368" s="58"/>
      <c r="G368" s="33" t="s">
        <v>596</v>
      </c>
    </row>
    <row r="369" spans="2:7">
      <c r="B369" s="55"/>
      <c r="C369" s="33"/>
      <c r="D369" s="57">
        <v>15.01</v>
      </c>
      <c r="E369" s="58"/>
      <c r="F369" s="58"/>
      <c r="G369" s="33" t="s">
        <v>602</v>
      </c>
    </row>
    <row r="370" spans="2:7">
      <c r="B370" s="55"/>
      <c r="C370" s="33"/>
      <c r="D370" s="57">
        <v>3.78</v>
      </c>
      <c r="E370" s="58"/>
      <c r="F370" s="58"/>
      <c r="G370" s="33" t="s">
        <v>647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9" ht="15" customHeight="1" thickBot="1">
      <c r="B423" s="309"/>
      <c r="C423" s="310"/>
      <c r="D423" s="310"/>
      <c r="E423" s="310"/>
      <c r="F423" s="310"/>
      <c r="G423" s="311"/>
    </row>
    <row r="424" spans="2:9">
      <c r="B424" s="302" t="s">
        <v>10</v>
      </c>
      <c r="C424" s="303"/>
      <c r="D424" s="304" t="s">
        <v>11</v>
      </c>
      <c r="E424" s="304"/>
      <c r="F424" s="304"/>
      <c r="G424" s="303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651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484</v>
      </c>
      <c r="D466" s="57"/>
      <c r="E466" s="58"/>
      <c r="F466" s="58">
        <v>100</v>
      </c>
      <c r="G466" s="33" t="s">
        <v>581</v>
      </c>
      <c r="H466" s="137" t="s">
        <v>582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526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76" workbookViewId="0">
      <selection activeCell="B282" sqref="B282:G2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2339.39</v>
      </c>
      <c r="L5" s="317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</v>
      </c>
      <c r="L6" s="319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5618.33+399+8.39+28.86</f>
        <v>6054.58</v>
      </c>
      <c r="L7" s="319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v>260</v>
      </c>
      <c r="L11" s="319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686</v>
      </c>
      <c r="H12" s="163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23755.86</v>
      </c>
      <c r="L19" s="313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209.32</v>
      </c>
      <c r="L25" s="317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8">
        <v>550</v>
      </c>
      <c r="L26" s="319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688</v>
      </c>
      <c r="K27" s="318">
        <v>0.06</v>
      </c>
      <c r="L27" s="319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693</v>
      </c>
      <c r="K28" s="318">
        <v>201.21</v>
      </c>
      <c r="L28" s="319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704</v>
      </c>
      <c r="K29" s="318">
        <v>124</v>
      </c>
      <c r="L29" s="319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8"/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665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670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676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678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679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680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682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683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694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698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700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705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707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648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654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657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668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685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696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712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658</v>
      </c>
      <c r="D86" s="164">
        <v>2.4</v>
      </c>
      <c r="E86" s="224"/>
      <c r="F86" s="224"/>
      <c r="G86" s="33" t="s">
        <v>663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673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675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695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708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616</v>
      </c>
      <c r="D108" s="223">
        <v>50</v>
      </c>
      <c r="E108" s="224"/>
      <c r="F108" s="224"/>
      <c r="G108" s="73" t="s">
        <v>697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28.86</v>
      </c>
      <c r="E146" s="224"/>
      <c r="F146" s="224"/>
      <c r="G146" s="33" t="s">
        <v>649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684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595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>
        <v>45</v>
      </c>
      <c r="G186" s="33" t="s">
        <v>667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698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706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674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650</v>
      </c>
    </row>
    <row r="287" spans="2:7">
      <c r="B287" s="220">
        <v>-40</v>
      </c>
      <c r="C287" s="33" t="s">
        <v>594</v>
      </c>
      <c r="D287" s="223">
        <v>20.5</v>
      </c>
      <c r="E287" s="224"/>
      <c r="F287" s="224"/>
      <c r="G287" s="33" t="s">
        <v>664</v>
      </c>
    </row>
    <row r="288" spans="2:7">
      <c r="B288" s="220"/>
      <c r="C288" s="33"/>
      <c r="D288" s="223"/>
      <c r="E288" s="224">
        <v>11.99</v>
      </c>
      <c r="F288" s="224"/>
      <c r="G288" s="33" t="s">
        <v>677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472</v>
      </c>
      <c r="D306" s="223">
        <f>34.5+34.5</f>
        <v>69</v>
      </c>
      <c r="E306" s="224"/>
      <c r="F306" s="224"/>
      <c r="G306" s="33" t="s">
        <v>669</v>
      </c>
    </row>
    <row r="307" spans="2:7">
      <c r="B307" s="220"/>
      <c r="C307" s="66"/>
      <c r="D307" s="223">
        <v>38.39</v>
      </c>
      <c r="E307" s="224"/>
      <c r="F307" s="224"/>
      <c r="G307" s="33" t="s">
        <v>681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710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711</v>
      </c>
    </row>
    <row r="327" spans="2:7">
      <c r="B327" s="220">
        <v>0.06</v>
      </c>
      <c r="C327" s="33" t="s">
        <v>689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713</v>
      </c>
    </row>
    <row r="347" spans="2:7">
      <c r="B347" s="220">
        <v>30</v>
      </c>
      <c r="C347" s="33" t="s">
        <v>560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698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687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701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559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4" workbookViewId="0">
      <selection activeCell="B2" sqref="B2:G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2513.6799999999998</v>
      </c>
      <c r="L5" s="317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v>5258.31</v>
      </c>
      <c r="L7" s="319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f>380+60</f>
        <v>440</v>
      </c>
      <c r="L11" s="319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23313.940000000002</v>
      </c>
      <c r="L19" s="313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6">
        <f>15.31+20.31</f>
        <v>35.619999999999997</v>
      </c>
      <c r="L25" s="317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704</v>
      </c>
      <c r="K26" s="318">
        <v>340</v>
      </c>
      <c r="L26" s="319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8">
        <v>346.47</v>
      </c>
      <c r="L27" s="319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8">
        <v>190.53</v>
      </c>
      <c r="L28" s="319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8">
        <f>45.85+13.43+13.43</f>
        <v>72.710000000000008</v>
      </c>
      <c r="L29" s="319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8">
        <v>10.38</v>
      </c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715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719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721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724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725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726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732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728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733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739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740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745</v>
      </c>
      <c r="H57" s="1"/>
      <c r="M57" s="1"/>
      <c r="R57" s="3"/>
    </row>
    <row r="58" spans="1:18" ht="15.75">
      <c r="A58" s="1"/>
      <c r="B58" s="220"/>
      <c r="C58" s="33"/>
      <c r="D58" s="223">
        <v>15</v>
      </c>
      <c r="E58" s="224"/>
      <c r="F58" s="224"/>
      <c r="G58" s="33" t="s">
        <v>757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395.56999999999994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719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756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744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21</v>
      </c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96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658</v>
      </c>
      <c r="D86" s="164">
        <v>13.5</v>
      </c>
      <c r="E86" s="224"/>
      <c r="F86" s="224"/>
      <c r="G86" s="33" t="s">
        <v>716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717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718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735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749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751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616</v>
      </c>
      <c r="D108" s="223">
        <v>320.06</v>
      </c>
      <c r="E108" s="224"/>
      <c r="F108" s="224"/>
      <c r="G108" s="73" t="s">
        <v>720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615</v>
      </c>
      <c r="D109" s="223">
        <v>582.84</v>
      </c>
      <c r="E109" s="224"/>
      <c r="F109" s="224"/>
      <c r="G109" s="70" t="s">
        <v>738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14.56</v>
      </c>
      <c r="E146" s="224"/>
      <c r="F146" s="224"/>
      <c r="G146" s="33" t="s">
        <v>724</v>
      </c>
      <c r="H146" s="1"/>
      <c r="M146" s="1"/>
      <c r="R146" s="3"/>
    </row>
    <row r="147" spans="1:22" ht="15.75">
      <c r="A147" s="1"/>
      <c r="B147" s="220"/>
      <c r="C147" s="33"/>
      <c r="D147" s="223">
        <v>1.77</v>
      </c>
      <c r="E147" s="224"/>
      <c r="F147" s="224"/>
      <c r="G147" s="33" t="s">
        <v>757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16.330000000000002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>
        <f>27.61-E286</f>
        <v>20.61</v>
      </c>
      <c r="F186" s="224"/>
      <c r="G186" s="33" t="s">
        <v>729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730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737</v>
      </c>
    </row>
    <row r="189" spans="1:22">
      <c r="B189" s="220"/>
      <c r="C189" s="33"/>
      <c r="D189" s="223">
        <v>7</v>
      </c>
      <c r="E189" s="224"/>
      <c r="F189" s="224"/>
      <c r="G189" s="33" t="s">
        <v>745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752</v>
      </c>
    </row>
    <row r="191" spans="1:22">
      <c r="B191" s="220"/>
      <c r="C191" s="33"/>
      <c r="D191" s="223">
        <v>25.19</v>
      </c>
      <c r="E191" s="224"/>
      <c r="F191" s="224"/>
      <c r="G191" s="33" t="s">
        <v>753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8" ht="15" customHeight="1" thickBot="1">
      <c r="B203" s="294"/>
      <c r="C203" s="295"/>
      <c r="D203" s="295"/>
      <c r="E203" s="295"/>
      <c r="F203" s="295"/>
      <c r="G203" s="296"/>
    </row>
    <row r="204" spans="2:8">
      <c r="B204" s="302" t="s">
        <v>10</v>
      </c>
      <c r="C204" s="303"/>
      <c r="D204" s="304" t="s">
        <v>11</v>
      </c>
      <c r="E204" s="304"/>
      <c r="F204" s="304"/>
      <c r="G204" s="303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719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741</v>
      </c>
    </row>
    <row r="208" spans="2:8">
      <c r="B208" s="220"/>
      <c r="C208" s="33"/>
      <c r="D208" s="223">
        <v>18.27</v>
      </c>
      <c r="E208" s="224"/>
      <c r="F208" s="224"/>
      <c r="G208" s="33" t="s">
        <v>746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727</v>
      </c>
    </row>
    <row r="247" spans="2:7" ht="15" customHeight="1">
      <c r="B247" s="220"/>
      <c r="C247" s="33"/>
      <c r="D247" s="223">
        <f>77.4-D293-D368-D147-D58</f>
        <v>40.630000000000003</v>
      </c>
      <c r="E247" s="224"/>
      <c r="F247" s="224"/>
      <c r="G247" s="33" t="s">
        <v>757</v>
      </c>
    </row>
    <row r="248" spans="2:7">
      <c r="B248" s="220"/>
      <c r="C248" s="33"/>
      <c r="D248" s="223"/>
      <c r="E248" s="224">
        <v>73.14</v>
      </c>
      <c r="F248" s="224"/>
      <c r="G248" s="33" t="s">
        <v>758</v>
      </c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75.63</v>
      </c>
      <c r="E260" s="221">
        <f>SUM(E246:E259)</f>
        <v>73.14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729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742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743</v>
      </c>
    </row>
    <row r="289" spans="2:7">
      <c r="B289" s="220"/>
      <c r="C289" s="33"/>
      <c r="D289" s="223">
        <v>10</v>
      </c>
      <c r="E289" s="224"/>
      <c r="F289" s="224"/>
      <c r="G289" s="33" t="s">
        <v>745</v>
      </c>
    </row>
    <row r="290" spans="2:7">
      <c r="B290" s="220"/>
      <c r="C290" s="33"/>
      <c r="D290" s="223">
        <v>29.64</v>
      </c>
      <c r="E290" s="224"/>
      <c r="F290" s="224"/>
      <c r="G290" s="33" t="s">
        <v>747</v>
      </c>
    </row>
    <row r="291" spans="2:7">
      <c r="B291" s="220"/>
      <c r="C291" s="33"/>
      <c r="D291" s="223"/>
      <c r="E291" s="224">
        <v>55</v>
      </c>
      <c r="F291" s="224"/>
      <c r="G291" s="33" t="s">
        <v>748</v>
      </c>
    </row>
    <row r="292" spans="2:7">
      <c r="B292" s="220"/>
      <c r="C292" s="33"/>
      <c r="D292" s="223">
        <v>13.48</v>
      </c>
      <c r="E292" s="224"/>
      <c r="F292" s="224"/>
      <c r="G292" s="33" t="s">
        <v>755</v>
      </c>
    </row>
    <row r="293" spans="2:7">
      <c r="B293" s="220"/>
      <c r="C293" s="33"/>
      <c r="D293" s="223">
        <v>15</v>
      </c>
      <c r="E293" s="224"/>
      <c r="F293" s="224"/>
      <c r="G293" s="33" t="s">
        <v>757</v>
      </c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135.19999999999999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16.22</v>
      </c>
      <c r="E306" s="224"/>
      <c r="F306" s="224"/>
      <c r="G306" s="33" t="s">
        <v>722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731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734</v>
      </c>
    </row>
    <row r="327" spans="2:7">
      <c r="B327" s="220"/>
      <c r="C327" s="33"/>
      <c r="D327" s="223">
        <v>37</v>
      </c>
      <c r="E327" s="224"/>
      <c r="F327" s="224"/>
      <c r="G327" s="33" t="s">
        <v>736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587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723</v>
      </c>
    </row>
    <row r="368" spans="2:7">
      <c r="B368" s="220"/>
      <c r="C368" s="33"/>
      <c r="D368" s="223">
        <v>5</v>
      </c>
      <c r="E368" s="224"/>
      <c r="F368" s="224"/>
      <c r="G368" s="33" t="s">
        <v>757</v>
      </c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19.55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50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633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>
        <v>318.27999999999997</v>
      </c>
      <c r="N3" s="1" t="s">
        <v>760</v>
      </c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>
        <f>22.5+46.5+10.4+35</f>
        <v>114.4</v>
      </c>
      <c r="N4" s="1" t="s">
        <v>761</v>
      </c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6">
        <f>2581.3-73.14-485.64</f>
        <v>2022.5200000000004</v>
      </c>
      <c r="L5" s="317"/>
      <c r="M5" s="1">
        <f>600.04-M4-M3</f>
        <v>167.36</v>
      </c>
      <c r="N5" s="1" t="s">
        <v>754</v>
      </c>
      <c r="R5" s="3"/>
    </row>
    <row r="6" spans="1:22" ht="15.75">
      <c r="A6" s="163">
        <f>'11'!A6+B6-E6</f>
        <v>405.59</v>
      </c>
      <c r="B6" s="219">
        <v>399.59</v>
      </c>
      <c r="C6" s="36" t="s">
        <v>583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5476.11-77.4</f>
        <v>5398.71</v>
      </c>
      <c r="L7" s="319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'11'!A9+B9-E9</f>
        <v>0</v>
      </c>
      <c r="B9" s="220">
        <v>34.53</v>
      </c>
      <c r="C9" s="33" t="s">
        <v>40</v>
      </c>
      <c r="D9" s="223"/>
      <c r="E9" s="224">
        <v>34.53</v>
      </c>
      <c r="F9" s="224"/>
      <c r="G9" s="33" t="s">
        <v>40</v>
      </c>
      <c r="H9" s="1"/>
      <c r="I9" s="159" t="s">
        <v>76</v>
      </c>
      <c r="J9" s="158" t="s">
        <v>267</v>
      </c>
      <c r="K9" s="318">
        <v>695.39</v>
      </c>
      <c r="L9" s="319"/>
      <c r="M9" s="1"/>
      <c r="N9" s="1"/>
      <c r="R9" s="3"/>
    </row>
    <row r="10" spans="1:22" ht="15.75">
      <c r="A10" s="163">
        <f>'11'!A10+B10-E10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8">
        <f>345+30-3.4-21</f>
        <v>350.6</v>
      </c>
      <c r="L11" s="319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22909.4</v>
      </c>
      <c r="L19" s="313"/>
      <c r="M19" s="1"/>
      <c r="N19" s="1"/>
      <c r="R19" s="3"/>
    </row>
    <row r="20" spans="1:18" ht="16.5" thickBot="1">
      <c r="A20" s="163">
        <f>SUM(A6:A15)</f>
        <v>775.19</v>
      </c>
      <c r="B20" s="221">
        <f>SUM(B6:B19)</f>
        <v>578.53</v>
      </c>
      <c r="C20" s="34" t="s">
        <v>66</v>
      </c>
      <c r="D20" s="221">
        <f>SUM(D6:D19)</f>
        <v>0</v>
      </c>
      <c r="E20" s="221">
        <f>SUM(E6:E19)</f>
        <v>46.53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16017.28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269.67</v>
      </c>
      <c r="L25" s="317"/>
      <c r="M25" s="1"/>
      <c r="R25" s="3"/>
    </row>
    <row r="26" spans="1:18" ht="15.75">
      <c r="A26" s="163">
        <f>'11'!A26+B26-D26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1</v>
      </c>
      <c r="J26" s="35" t="s">
        <v>768</v>
      </c>
      <c r="K26" s="318">
        <v>186.99</v>
      </c>
      <c r="L26" s="319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5</v>
      </c>
      <c r="J27" s="35" t="s">
        <v>780</v>
      </c>
      <c r="K27" s="318">
        <v>318.27999999999997</v>
      </c>
      <c r="L27" s="319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763</v>
      </c>
      <c r="K28" s="318">
        <v>128</v>
      </c>
      <c r="L28" s="319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>
        <v>8</v>
      </c>
      <c r="J29" s="35" t="s">
        <v>764</v>
      </c>
      <c r="K29" s="318">
        <v>584.53</v>
      </c>
      <c r="L29" s="319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8"/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1834.75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442</v>
      </c>
      <c r="C46" s="36"/>
      <c r="D46" s="223">
        <f>86.28</f>
        <v>86.28</v>
      </c>
      <c r="E46" s="224"/>
      <c r="F46" s="224"/>
      <c r="G46" s="69" t="s">
        <v>774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f>22.16</f>
        <v>22.16</v>
      </c>
      <c r="E47" s="224"/>
      <c r="F47" s="224"/>
      <c r="G47" s="33" t="s">
        <v>775</v>
      </c>
      <c r="H47" s="1"/>
      <c r="M47" s="1"/>
      <c r="R47" s="3"/>
    </row>
    <row r="48" spans="1:18" ht="15.75">
      <c r="A48" s="1"/>
      <c r="B48" s="220"/>
      <c r="C48" s="33"/>
      <c r="D48" s="223">
        <v>71.94</v>
      </c>
      <c r="E48" s="224"/>
      <c r="F48" s="224"/>
      <c r="G48" s="33" t="s">
        <v>776</v>
      </c>
      <c r="H48" s="1"/>
      <c r="M48" s="1"/>
      <c r="R48" s="3"/>
    </row>
    <row r="49" spans="1:18" ht="15.75">
      <c r="A49" s="1"/>
      <c r="B49" s="220"/>
      <c r="C49" s="33"/>
      <c r="D49" s="223">
        <f>21.75-D146</f>
        <v>16.87</v>
      </c>
      <c r="E49" s="224"/>
      <c r="F49" s="224"/>
      <c r="G49" s="33" t="s">
        <v>777</v>
      </c>
      <c r="H49" s="1"/>
      <c r="M49" s="1"/>
      <c r="R49" s="3"/>
    </row>
    <row r="50" spans="1:18" ht="15.75">
      <c r="A50" s="1"/>
      <c r="B50" s="220"/>
      <c r="C50" s="33"/>
      <c r="D50" s="223">
        <v>23.56</v>
      </c>
      <c r="E50" s="224"/>
      <c r="F50" s="224"/>
      <c r="G50" s="33" t="s">
        <v>778</v>
      </c>
      <c r="H50" s="1"/>
      <c r="M50" s="1"/>
      <c r="R50" s="3"/>
    </row>
    <row r="51" spans="1:18" ht="15.75">
      <c r="A51" s="1"/>
      <c r="B51" s="220"/>
      <c r="C51" s="33"/>
      <c r="D51" s="223">
        <f>51.06-D147</f>
        <v>19.96</v>
      </c>
      <c r="E51" s="224"/>
      <c r="F51" s="224"/>
      <c r="G51" s="33" t="s">
        <v>785</v>
      </c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470</v>
      </c>
      <c r="C60" s="34" t="s">
        <v>66</v>
      </c>
      <c r="D60" s="221">
        <f>SUM(D46:D59)</f>
        <v>240.77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66.400000000000006</v>
      </c>
      <c r="E66" s="224"/>
      <c r="F66" s="224"/>
      <c r="G66" s="36" t="s">
        <v>781</v>
      </c>
      <c r="H66" s="1"/>
      <c r="M66" s="1"/>
      <c r="R66" s="3"/>
    </row>
    <row r="67" spans="1:18" ht="15.75">
      <c r="A67" s="1"/>
      <c r="B67" s="220">
        <v>5</v>
      </c>
      <c r="C67" s="33"/>
      <c r="D67" s="223"/>
      <c r="E67" s="224"/>
      <c r="F67" s="224">
        <v>11.34</v>
      </c>
      <c r="G67" s="70" t="s">
        <v>770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>
        <v>18</v>
      </c>
      <c r="G68" s="33" t="s">
        <v>769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155</v>
      </c>
      <c r="C80" s="34" t="s">
        <v>66</v>
      </c>
      <c r="D80" s="221">
        <f>SUM(D66:D79)</f>
        <v>66.400000000000006</v>
      </c>
      <c r="E80" s="221">
        <f>SUM(E66:E79)</f>
        <v>0</v>
      </c>
      <c r="F80" s="221">
        <f>SUM(F66:F79)</f>
        <v>29.34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175</v>
      </c>
      <c r="C86" s="36" t="s">
        <v>658</v>
      </c>
      <c r="D86" s="223">
        <v>45.01</v>
      </c>
      <c r="E86" s="224"/>
      <c r="F86" s="224"/>
      <c r="G86" s="33" t="s">
        <v>772</v>
      </c>
      <c r="H86" s="1"/>
      <c r="M86" s="1"/>
      <c r="R86" s="3"/>
    </row>
    <row r="87" spans="1:18" ht="15.75">
      <c r="A87" s="1"/>
      <c r="B87" s="220"/>
      <c r="C87" s="33"/>
      <c r="D87" s="223">
        <v>14.4</v>
      </c>
      <c r="E87" s="224"/>
      <c r="F87" s="224"/>
      <c r="G87" s="33" t="s">
        <v>771</v>
      </c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175</v>
      </c>
      <c r="C100" s="34" t="s">
        <v>66</v>
      </c>
      <c r="D100" s="221">
        <f>SUM(D86:D99)</f>
        <v>59.41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1.3900000000000148</v>
      </c>
      <c r="B107" s="220">
        <v>69</v>
      </c>
      <c r="C107" s="35" t="s">
        <v>56</v>
      </c>
      <c r="D107" s="223">
        <v>68.91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616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2782.0300000000007</v>
      </c>
      <c r="B109" s="220">
        <v>27.53</v>
      </c>
      <c r="C109" s="35" t="s">
        <v>672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198.48999999999992</v>
      </c>
      <c r="B120" s="221">
        <f>SUM(B106:B119)</f>
        <v>405</v>
      </c>
      <c r="C120" s="34" t="s">
        <v>66</v>
      </c>
      <c r="D120" s="221">
        <f>SUM(D106:D119)</f>
        <v>327.38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8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8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f>4.88</f>
        <v>4.88</v>
      </c>
      <c r="E146" s="224"/>
      <c r="F146" s="224"/>
      <c r="G146" s="33" t="s">
        <v>777</v>
      </c>
      <c r="H146" s="1"/>
      <c r="M146" s="1"/>
      <c r="R146" s="3"/>
    </row>
    <row r="147" spans="1:22" ht="15.75">
      <c r="A147" s="1"/>
      <c r="B147" s="220"/>
      <c r="C147" s="33"/>
      <c r="D147" s="223">
        <f>14.43+16.67</f>
        <v>31.1</v>
      </c>
      <c r="E147" s="224"/>
      <c r="F147" s="224"/>
      <c r="G147" s="33" t="s">
        <v>785</v>
      </c>
      <c r="H147" s="1"/>
      <c r="M147" s="1"/>
      <c r="R147" s="3"/>
    </row>
    <row r="148" spans="1:22" ht="15.75">
      <c r="A148" s="1"/>
      <c r="B148" s="220"/>
      <c r="C148" s="33"/>
      <c r="D148" s="223">
        <v>30.85</v>
      </c>
      <c r="E148" s="224"/>
      <c r="F148" s="224"/>
      <c r="G148" s="33" t="s">
        <v>786</v>
      </c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66.830000000000013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318.27999999999997</v>
      </c>
      <c r="C167" s="33" t="s">
        <v>762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518.28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>
        <v>19.989999999999998</v>
      </c>
      <c r="E186" s="224"/>
      <c r="F186" s="224"/>
      <c r="G186" s="33" t="s">
        <v>783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13</v>
      </c>
      <c r="E187" s="224"/>
      <c r="F187" s="224"/>
      <c r="G187" s="33" t="s">
        <v>784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32.989999999999995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 t="s">
        <v>759</v>
      </c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>
        <v>5</v>
      </c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55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>
        <v>80</v>
      </c>
      <c r="E286" s="224"/>
      <c r="F286" s="224"/>
      <c r="G286" s="33" t="s">
        <v>773</v>
      </c>
    </row>
    <row r="287" spans="2:7">
      <c r="B287" s="220"/>
      <c r="C287" s="33"/>
      <c r="D287" s="223">
        <v>29</v>
      </c>
      <c r="E287" s="224"/>
      <c r="F287" s="224"/>
      <c r="G287" s="33" t="s">
        <v>782</v>
      </c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109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8.6999999999999993</v>
      </c>
      <c r="E306" s="224"/>
      <c r="F306" s="224"/>
      <c r="G306" s="33" t="s">
        <v>779</v>
      </c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8.6999999999999993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642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5.39</f>
        <v>5.39</v>
      </c>
      <c r="E366" s="224"/>
      <c r="F366" s="224">
        <f>2.8+4.5+3.7</f>
        <v>11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5.39</v>
      </c>
      <c r="E380" s="221">
        <f>SUM(E366:E379)</f>
        <v>0</v>
      </c>
      <c r="F380" s="221">
        <f>SUM(F366:F379)</f>
        <v>11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f>3900+34.53+318.28</f>
        <v>4252.8100000000004</v>
      </c>
      <c r="B426" s="220">
        <f>'2018'!AU17 -A426</f>
        <v>-2669.5400000000004</v>
      </c>
      <c r="C426" s="36" t="s">
        <v>635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-2669.5400000000004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609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610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531</v>
      </c>
      <c r="B3" s="165">
        <f>Historico!I24</f>
        <v>43556</v>
      </c>
      <c r="D3" s="92"/>
      <c r="E3" s="93"/>
    </row>
    <row r="4" spans="1:13" ht="12.75" customHeight="1">
      <c r="A4" t="s">
        <v>530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597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5" sqref="E15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E15" t="s">
        <v>194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8907.0300000000007</v>
      </c>
      <c r="I63" s="170">
        <f>H63-D62</f>
        <v>-579.88999999998123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M28" sqref="M28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586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507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623</v>
      </c>
      <c r="B51" t="s">
        <v>413</v>
      </c>
    </row>
    <row r="52" spans="1:2">
      <c r="A52" t="s">
        <v>662</v>
      </c>
      <c r="B52" t="s">
        <v>661</v>
      </c>
    </row>
    <row r="53" spans="1:2">
      <c r="A53" t="s">
        <v>691</v>
      </c>
      <c r="B5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1462.46</v>
      </c>
      <c r="L5" s="300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423.18</v>
      </c>
      <c r="L6" s="290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7102.9</v>
      </c>
      <c r="L7" s="290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1250</v>
      </c>
      <c r="L8" s="290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9">
        <v>100.34</v>
      </c>
      <c r="L9" s="290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9">
        <f>5007.8</f>
        <v>5007.8</v>
      </c>
      <c r="L10" s="290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9">
        <v>1566.09</v>
      </c>
      <c r="L11" s="290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9">
        <v>1800</v>
      </c>
      <c r="L12" s="290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9">
        <f>75+20+95</f>
        <v>190</v>
      </c>
      <c r="L13" s="290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SUM(K5:K18)-K11</f>
        <v>17336.68</v>
      </c>
      <c r="L19" s="306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9">
        <v>1.01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9">
        <v>0.04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9">
        <v>2831.41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9">
        <v>72.66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9">
        <v>93.93</v>
      </c>
      <c r="L29" s="290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9">
        <v>700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9">
        <v>50</v>
      </c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9">
        <v>229.4</v>
      </c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9">
        <v>0.05</v>
      </c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9">
        <v>1566.27</v>
      </c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9">
        <v>449</v>
      </c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9">
        <v>314.12</v>
      </c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8" ht="15" customHeight="1" thickBot="1">
      <c r="B303" s="294"/>
      <c r="C303" s="295"/>
      <c r="D303" s="295"/>
      <c r="E303" s="295"/>
      <c r="F303" s="295"/>
      <c r="G303" s="296"/>
    </row>
    <row r="304" spans="2:8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2:7" ht="15" customHeight="1" thickBot="1">
      <c r="B423" s="294"/>
      <c r="C423" s="295"/>
      <c r="D423" s="295"/>
      <c r="E423" s="295"/>
      <c r="F423" s="295"/>
      <c r="G423" s="296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292"/>
      <c r="D442" s="292"/>
      <c r="E442" s="292"/>
      <c r="F442" s="292"/>
      <c r="G442" s="293"/>
    </row>
    <row r="443" spans="2:7" ht="15" customHeight="1" thickBot="1">
      <c r="B443" s="294"/>
      <c r="C443" s="295"/>
      <c r="D443" s="295"/>
      <c r="E443" s="295"/>
      <c r="F443" s="295"/>
      <c r="G443" s="296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292"/>
      <c r="D462" s="292"/>
      <c r="E462" s="292"/>
      <c r="F462" s="292"/>
      <c r="G462" s="293"/>
    </row>
    <row r="463" spans="2:7" ht="15" customHeight="1" thickBot="1">
      <c r="B463" s="294"/>
      <c r="C463" s="295"/>
      <c r="D463" s="295"/>
      <c r="E463" s="295"/>
      <c r="F463" s="295"/>
      <c r="G463" s="296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292"/>
      <c r="D482" s="292"/>
      <c r="E482" s="292"/>
      <c r="F482" s="292"/>
      <c r="G482" s="293"/>
    </row>
    <row r="483" spans="2:7" ht="15" customHeight="1" thickBot="1">
      <c r="B483" s="294"/>
      <c r="C483" s="295"/>
      <c r="D483" s="295"/>
      <c r="E483" s="295"/>
      <c r="F483" s="295"/>
      <c r="G483" s="296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292"/>
      <c r="D502" s="292"/>
      <c r="E502" s="292"/>
      <c r="F502" s="292"/>
      <c r="G502" s="293"/>
    </row>
    <row r="503" spans="2:7" ht="15" customHeight="1" thickBot="1">
      <c r="B503" s="294"/>
      <c r="C503" s="295"/>
      <c r="D503" s="295"/>
      <c r="E503" s="295"/>
      <c r="F503" s="295"/>
      <c r="G503" s="296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1295.79</v>
      </c>
      <c r="L5" s="300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379.61</v>
      </c>
      <c r="L6" s="290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7271.78</v>
      </c>
      <c r="L7" s="290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9">
        <v>9090.56</v>
      </c>
      <c r="L8" s="290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69.22</v>
      </c>
      <c r="L9" s="290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290+20</f>
        <v>310</v>
      </c>
      <c r="L11" s="290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9"/>
      <c r="L12" s="290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20217</v>
      </c>
      <c r="L19" s="306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9">
        <v>176.46</v>
      </c>
      <c r="L25" s="29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9">
        <v>47.52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9">
        <v>93.93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9">
        <v>447.43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9">
        <v>1638.24</v>
      </c>
      <c r="L29" s="290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1852.76</v>
      </c>
      <c r="L5" s="300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335.99</v>
      </c>
      <c r="L6" s="290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9">
        <v>7882.01</v>
      </c>
      <c r="L7" s="290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3390.56</v>
      </c>
      <c r="L8" s="290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30+40+170</f>
        <v>240</v>
      </c>
      <c r="L11" s="290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21214.57</v>
      </c>
      <c r="L19" s="306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259.36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9">
        <v>176.46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1117.3699999999999</v>
      </c>
      <c r="L5" s="300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292.37</v>
      </c>
      <c r="L6" s="290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9">
        <f>6685.64-16.84-6.88</f>
        <v>6661.92</v>
      </c>
      <c r="L7" s="290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90+30+15</f>
        <v>135</v>
      </c>
      <c r="L11" s="290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20719.909999999996</v>
      </c>
      <c r="L19" s="306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249.22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197.22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9">
        <v>2290.23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9">
        <v>80.099999999999994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9">
        <v>0.03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9">
        <v>325.64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1091.18</v>
      </c>
      <c r="L5" s="300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248.78</v>
      </c>
      <c r="L6" s="290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9">
        <v>8736.65</v>
      </c>
      <c r="L7" s="290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40+276</f>
        <v>316</v>
      </c>
      <c r="L11" s="290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22905.86</v>
      </c>
      <c r="L19" s="306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9">
        <v>38.64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9">
        <v>249.22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9">
        <v>155.69999999999999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2311.09</v>
      </c>
      <c r="L5" s="300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205.16</v>
      </c>
      <c r="L6" s="290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6999</v>
      </c>
      <c r="L7" s="290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465+90</f>
        <v>555</v>
      </c>
      <c r="L11" s="290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23622.14</v>
      </c>
      <c r="L19" s="306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9">
        <v>197.22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9">
        <v>200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446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441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442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443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448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440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447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2946.37</v>
      </c>
      <c r="L5" s="300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161.54</v>
      </c>
      <c r="L6" s="290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7451.76</v>
      </c>
      <c r="L7" s="290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v>800</v>
      </c>
      <c r="L11" s="290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462</v>
      </c>
      <c r="H12" s="1"/>
      <c r="I12" s="159" t="s">
        <v>303</v>
      </c>
      <c r="J12" s="158" t="s">
        <v>304</v>
      </c>
      <c r="K12" s="289">
        <v>5092.08</v>
      </c>
      <c r="L12" s="290"/>
      <c r="M12" s="140" t="s">
        <v>455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463</v>
      </c>
      <c r="D16" s="57"/>
      <c r="E16" s="58"/>
      <c r="F16" s="58">
        <v>60</v>
      </c>
      <c r="G16" s="33" t="s">
        <v>463</v>
      </c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24911.559999999998</v>
      </c>
      <c r="L19" s="306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465</v>
      </c>
      <c r="K25" s="299">
        <v>134.94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473</v>
      </c>
      <c r="K26" s="289">
        <v>83.04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9">
        <v>786.42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511</v>
      </c>
      <c r="K28" s="289">
        <v>26.77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515</v>
      </c>
      <c r="K29" s="289">
        <v>0.02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469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461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477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480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497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500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510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458</v>
      </c>
      <c r="H66" s="1"/>
      <c r="M66" s="1"/>
      <c r="R66" s="3"/>
    </row>
    <row r="67" spans="1:18" ht="15.75">
      <c r="A67" s="1"/>
      <c r="B67" s="55">
        <v>71</v>
      </c>
      <c r="C67" s="33" t="s">
        <v>445</v>
      </c>
      <c r="D67" s="57">
        <f>25.75</f>
        <v>25.75</v>
      </c>
      <c r="E67" s="58"/>
      <c r="F67" s="58">
        <v>1</v>
      </c>
      <c r="G67" s="70" t="s">
        <v>459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470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479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483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485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508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464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449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452</v>
      </c>
    </row>
    <row r="189" spans="1:22">
      <c r="B189" s="55"/>
      <c r="C189" s="33"/>
      <c r="D189" s="57">
        <v>5.99</v>
      </c>
      <c r="E189" s="58"/>
      <c r="F189" s="58"/>
      <c r="G189" s="33" t="s">
        <v>498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501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495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8" ht="15" customHeight="1" thickBot="1">
      <c r="B243" s="294"/>
      <c r="C243" s="295"/>
      <c r="D243" s="295"/>
      <c r="E243" s="295"/>
      <c r="F243" s="295"/>
      <c r="G243" s="296"/>
    </row>
    <row r="244" spans="2:8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471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478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502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505</v>
      </c>
    </row>
    <row r="250" spans="2:8">
      <c r="B250" s="55"/>
      <c r="C250" s="33"/>
      <c r="D250" s="57">
        <v>271.56</v>
      </c>
      <c r="E250" s="58"/>
      <c r="F250" s="58"/>
      <c r="G250" s="33" t="s">
        <v>509</v>
      </c>
    </row>
    <row r="251" spans="2:8">
      <c r="B251" s="55"/>
      <c r="C251" s="33"/>
      <c r="D251" s="57">
        <v>14.06</v>
      </c>
      <c r="E251" s="58"/>
      <c r="F251" s="58"/>
      <c r="G251" s="33" t="s">
        <v>512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450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492</v>
      </c>
    </row>
    <row r="288" spans="2:7">
      <c r="B288" s="55"/>
      <c r="C288" s="33"/>
      <c r="D288" s="57">
        <v>10</v>
      </c>
      <c r="E288" s="58"/>
      <c r="F288" s="58"/>
      <c r="G288" s="33" t="s">
        <v>494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503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504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460</v>
      </c>
    </row>
    <row r="308" spans="2:7">
      <c r="B308" s="84"/>
      <c r="C308" s="66"/>
      <c r="D308" s="57">
        <v>42.55</v>
      </c>
      <c r="E308" s="58"/>
      <c r="F308" s="58"/>
      <c r="G308" s="33" t="s">
        <v>481</v>
      </c>
    </row>
    <row r="309" spans="2:7">
      <c r="B309" s="55"/>
      <c r="C309" s="33"/>
      <c r="D309" s="57" t="s">
        <v>482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456</v>
      </c>
    </row>
    <row r="327" spans="2:7">
      <c r="B327" s="55"/>
      <c r="C327" s="33"/>
      <c r="D327" s="57"/>
      <c r="E327" s="58">
        <v>120.56</v>
      </c>
      <c r="F327" s="58"/>
      <c r="G327" s="33" t="s">
        <v>488</v>
      </c>
    </row>
    <row r="328" spans="2:7">
      <c r="B328" s="55"/>
      <c r="C328" s="33"/>
      <c r="D328" s="57">
        <v>12.25</v>
      </c>
      <c r="E328" s="58"/>
      <c r="F328" s="58"/>
      <c r="G328" s="33" t="s">
        <v>499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475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489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490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491</v>
      </c>
    </row>
    <row r="507" spans="2:7">
      <c r="B507" s="55"/>
      <c r="C507" s="33"/>
      <c r="D507" s="57"/>
      <c r="E507" s="58">
        <v>11.27</v>
      </c>
      <c r="F507" s="58"/>
      <c r="G507" s="33" t="s">
        <v>493</v>
      </c>
    </row>
    <row r="508" spans="2:7">
      <c r="B508" s="55"/>
      <c r="C508" s="33"/>
      <c r="D508" s="57"/>
      <c r="E508" s="58">
        <v>49</v>
      </c>
      <c r="F508" s="58"/>
      <c r="G508" s="33" t="s">
        <v>516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f>2534.79-49</f>
        <v>2485.79</v>
      </c>
      <c r="L5" s="300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6661.07</v>
      </c>
      <c r="L7" s="290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220+20</f>
        <v>240</v>
      </c>
      <c r="L11" s="290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467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463</v>
      </c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24488.75</v>
      </c>
      <c r="L19" s="306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517</v>
      </c>
      <c r="K25" s="299">
        <v>269.88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526</v>
      </c>
      <c r="K26" s="289">
        <v>49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532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519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520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523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524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535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537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542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544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545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546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566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565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564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518</v>
      </c>
      <c r="H66" s="1"/>
      <c r="M66" s="1"/>
      <c r="R66" s="3"/>
    </row>
    <row r="67" spans="1:18" ht="15.75">
      <c r="A67" s="1"/>
      <c r="B67" s="55">
        <v>106.3</v>
      </c>
      <c r="C67" s="33" t="s">
        <v>486</v>
      </c>
      <c r="D67" s="57">
        <f>22.8</f>
        <v>22.8</v>
      </c>
      <c r="E67" s="58"/>
      <c r="F67" s="58">
        <v>3</v>
      </c>
      <c r="G67" s="70" t="s">
        <v>529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528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540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552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547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556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525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549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554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555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561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>
        <v>31.56</v>
      </c>
      <c r="E146" s="58"/>
      <c r="F146" s="58"/>
      <c r="G146" s="33" t="s">
        <v>533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534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535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542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513</v>
      </c>
      <c r="D187" s="57">
        <v>19</v>
      </c>
      <c r="E187" s="58"/>
      <c r="F187" s="58"/>
      <c r="G187" s="33" t="s">
        <v>551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521</v>
      </c>
    </row>
    <row r="207" spans="2:7">
      <c r="B207" s="55"/>
      <c r="C207" s="33"/>
      <c r="D207" s="57">
        <v>40.15</v>
      </c>
      <c r="E207" s="58"/>
      <c r="F207" s="58"/>
      <c r="G207" s="33" t="s">
        <v>538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550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514</v>
      </c>
      <c r="D246" s="57">
        <v>12.46</v>
      </c>
      <c r="E246" s="58"/>
      <c r="F246" s="58"/>
      <c r="G246" s="33" t="s">
        <v>522</v>
      </c>
    </row>
    <row r="247" spans="2:7" ht="15" customHeight="1">
      <c r="B247" s="55">
        <v>566.59</v>
      </c>
      <c r="C247" s="33" t="s">
        <v>513</v>
      </c>
      <c r="D247" s="57">
        <f>34.65-D286-D147</f>
        <v>23.169999999999998</v>
      </c>
      <c r="E247" s="58"/>
      <c r="F247" s="58"/>
      <c r="G247" s="33" t="s">
        <v>534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514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536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472</v>
      </c>
      <c r="D306" s="57">
        <v>125</v>
      </c>
      <c r="E306" s="58"/>
      <c r="F306" s="58"/>
      <c r="G306" s="33" t="s">
        <v>562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514</v>
      </c>
      <c r="D326" s="57">
        <v>4.3499999999999996</v>
      </c>
      <c r="E326" s="58"/>
      <c r="F326" s="58"/>
      <c r="G326" s="33" t="s">
        <v>557</v>
      </c>
    </row>
    <row r="327" spans="2:7">
      <c r="B327" s="55">
        <v>0.02</v>
      </c>
      <c r="C327" s="33" t="s">
        <v>515</v>
      </c>
      <c r="D327" s="57"/>
      <c r="E327" s="58"/>
      <c r="F327" s="58"/>
      <c r="G327" s="33"/>
    </row>
    <row r="328" spans="2:7">
      <c r="B328" s="55">
        <v>241.71</v>
      </c>
      <c r="C328" s="33" t="s">
        <v>513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474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511</v>
      </c>
      <c r="D367" s="57">
        <v>40.49</v>
      </c>
      <c r="E367" s="58"/>
      <c r="F367" s="58"/>
      <c r="G367" s="70" t="s">
        <v>539</v>
      </c>
    </row>
    <row r="368" spans="2:7">
      <c r="B368" s="55"/>
      <c r="C368" s="33"/>
      <c r="D368" s="57"/>
      <c r="E368" s="58">
        <v>57.65</v>
      </c>
      <c r="F368" s="58"/>
      <c r="G368" s="33" t="s">
        <v>541</v>
      </c>
    </row>
    <row r="369" spans="2:7">
      <c r="B369" s="55"/>
      <c r="C369" s="33"/>
      <c r="D369" s="57"/>
      <c r="E369" s="58"/>
      <c r="F369" s="58">
        <v>2.85</v>
      </c>
      <c r="G369" s="33" t="s">
        <v>553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484</v>
      </c>
      <c r="D466" s="57"/>
      <c r="E466" s="58"/>
      <c r="F466" s="58"/>
      <c r="G466" s="33"/>
    </row>
    <row r="467" spans="2:7">
      <c r="B467" s="55">
        <v>285</v>
      </c>
      <c r="C467" s="33" t="s">
        <v>467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2018-12-13T16:41:09Z</dcterms:modified>
</cp:coreProperties>
</file>