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6C087FC5-77F6-490D-AB11-B0E89793393D}" xr6:coauthVersionLast="36" xr6:coauthVersionMax="36" xr10:uidLastSave="{00000000-0000-0000-0000-000000000000}"/>
  <bookViews>
    <workbookView xWindow="0" yWindow="0" windowWidth="27336" windowHeight="579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8" l="1"/>
  <c r="B258" i="8"/>
  <c r="B49" i="8"/>
  <c r="A26" i="9" l="1"/>
  <c r="A79" i="9"/>
  <c r="A66" i="9"/>
  <c r="F366" i="8"/>
  <c r="D206" i="8"/>
  <c r="P32" i="18"/>
  <c r="A80" i="9" l="1"/>
  <c r="A66" i="7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A129" i="8"/>
  <c r="A127" i="8"/>
  <c r="A126" i="8"/>
  <c r="A79" i="8"/>
  <c r="A66" i="8"/>
  <c r="Z79" i="1"/>
  <c r="Z80" i="1"/>
  <c r="Z81" i="1"/>
  <c r="Z78" i="1"/>
  <c r="E268" i="7"/>
  <c r="D248" i="7"/>
  <c r="D368" i="7"/>
  <c r="A258" i="8"/>
  <c r="A256" i="8"/>
  <c r="A140" i="8" l="1"/>
  <c r="A80" i="8"/>
  <c r="F267" i="7" l="1"/>
  <c r="D51" i="7" l="1"/>
  <c r="D367" i="7"/>
  <c r="D366" i="7"/>
  <c r="D89" i="7"/>
  <c r="H289" i="7" l="1"/>
  <c r="E287" i="7"/>
  <c r="A258" i="7" l="1"/>
  <c r="A260" i="6"/>
  <c r="A256" i="7"/>
  <c r="A257" i="7"/>
  <c r="A257" i="8" s="1"/>
  <c r="A257" i="6" l="1"/>
  <c r="E257" i="6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K5" i="7"/>
  <c r="D226" i="6"/>
  <c r="M5" i="7"/>
  <c r="D308" i="6" l="1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S19" i="18" s="1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I4" i="18" l="1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A109" i="6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l="1"/>
  <c r="A246" i="8"/>
  <c r="A260" i="8" s="1"/>
  <c r="A468" i="5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  <c r="A40" i="9"/>
  <c r="A40" i="11"/>
  <c r="A40" i="10"/>
  <c r="A26" i="10"/>
  <c r="A26" i="11"/>
  <c r="A26" i="12" s="1"/>
  <c r="A40" i="12" l="1"/>
  <c r="A26" i="13"/>
  <c r="A40" i="13" s="1"/>
</calcChain>
</file>

<file path=xl/sharedStrings.xml><?xml version="1.0" encoding="utf-8"?>
<sst xmlns="http://schemas.openxmlformats.org/spreadsheetml/2006/main" count="5468" uniqueCount="694">
  <si>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</si>
  <si>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</si>
  <si>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</si>
  <si>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</si>
  <si>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</si>
  <si>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</si>
  <si>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</si>
  <si>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</si>
  <si>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</si>
  <si>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</si>
  <si>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</si>
  <si>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</si>
  <si>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</si>
  <si>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</si>
  <si>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</si>
  <si>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</si>
  <si>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</si>
  <si>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</si>
  <si>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</si>
  <si>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</si>
  <si>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</si>
  <si>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</si>
  <si>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</si>
  <si>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</si>
  <si>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</si>
  <si>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</si>
  <si>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</si>
  <si>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</si>
  <si>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</si>
  <si>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</si>
  <si>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</si>
  <si>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</si>
  <si>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</si>
  <si>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</si>
  <si>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</si>
  <si>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</si>
  <si>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</si>
  <si>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</si>
  <si>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</si>
  <si>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</si>
  <si>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</si>
  <si>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</si>
  <si>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</si>
  <si>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</si>
  <si>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</si>
  <si>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</si>
  <si>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</si>
  <si>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</si>
  <si>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</si>
  <si>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</si>
  <si>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</si>
  <si>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</si>
  <si>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</si>
  <si>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</si>
  <si>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</si>
  <si>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</si>
  <si>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</si>
  <si>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</si>
  <si>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</si>
  <si>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</si>
  <si>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</si>
  <si>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</si>
  <si>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</si>
  <si>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</si>
  <si>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</si>
  <si>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</si>
  <si>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</si>
  <si>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</si>
  <si>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</si>
  <si>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</si>
  <si>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</si>
  <si>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</si>
  <si>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</si>
  <si>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</si>
  <si>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</si>
  <si>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</si>
  <si>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</si>
  <si>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</si>
  <si>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</si>
  <si>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</si>
  <si>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</si>
  <si>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</si>
  <si>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</si>
  <si>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</si>
  <si>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</si>
  <si>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</si>
  <si>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</si>
  <si>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</si>
  <si>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</si>
  <si>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</si>
  <si>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</si>
  <si>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</si>
  <si>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</si>
  <si>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</si>
  <si>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</si>
  <si>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</si>
  <si>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</si>
  <si>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</si>
  <si>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</si>
  <si>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</si>
  <si>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</si>
  <si>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</si>
  <si>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</si>
  <si>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</si>
  <si>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</si>
  <si>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</si>
  <si>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</si>
  <si>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</si>
  <si>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</si>
  <si>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</si>
  <si>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</si>
  <si>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</si>
  <si>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</si>
  <si>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</si>
  <si>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</si>
  <si>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</si>
  <si>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</si>
  <si>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</si>
  <si>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</si>
  <si>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</si>
  <si>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</si>
  <si>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</si>
  <si>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</si>
  <si>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</si>
  <si>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</si>
  <si>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</si>
  <si>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</si>
  <si>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</si>
  <si>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</si>
  <si>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</si>
  <si>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</si>
  <si>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</si>
  <si>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</si>
  <si>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</si>
  <si>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</si>
  <si>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</si>
  <si>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</si>
  <si>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</si>
  <si>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</si>
  <si>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</si>
  <si>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</si>
  <si>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</si>
  <si>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</si>
  <si>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</si>
  <si>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</si>
  <si>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</si>
  <si>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</si>
  <si>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</si>
  <si>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</si>
  <si>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</si>
  <si>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</si>
  <si>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</si>
  <si>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</si>
  <si>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</si>
  <si>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</si>
  <si>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</si>
  <si>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</si>
  <si>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</si>
  <si>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</si>
  <si>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</si>
  <si>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</si>
  <si>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</si>
  <si>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</si>
  <si>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</si>
  <si>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</si>
  <si>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</si>
  <si>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</si>
  <si>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</si>
  <si>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</si>
  <si>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</si>
  <si>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</si>
  <si>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</si>
  <si>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</si>
  <si>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</si>
  <si>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</si>
  <si>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</si>
  <si>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</si>
  <si>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</si>
  <si>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</si>
  <si>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</si>
  <si>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</si>
  <si>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</si>
  <si>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</si>
  <si>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</si>
  <si>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</si>
  <si>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</si>
  <si>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</si>
  <si>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</si>
  <si>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</si>
  <si>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</si>
  <si>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</si>
  <si>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</si>
  <si>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</si>
  <si>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</si>
  <si>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</si>
  <si>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</si>
  <si>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</si>
  <si>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</si>
  <si>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</si>
  <si>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</si>
  <si>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</si>
  <si>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</si>
  <si>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</si>
  <si>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</si>
  <si>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</si>
  <si>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</si>
  <si>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</si>
  <si>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</si>
  <si>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</si>
  <si>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</si>
  <si>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</si>
  <si>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</si>
  <si>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</si>
  <si>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</si>
  <si>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</si>
  <si>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</si>
  <si>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</si>
  <si>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</si>
  <si>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</si>
  <si>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</si>
  <si>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</si>
  <si>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</si>
  <si>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</si>
  <si>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</si>
  <si>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</si>
  <si>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</si>
  <si>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</si>
  <si>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</si>
  <si>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</si>
  <si>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</si>
  <si>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</si>
  <si>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</si>
  <si>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</si>
  <si>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</si>
  <si>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</si>
  <si>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</si>
  <si>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</si>
  <si>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</si>
  <si>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</si>
  <si>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</si>
  <si>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</si>
  <si>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</si>
  <si>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</si>
  <si>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</si>
  <si>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</si>
  <si>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</si>
  <si>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</si>
  <si>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</si>
  <si>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</si>
  <si>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</si>
  <si>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</si>
  <si>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</si>
  <si>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</si>
  <si>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</si>
  <si>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</si>
  <si>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</si>
  <si>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</si>
  <si>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</si>
  <si>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</si>
  <si>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</si>
  <si>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</si>
  <si>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</si>
  <si>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</si>
  <si>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</si>
  <si>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</si>
  <si>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</si>
  <si>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</si>
  <si>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</si>
  <si>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</si>
  <si>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</si>
  <si>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</si>
  <si>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</si>
  <si>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</si>
  <si>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</si>
  <si>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</si>
  <si>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</si>
  <si>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</si>
  <si>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</si>
  <si>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</si>
  <si>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</si>
  <si>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</si>
  <si>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</si>
  <si>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</si>
  <si>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</si>
  <si>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</si>
  <si>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</si>
  <si>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</si>
  <si>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</si>
  <si>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</si>
  <si>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</si>
  <si>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</si>
  <si>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</si>
  <si>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</si>
  <si>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</si>
  <si>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</si>
  <si>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</si>
  <si>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</si>
  <si>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</si>
  <si>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</si>
  <si>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</si>
  <si>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</si>
  <si>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</si>
  <si>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</si>
  <si>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</si>
  <si>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</si>
  <si>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</si>
  <si>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</si>
  <si>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</si>
  <si>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</si>
  <si>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</si>
  <si>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</si>
  <si>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</si>
  <si>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</si>
  <si>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</si>
  <si>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</si>
  <si>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</si>
  <si>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</si>
  <si>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</si>
  <si>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</si>
  <si>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</si>
  <si>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</si>
  <si>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</si>
  <si>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</si>
  <si>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</si>
  <si>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</si>
  <si>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</si>
  <si>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</si>
  <si>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</si>
  <si>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</si>
  <si>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</si>
  <si>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</si>
  <si>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</si>
  <si>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</si>
  <si>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</si>
  <si>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</si>
  <si>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</si>
  <si>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</si>
  <si>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</si>
  <si>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</si>
  <si>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</si>
  <si>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</si>
  <si>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</si>
  <si>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</si>
  <si>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</si>
  <si>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</si>
  <si>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</si>
  <si>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</si>
  <si>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</si>
  <si>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</si>
  <si>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</si>
  <si>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</si>
  <si>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</si>
  <si>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</si>
  <si>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</si>
  <si>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</si>
  <si>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</si>
  <si>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</si>
  <si>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</si>
  <si>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</si>
  <si>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</si>
  <si>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</si>
  <si>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</si>
  <si>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</si>
  <si>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</si>
  <si>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</si>
  <si>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</si>
  <si>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</si>
  <si>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</si>
  <si>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</si>
  <si>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</si>
  <si>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</si>
  <si>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</si>
  <si>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</si>
  <si>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</si>
  <si>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</si>
  <si>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</si>
  <si>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</si>
  <si>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</si>
  <si>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</si>
  <si>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</si>
  <si>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</si>
  <si>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</si>
  <si>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</si>
  <si>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</si>
  <si>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</si>
  <si>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</si>
  <si>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</si>
  <si>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</si>
  <si>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</si>
  <si>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</si>
  <si>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</si>
  <si>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</si>
  <si>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</si>
  <si>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</si>
  <si>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</si>
  <si>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</si>
  <si>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</si>
  <si>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</si>
  <si>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</si>
  <si>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</si>
  <si>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</si>
  <si>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</si>
  <si>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</si>
  <si>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</si>
  <si>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</si>
  <si>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</si>
  <si>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</si>
  <si>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</si>
  <si>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</si>
  <si>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</si>
  <si>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</si>
  <si>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</si>
  <si>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</si>
  <si>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</si>
  <si>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</si>
  <si>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</si>
  <si>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</si>
  <si>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</si>
  <si>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</si>
  <si>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</si>
  <si>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</si>
  <si>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</si>
  <si>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</si>
  <si>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</si>
  <si>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</si>
  <si>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</si>
  <si>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</si>
  <si>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</si>
  <si>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</si>
  <si>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</si>
  <si>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</si>
  <si>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</si>
  <si>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</si>
  <si>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</si>
  <si>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</si>
  <si>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</si>
  <si>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</si>
  <si>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</si>
  <si>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</si>
  <si>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</si>
  <si>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</si>
  <si>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</si>
  <si>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</si>
  <si>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</si>
  <si>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</si>
  <si>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</si>
  <si>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</si>
  <si>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</si>
  <si>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</si>
  <si>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</si>
  <si>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</si>
  <si>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</si>
  <si>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</si>
  <si>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</si>
  <si>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</si>
  <si>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</si>
  <si>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</si>
  <si>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</si>
  <si>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</si>
  <si>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</si>
  <si>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</si>
  <si>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</si>
  <si>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</si>
  <si>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</si>
  <si>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</si>
  <si>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</si>
  <si>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</si>
  <si>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</si>
  <si>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</si>
  <si>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</si>
  <si>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</si>
  <si>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</si>
  <si>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</si>
  <si>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</si>
  <si>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</si>
  <si>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</si>
  <si>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</si>
  <si>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</si>
  <si>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</si>
  <si>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</si>
  <si>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</si>
  <si>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</si>
  <si>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</si>
  <si>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</si>
  <si>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</si>
  <si>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</si>
  <si>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</si>
  <si>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</si>
  <si>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</si>
  <si>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</si>
  <si>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</si>
  <si>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</si>
  <si>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</si>
  <si>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</si>
  <si>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</si>
  <si>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</si>
  <si>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</si>
  <si>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</si>
  <si>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</si>
  <si>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</si>
  <si>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</si>
  <si>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</si>
  <si>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</si>
  <si>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</si>
  <si>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</si>
  <si>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</si>
  <si>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</si>
  <si>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</si>
  <si>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</si>
  <si>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</si>
  <si>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</si>
  <si>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</si>
  <si>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</si>
  <si>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</si>
  <si>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</si>
  <si>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</si>
  <si>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</si>
  <si>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</si>
  <si>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</si>
  <si>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</si>
  <si>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</si>
  <si>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</si>
  <si>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</si>
  <si>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</si>
  <si>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</si>
  <si>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</si>
  <si>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</si>
  <si>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</si>
  <si>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</si>
  <si>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</si>
  <si>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</si>
  <si>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</si>
  <si>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</si>
  <si>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</si>
  <si>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</si>
  <si>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</si>
  <si>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</si>
  <si>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</si>
  <si>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</si>
  <si>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</si>
  <si>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</si>
  <si>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</si>
  <si>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</si>
  <si>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</si>
  <si>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</si>
  <si>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</si>
  <si>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</si>
  <si>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</si>
  <si>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</si>
  <si>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</si>
  <si>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</si>
  <si>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</si>
  <si>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</si>
  <si>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</si>
  <si>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</si>
  <si>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</si>
  <si>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</si>
  <si>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</si>
  <si>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</si>
  <si>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</si>
  <si>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</si>
  <si>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</si>
  <si>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</si>
  <si>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</si>
  <si>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</si>
  <si>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</si>
  <si>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</si>
  <si>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</si>
  <si>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</si>
  <si>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</si>
  <si>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</si>
  <si>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</si>
  <si>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</si>
  <si>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</si>
  <si>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</si>
  <si>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</si>
  <si>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</si>
  <si>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</si>
  <si>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</si>
  <si>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</si>
  <si>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</si>
  <si>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</si>
  <si>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</si>
  <si>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</si>
  <si>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</si>
  <si>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</si>
  <si>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</si>
  <si>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</si>
  <si>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</si>
  <si>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</si>
  <si>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</si>
  <si>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</si>
  <si>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</si>
  <si>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</si>
  <si>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</si>
  <si>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</si>
  <si>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</si>
  <si>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</si>
  <si>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</si>
  <si>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</si>
  <si>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</si>
  <si>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</si>
  <si>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</si>
  <si>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</si>
  <si>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</si>
  <si>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</si>
  <si>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</si>
  <si>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</si>
  <si>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</si>
  <si>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</si>
  <si>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</si>
  <si>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</si>
  <si>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</si>
  <si>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</si>
  <si>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</si>
  <si>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</si>
  <si>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</si>
  <si>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</si>
  <si>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</si>
  <si>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</si>
  <si>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</si>
  <si>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</si>
  <si>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</si>
  <si>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</si>
  <si>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</si>
  <si>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</si>
  <si>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</si>
  <si>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</si>
  <si>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</si>
  <si>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</si>
  <si>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</si>
  <si>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</si>
  <si>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</si>
  <si>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</si>
  <si>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</si>
  <si>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</si>
  <si>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</si>
  <si>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</si>
  <si>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</si>
  <si>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</si>
  <si>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</si>
  <si>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</si>
  <si>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</si>
  <si>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</si>
  <si>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</si>
  <si>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</si>
  <si>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</si>
  <si>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</si>
  <si>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</si>
  <si>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</si>
  <si>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</si>
  <si>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</si>
  <si>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</si>
  <si>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</si>
  <si>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</si>
  <si>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</si>
  <si>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</si>
  <si>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</si>
  <si>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</si>
  <si>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</si>
  <si>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</si>
  <si>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</si>
  <si>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</si>
  <si>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</si>
  <si>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</si>
  <si>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</si>
  <si>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</si>
  <si>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</si>
  <si>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</si>
  <si>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</si>
  <si>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</si>
  <si>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</si>
  <si>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</si>
  <si>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</si>
  <si>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</si>
  <si>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</si>
  <si>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</si>
  <si>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</si>
  <si>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</si>
  <si>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</si>
  <si>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</si>
  <si>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</si>
  <si>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</si>
  <si>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</si>
  <si>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</si>
  <si>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</si>
  <si>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</si>
  <si>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</si>
  <si>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</si>
  <si>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</si>
  <si>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</si>
  <si>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</si>
  <si>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</si>
  <si>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&lt;290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</si>
</sst>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2" zoomScaleNormal="100" workbookViewId="0">
      <pane xSplit="1" topLeftCell="V1" activePane="topRight" state="frozen"/>
      <selection pane="topRight" activeCell="AA12" sqref="AA12:AD12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9.441406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0.109375" customWidth="1"/>
    <col min="41" max="41" width="9.88671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29282.959999999999</v>
      </c>
      <c r="AF5" s="358"/>
      <c r="AG5" s="358"/>
      <c r="AH5" s="359"/>
      <c r="AI5" s="364">
        <f>'09'!K19</f>
        <v>15101.890000000001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6.8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6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0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17306.77</v>
      </c>
      <c r="BA8" s="112">
        <f t="shared" ref="BA8:BA16" ca="1" si="0">AZ8/BC$17</f>
        <v>2472.3957142857143</v>
      </c>
      <c r="BB8" s="1"/>
      <c r="BC8" s="1"/>
    </row>
    <row r="9" spans="1:55" ht="15.6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956.9</v>
      </c>
      <c r="AB9" s="346"/>
      <c r="AC9" s="346"/>
      <c r="AD9" s="347"/>
      <c r="AE9" s="345">
        <f>SUM('08'!L30:'08'!L34)</f>
        <v>0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4588.57</v>
      </c>
      <c r="BA9" s="112">
        <f t="shared" ca="1" si="0"/>
        <v>655.51</v>
      </c>
      <c r="BB9" s="1"/>
      <c r="BC9" s="1"/>
    </row>
    <row r="10" spans="1:55" ht="15.6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0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6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407.32</v>
      </c>
      <c r="BA11" s="112">
        <f t="shared" ca="1" si="0"/>
        <v>58.188571428571429</v>
      </c>
      <c r="BB11" s="1"/>
      <c r="BC11" s="1"/>
    </row>
    <row r="12" spans="1:55" ht="15.6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6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0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6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0</v>
      </c>
      <c r="AB14" s="349"/>
      <c r="AC14" s="349"/>
      <c r="AD14" s="350"/>
      <c r="AE14" s="348">
        <f>SUM('08'!L55:'08'!L59)</f>
        <v>0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64.77000000000001</v>
      </c>
      <c r="BA14" s="112">
        <f t="shared" ca="1" si="0"/>
        <v>9.2528571428571436</v>
      </c>
      <c r="BB14" s="3"/>
      <c r="BC14" s="3"/>
    </row>
    <row r="15" spans="1:55" ht="15.6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2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1702.8000000000002</v>
      </c>
      <c r="AB17" s="366"/>
      <c r="AC17" s="366"/>
      <c r="AD17" s="367"/>
      <c r="AE17" s="365">
        <f>SUM(AE8:AE16)</f>
        <v>0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33314.990000000005</v>
      </c>
      <c r="BA17" s="112">
        <f ca="1">AZ17/BC$17</f>
        <v>4759.2842857142869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57111.411428571446</v>
      </c>
      <c r="BB18" s="1"/>
      <c r="BC18" s="1"/>
    </row>
    <row r="19" spans="1:62" ht="16.8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766.34999999999991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1310.3499999999999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1854.35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2398.35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2942.35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3486.35</v>
      </c>
      <c r="AZ20" s="123">
        <f t="shared" ref="AZ20:AZ27" si="14">E20+I20+M20+Q20+U20+Y20+AC20+AG20+AK20+AO20+AS20+AW20</f>
        <v>3690.3500000000004</v>
      </c>
      <c r="BA20" s="21">
        <f t="shared" ref="BA20:BA45" si="15">AZ20/AZ$46</f>
        <v>0.12460898774423072</v>
      </c>
      <c r="BB20" s="22">
        <f>_xlfn.RANK.EQ(BA20,$BA$20:$BA$45,)</f>
        <v>3</v>
      </c>
      <c r="BC20" s="22">
        <f t="shared" ref="BC20:BC45" ca="1" si="16">AZ20/BC$17</f>
        <v>527.19285714285718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4007.92</v>
      </c>
      <c r="BF20" s="21">
        <f t="shared" ref="BF20:BF45" ca="1" si="18">BE20/BE$46</f>
        <v>0.12030380318289152</v>
      </c>
      <c r="BG20" s="22">
        <f ca="1">_xlfn.RANK.EQ(BF20,$BF$20:$BF$45,)</f>
        <v>4</v>
      </c>
      <c r="BH20" s="22">
        <f t="shared" ref="BH20:BH45" ca="1" si="19">BE20/BC$17</f>
        <v>572.56000000000006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317.57000000000028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2632.0899999999992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3760.0899999999992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4888.0899999999992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6016.0899999999992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7144.0899999999992</v>
      </c>
      <c r="AZ21" s="152">
        <f t="shared" si="14"/>
        <v>7229.77</v>
      </c>
      <c r="BA21" s="21">
        <f t="shared" si="15"/>
        <v>0.24412164735691924</v>
      </c>
      <c r="BB21" s="22">
        <f t="shared" ref="BB21:BB45" si="20">_xlfn.RANK.EQ(BA21,$BA$20:$BA$45,)</f>
        <v>1</v>
      </c>
      <c r="BC21" s="22">
        <f t="shared" ca="1" si="16"/>
        <v>1032.8242857142857</v>
      </c>
      <c r="BE21" s="224">
        <f t="shared" ca="1" si="17"/>
        <v>8061</v>
      </c>
      <c r="BF21" s="21">
        <f t="shared" ca="1" si="18"/>
        <v>0.24196315232272317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831.22999999999979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290</v>
      </c>
      <c r="AC22" s="155">
        <f>SUM('07'!D60:F60)</f>
        <v>22.45</v>
      </c>
      <c r="AD22" s="156">
        <f t="shared" si="8"/>
        <v>757.23000000000013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1057.23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1547.23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2037.23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2527.23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3017.23</v>
      </c>
      <c r="AZ22" s="157">
        <f t="shared" si="14"/>
        <v>1932.8400000000001</v>
      </c>
      <c r="BA22" s="21">
        <f t="shared" si="15"/>
        <v>6.5264605219439595E-2</v>
      </c>
      <c r="BB22" s="22">
        <f t="shared" si="20"/>
        <v>6</v>
      </c>
      <c r="BC22" s="22">
        <f t="shared" ca="1" si="16"/>
        <v>276.12</v>
      </c>
      <c r="BE22" s="225">
        <f t="shared" ca="1" si="17"/>
        <v>2444</v>
      </c>
      <c r="BF22" s="21">
        <f t="shared" ca="1" si="18"/>
        <v>7.3360370211727505E-2</v>
      </c>
      <c r="BG22" s="22">
        <f t="shared" ca="1" si="21"/>
        <v>6</v>
      </c>
      <c r="BH22" s="22">
        <f t="shared" ca="1" si="19"/>
        <v>349.14285714285717</v>
      </c>
      <c r="BJ22" s="225">
        <f t="shared" ca="1" si="22"/>
        <v>511.15999999999997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42</v>
      </c>
      <c r="AD23" s="151">
        <f t="shared" si="8"/>
        <v>229.68000000000006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399.68000000000006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549.68000000000006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699.68000000000006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849.68000000000006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999.68000000000006</v>
      </c>
      <c r="AZ23" s="152">
        <f t="shared" si="14"/>
        <v>1047.4499999999998</v>
      </c>
      <c r="BA23" s="21">
        <f t="shared" si="15"/>
        <v>3.5368375414986233E-2</v>
      </c>
      <c r="BB23" s="22">
        <f t="shared" si="20"/>
        <v>7</v>
      </c>
      <c r="BC23" s="22">
        <f t="shared" ca="1" si="16"/>
        <v>149.63571428571427</v>
      </c>
      <c r="BE23" s="224">
        <f t="shared" ca="1" si="17"/>
        <v>1235</v>
      </c>
      <c r="BF23" s="21">
        <f t="shared" ca="1" si="18"/>
        <v>3.7070399841032511E-2</v>
      </c>
      <c r="BG23" s="22">
        <f t="shared" ca="1" si="21"/>
        <v>9</v>
      </c>
      <c r="BH23" s="22">
        <f t="shared" ca="1" si="19"/>
        <v>176.42857142857142</v>
      </c>
      <c r="BJ23" s="224">
        <f t="shared" ca="1" si="22"/>
        <v>187.55000000000004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250.01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410.01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570.01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730.01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890.01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1050.01</v>
      </c>
      <c r="AZ24" s="157">
        <f t="shared" si="14"/>
        <v>899.99</v>
      </c>
      <c r="BA24" s="21">
        <f t="shared" si="15"/>
        <v>3.0389215895492355E-2</v>
      </c>
      <c r="BB24" s="22">
        <f t="shared" si="20"/>
        <v>9</v>
      </c>
      <c r="BC24" s="22">
        <f t="shared" ca="1" si="16"/>
        <v>128.57</v>
      </c>
      <c r="BE24" s="225">
        <f t="shared" ca="1" si="17"/>
        <v>1150</v>
      </c>
      <c r="BF24" s="21">
        <f t="shared" ca="1" si="18"/>
        <v>3.4518995803390601E-2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250.01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258.47000000000003</v>
      </c>
      <c r="AD25" s="151">
        <f t="shared" si="8"/>
        <v>3159.1499999999978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3604.1499999999978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4009.1499999999978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4414.1499999999978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4819.1499999999978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5224.1499999999978</v>
      </c>
      <c r="AZ25" s="152">
        <f t="shared" si="14"/>
        <v>2286.75</v>
      </c>
      <c r="BA25" s="21">
        <f t="shared" si="15"/>
        <v>7.7214790663248628E-2</v>
      </c>
      <c r="BB25" s="22">
        <f t="shared" si="20"/>
        <v>4</v>
      </c>
      <c r="BC25" s="22">
        <f t="shared" ca="1" si="16"/>
        <v>326.67857142857144</v>
      </c>
      <c r="BE25" s="224">
        <f t="shared" ca="1" si="17"/>
        <v>2283.35</v>
      </c>
      <c r="BF25" s="21">
        <f t="shared" ca="1" si="18"/>
        <v>6.8538216580584288E-2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-3.4000000000005457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73.03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126.03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174.03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222.03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270.02999999999997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318.02999999999997</v>
      </c>
      <c r="AZ26" s="157">
        <f t="shared" si="14"/>
        <v>312.96000000000004</v>
      </c>
      <c r="BA26" s="21">
        <f t="shared" si="15"/>
        <v>1.0567460756956509E-2</v>
      </c>
      <c r="BB26" s="22">
        <f t="shared" si="20"/>
        <v>18</v>
      </c>
      <c r="BC26" s="22">
        <f t="shared" ca="1" si="16"/>
        <v>44.708571428571432</v>
      </c>
      <c r="BE26" s="225">
        <f t="shared" ca="1" si="17"/>
        <v>366.45</v>
      </c>
      <c r="BF26" s="21">
        <f t="shared" ca="1" si="18"/>
        <v>1.099955305404564E-2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53.490000000000052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1.0616421704354215E-2</v>
      </c>
      <c r="BB27" s="22">
        <f t="shared" si="20"/>
        <v>17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8.7047902460724129E-3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14.63</v>
      </c>
      <c r="AD28" s="159">
        <f t="shared" si="8"/>
        <v>1681.65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1881.65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2081.65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2281.65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2481.65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2681.65</v>
      </c>
      <c r="AZ28" s="182">
        <f t="shared" ref="AZ28:AZ45" si="23">E28+I28+M28+Q28+U28+Y28+AC28+AG28+AK28+AO28+AS28+AW28</f>
        <v>2007.44</v>
      </c>
      <c r="BA28" s="21">
        <f t="shared" si="15"/>
        <v>6.778356154762516E-2</v>
      </c>
      <c r="BB28" s="22">
        <f t="shared" si="20"/>
        <v>5</v>
      </c>
      <c r="BC28" s="22">
        <f t="shared" ca="1" si="16"/>
        <v>286.77714285714285</v>
      </c>
      <c r="BE28" s="223">
        <f t="shared" ca="1" si="17"/>
        <v>3080.04</v>
      </c>
      <c r="BF28" s="21">
        <f t="shared" ca="1" si="18"/>
        <v>9.2452076377630588E-2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1072.5999999999999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47.94</v>
      </c>
      <c r="AD29" s="160">
        <f t="shared" si="8"/>
        <v>67.080000000000069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137.08000000000007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207.08000000000007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277.08000000000004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347.08000000000004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417.08000000000004</v>
      </c>
      <c r="AZ29" s="152">
        <f t="shared" si="23"/>
        <v>360.25</v>
      </c>
      <c r="BA29" s="21">
        <f t="shared" si="15"/>
        <v>1.2164262965534195E-2</v>
      </c>
      <c r="BB29" s="22">
        <f t="shared" si="20"/>
        <v>16</v>
      </c>
      <c r="BC29" s="22">
        <f t="shared" ca="1" si="16"/>
        <v>51.464285714285715</v>
      </c>
      <c r="BE29" s="224">
        <f t="shared" ca="1" si="17"/>
        <v>474</v>
      </c>
      <c r="BF29" s="21">
        <f t="shared" ca="1" si="18"/>
        <v>1.4227829574614909E-2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113.75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48.519999999999996</v>
      </c>
      <c r="AD30" s="161">
        <f t="shared" si="8"/>
        <v>78.569999999999979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113.56999999999998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148.57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183.57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218.57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253.57</v>
      </c>
      <c r="AZ30" s="157">
        <f t="shared" si="23"/>
        <v>179.59999999999997</v>
      </c>
      <c r="BA30" s="21">
        <f t="shared" si="15"/>
        <v>6.0644042431920635E-3</v>
      </c>
      <c r="BB30" s="22">
        <f t="shared" si="20"/>
        <v>19</v>
      </c>
      <c r="BC30" s="22">
        <f t="shared" ca="1" si="16"/>
        <v>25.657142857142851</v>
      </c>
      <c r="BE30" s="225">
        <f t="shared" ca="1" si="17"/>
        <v>285</v>
      </c>
      <c r="BF30" s="21">
        <f t="shared" ca="1" si="18"/>
        <v>8.5547076556228875E-3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105.4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4.6050303490341527E-3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4.2023125325866819E-3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110</v>
      </c>
      <c r="AC32" s="155">
        <f>SUM('07'!D260:F260)</f>
        <v>349</v>
      </c>
      <c r="AD32" s="161">
        <f t="shared" si="8"/>
        <v>574.29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674.29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724.29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774.29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824.29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874.29</v>
      </c>
      <c r="AZ32" s="157">
        <f t="shared" si="23"/>
        <v>834.58999999999992</v>
      </c>
      <c r="BA32" s="21">
        <f t="shared" si="15"/>
        <v>2.818090833700259E-2</v>
      </c>
      <c r="BB32" s="22">
        <f t="shared" si="20"/>
        <v>11</v>
      </c>
      <c r="BC32" s="22">
        <f t="shared" ca="1" si="16"/>
        <v>119.22714285714285</v>
      </c>
      <c r="BE32" s="225">
        <f t="shared" ca="1" si="17"/>
        <v>1423.13</v>
      </c>
      <c r="BF32" s="21">
        <f t="shared" ca="1" si="18"/>
        <v>4.2717407389286317E-2</v>
      </c>
      <c r="BG32" s="22">
        <f t="shared" ca="1" si="21"/>
        <v>8</v>
      </c>
      <c r="BH32" s="22">
        <f t="shared" ca="1" si="19"/>
        <v>203.30428571428573</v>
      </c>
      <c r="BJ32" s="225">
        <f t="shared" ca="1" si="22"/>
        <v>588.54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0.14843102111601247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0.13123041609797872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25</v>
      </c>
      <c r="AD34" s="161">
        <f t="shared" si="8"/>
        <v>147.9099999999998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237.9099999999998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327.9099999999998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417.9099999999998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507.9099999999998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597.90999999999985</v>
      </c>
      <c r="AZ34" s="152">
        <f t="shared" si="23"/>
        <v>1008.1000000000001</v>
      </c>
      <c r="BA34" s="21">
        <f t="shared" si="15"/>
        <v>3.4039676601124287E-2</v>
      </c>
      <c r="BB34" s="22">
        <f t="shared" si="20"/>
        <v>8</v>
      </c>
      <c r="BC34" s="22">
        <f t="shared" ca="1" si="16"/>
        <v>144.01428571428573</v>
      </c>
      <c r="BE34" s="225">
        <f t="shared" ca="1" si="17"/>
        <v>1054.4099999999999</v>
      </c>
      <c r="BF34" s="21">
        <f t="shared" ca="1" si="18"/>
        <v>3.1649716839176591E-2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46.309999999999889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77.5</v>
      </c>
      <c r="AD35" s="187">
        <f t="shared" si="8"/>
        <v>1782.9800000000005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1912.9800000000005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2027.9800000000005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2142.9800000000005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2257.9800000000005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2372.9800000000005</v>
      </c>
      <c r="AZ35" s="188">
        <f t="shared" si="23"/>
        <v>892.6</v>
      </c>
      <c r="BA35" s="21">
        <f t="shared" si="15"/>
        <v>3.0139683894617134E-2</v>
      </c>
      <c r="BB35" s="22">
        <f t="shared" si="20"/>
        <v>10</v>
      </c>
      <c r="BC35" s="22">
        <f t="shared" ca="1" si="16"/>
        <v>127.51428571428572</v>
      </c>
      <c r="BE35" s="224">
        <f t="shared" ca="1" si="17"/>
        <v>1185.98</v>
      </c>
      <c r="BF35" s="21">
        <f t="shared" ca="1" si="18"/>
        <v>3.559899012426538E-2</v>
      </c>
      <c r="BG35" s="22">
        <f t="shared" ca="1" si="21"/>
        <v>10</v>
      </c>
      <c r="BH35" s="22">
        <f t="shared" ca="1" si="19"/>
        <v>169.42571428571429</v>
      </c>
      <c r="BJ35" s="224">
        <f t="shared" ca="1" si="22"/>
        <v>293.38000000000011</v>
      </c>
    </row>
    <row r="36" spans="1:62" ht="15.6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1.7932875554102858E-2</v>
      </c>
      <c r="BB36" s="22">
        <f t="shared" si="20"/>
        <v>12</v>
      </c>
      <c r="BC36" s="22">
        <f t="shared" ca="1" si="16"/>
        <v>75.86999999999999</v>
      </c>
      <c r="BE36" s="223">
        <f t="shared" ca="1" si="17"/>
        <v>740.02</v>
      </c>
      <c r="BF36" s="21">
        <f t="shared" ca="1" si="18"/>
        <v>2.22128237168914E-2</v>
      </c>
      <c r="BG36" s="22">
        <f t="shared" ca="1" si="21"/>
        <v>13</v>
      </c>
      <c r="BH36" s="22">
        <f t="shared" ca="1" si="19"/>
        <v>105.71714285714286</v>
      </c>
      <c r="BJ36" s="223">
        <f t="shared" ca="1" si="22"/>
        <v>208.93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325.73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370.73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460.73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505.73</v>
      </c>
      <c r="AZ37" s="152">
        <f t="shared" si="23"/>
        <v>367.65</v>
      </c>
      <c r="BA37" s="21">
        <f t="shared" si="15"/>
        <v>1.2414132628115604E-2</v>
      </c>
      <c r="BB37" s="22">
        <f t="shared" si="20"/>
        <v>15</v>
      </c>
      <c r="BC37" s="22">
        <f t="shared" ca="1" si="16"/>
        <v>52.521428571428565</v>
      </c>
      <c r="BE37" s="224">
        <f t="shared" ca="1" si="17"/>
        <v>370</v>
      </c>
      <c r="BF37" s="21">
        <f t="shared" ca="1" si="18"/>
        <v>1.1106111693264802E-2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2.3500000000000227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14.1</v>
      </c>
      <c r="AD38" s="156">
        <f t="shared" si="8"/>
        <v>97.530000000000058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167.53000000000006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237.53000000000006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307.53000000000009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377.53000000000009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447.53000000000009</v>
      </c>
      <c r="AZ38" s="157">
        <f t="shared" si="23"/>
        <v>461.67000000000007</v>
      </c>
      <c r="BA38" s="21">
        <f t="shared" si="15"/>
        <v>1.5588827989724281E-2</v>
      </c>
      <c r="BB38" s="22">
        <f t="shared" si="20"/>
        <v>14</v>
      </c>
      <c r="BC38" s="22">
        <f t="shared" ca="1" si="16"/>
        <v>65.952857142857155</v>
      </c>
      <c r="BE38" s="225">
        <f t="shared" ca="1" si="17"/>
        <v>520</v>
      </c>
      <c r="BF38" s="21">
        <f t="shared" ca="1" si="18"/>
        <v>1.5608589406750532E-2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58.330000000000027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-3.4030927219248747E-2</v>
      </c>
      <c r="BG39" s="22">
        <f t="shared" ca="1" si="21"/>
        <v>25</v>
      </c>
      <c r="BH39" s="22">
        <f t="shared" ca="1" si="19"/>
        <v>-161.96285714285713</v>
      </c>
      <c r="BJ39" s="224">
        <f t="shared" ca="1" si="22"/>
        <v>-1133.74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</v>
      </c>
      <c r="AC40" s="166">
        <f>SUM('07'!D420:F420)</f>
        <v>3.06</v>
      </c>
      <c r="AD40" s="156">
        <f t="shared" si="8"/>
        <v>130.92000000000058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180.92000000000058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200.92000000000058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220.92000000000058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240.92000000000058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260.92000000000058</v>
      </c>
      <c r="AZ40" s="157">
        <f t="shared" si="23"/>
        <v>161.12</v>
      </c>
      <c r="BA40" s="21">
        <f t="shared" si="15"/>
        <v>5.4404054101509216E-3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-512.47</v>
      </c>
      <c r="BF40" s="21">
        <f t="shared" ca="1" si="18"/>
        <v>-1.538256502553355E-2</v>
      </c>
      <c r="BG40" s="22">
        <f t="shared" ca="1" si="21"/>
        <v>24</v>
      </c>
      <c r="BH40" s="22">
        <f t="shared" ca="1" si="19"/>
        <v>-73.210000000000008</v>
      </c>
      <c r="BJ40" s="225">
        <f t="shared" ca="1" si="22"/>
        <v>-673.58999999999992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-2198.1999999999998</v>
      </c>
      <c r="AC41" s="165">
        <f>SUM('07'!D440:F440)</f>
        <v>0</v>
      </c>
      <c r="AD41" s="151">
        <f t="shared" si="8"/>
        <v>5802.0900000000011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1902.0900000000011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-1997.9099999999989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-5897.9099999999989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-9797.91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-13697.91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-2747.9099999999971</v>
      </c>
      <c r="BF41" s="21">
        <f t="shared" ca="1" si="18"/>
        <v>-8.2482690224430402E-2</v>
      </c>
      <c r="BG41" s="22">
        <f t="shared" ca="1" si="21"/>
        <v>26</v>
      </c>
      <c r="BH41" s="22">
        <f t="shared" ca="1" si="19"/>
        <v>-392.55857142857104</v>
      </c>
      <c r="BJ41" s="224">
        <f t="shared" ca="1" si="22"/>
        <v>-2747.9099999999971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0.12145403615609669</v>
      </c>
      <c r="BG42" s="22">
        <f t="shared" ca="1" si="21"/>
        <v>3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1.6883085309554745E-2</v>
      </c>
      <c r="BB43" s="22">
        <f t="shared" si="20"/>
        <v>13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5.4218836625795179E-3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2.1806192985820909E-3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1702.8000000000002</v>
      </c>
      <c r="AC46" s="219">
        <f>SUM(AC20:AC45)</f>
        <v>902.67</v>
      </c>
      <c r="AD46" s="220">
        <f>SUM(AD20:AD45)</f>
        <v>30083.09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30083.09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30083.089999999997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30083.090000000004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30083.089999999997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30083.089999999997</v>
      </c>
      <c r="AZ46" s="227">
        <f>SUM(AZ20:AZ45)</f>
        <v>29615.439999999999</v>
      </c>
      <c r="BA46" s="1"/>
      <c r="BB46" s="1"/>
      <c r="BC46" s="124">
        <f ca="1">SUM(BC20:BC45)</f>
        <v>4230.7771428571423</v>
      </c>
      <c r="BE46" s="227">
        <f ca="1">SUM(BE20:BE45)</f>
        <v>33314.990000000005</v>
      </c>
      <c r="BF46" s="1"/>
      <c r="BG46" s="1"/>
      <c r="BH46" s="124">
        <f ca="1">SUM(BH20:BH45)</f>
        <v>4759.2842857142878</v>
      </c>
      <c r="BJ46" s="227">
        <f ca="1">SUM(BJ20:BJ45)</f>
        <v>3699.5500000000038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800.13000000000022</v>
      </c>
      <c r="AD47" s="125"/>
      <c r="AE47" s="125">
        <f>AE5-AD46</f>
        <v>-800.13000000000102</v>
      </c>
      <c r="AF47" s="125">
        <f>AE17-AF46</f>
        <v>0</v>
      </c>
      <c r="AG47" s="125">
        <f>AE17-AG46</f>
        <v>0</v>
      </c>
      <c r="AH47" s="125"/>
      <c r="AI47" s="125">
        <f>AI5-AH46</f>
        <v>-14981.199999999999</v>
      </c>
      <c r="AJ47" s="125">
        <f>AI17-AJ46</f>
        <v>0</v>
      </c>
      <c r="AK47" s="125">
        <f>AI17-AK46</f>
        <v>0</v>
      </c>
      <c r="AL47" s="125"/>
      <c r="AM47" s="125">
        <f>AM5-AL46</f>
        <v>-14981.199999999995</v>
      </c>
      <c r="AN47" s="125">
        <f>AM17-AN46</f>
        <v>0</v>
      </c>
      <c r="AO47" s="125">
        <f>AM17-AO46</f>
        <v>0</v>
      </c>
      <c r="AP47" s="125"/>
      <c r="AQ47" s="125">
        <f>AQ5-AP46</f>
        <v>-14981.200000000003</v>
      </c>
      <c r="AR47" s="125">
        <f>AQ17-AR46</f>
        <v>0</v>
      </c>
      <c r="AS47" s="125">
        <f>AQ17-AS46</f>
        <v>0</v>
      </c>
      <c r="AT47" s="140"/>
      <c r="AU47" s="125">
        <f>AU5-AT46</f>
        <v>-14981.199999999995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50769.325714285704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22.45</v>
      </c>
      <c r="AD50" s="119" t="s">
        <v>693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477</v>
      </c>
      <c r="AC54" s="388"/>
      <c r="AD54" s="239">
        <v>16</v>
      </c>
      <c r="AE54" s="95"/>
      <c r="AF54" s="399"/>
      <c r="AG54" s="400"/>
      <c r="AH54" s="100"/>
      <c r="AI54" s="95"/>
      <c r="AJ54" s="401"/>
      <c r="AK54" s="402"/>
      <c r="AL54" s="100"/>
      <c r="AM54" s="95"/>
      <c r="AN54" s="401"/>
      <c r="AO54" s="402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/>
      <c r="AB55" s="378"/>
      <c r="AC55" s="379"/>
      <c r="AD55" s="100"/>
      <c r="AE55" s="96"/>
      <c r="AF55" s="395"/>
      <c r="AG55" s="396"/>
      <c r="AH55" s="100"/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/>
      <c r="AF56" s="395"/>
      <c r="AG56" s="396"/>
      <c r="AH56" s="100"/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390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386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390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566</v>
      </c>
      <c r="U70" s="379"/>
      <c r="V70" s="100">
        <v>3742.92</v>
      </c>
      <c r="W70" s="96"/>
      <c r="X70" s="378" t="s">
        <v>564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567</v>
      </c>
      <c r="U71" s="394"/>
      <c r="V71" s="101">
        <v>1872.17</v>
      </c>
      <c r="W71" s="97"/>
      <c r="X71" s="393" t="s">
        <v>565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6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6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6">
      <c r="A8" s="112">
        <f>'08'!A8+(B8-SUM(D8:F8))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6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6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6">
      <c r="A11" s="112">
        <f>'08'!A11+(B11-SUM(D11:F11))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2" thickBot="1">
      <c r="A20" s="112">
        <f>SUM(A6:A15)</f>
        <v>1866.35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6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6">
      <c r="A27" s="112">
        <f>'08'!A27+(B27-SUM(D27:F27))</f>
        <v>580.03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6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6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2" thickBot="1">
      <c r="A40" s="112">
        <f>SUM(A26:A35)</f>
        <v>3760.09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6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6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210.93000000000004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1310.97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 t="s">
        <v>160</v>
      </c>
      <c r="O5" s="89">
        <f>M5-500</f>
        <v>-500</v>
      </c>
      <c r="R5" s="3"/>
    </row>
    <row r="6" spans="1:22" ht="15.6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6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6">
      <c r="A8" s="112">
        <f>'09'!A8+(B8-SUM(D8:F8))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6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6">
      <c r="A11" s="112">
        <f>'09'!A11+(B11-SUM(D11:F11))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6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2" thickBot="1">
      <c r="A20" s="112">
        <f>SUM(A6:A15)</f>
        <v>2410.35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6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6">
      <c r="A27" s="112">
        <f>'09'!A27+(B27-SUM(D27:F27))</f>
        <v>750.03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6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6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2" thickBot="1">
      <c r="A40" s="112">
        <f>SUM(A26:A35)</f>
        <v>4888.0899999999992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6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6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281.93000000000006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1690.44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6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6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6">
      <c r="A8" s="112">
        <f>'10'!A8+(B8-SUM(D8:F8))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6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6">
      <c r="A11" s="112">
        <f>'10'!A11+(B11-SUM(D11:F11))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6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2" thickBot="1">
      <c r="A20" s="112">
        <f>SUM(A6:A15)</f>
        <v>2954.3499999999995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6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6">
      <c r="A27" s="112">
        <f>'10'!A27+(B27-SUM(D27:F27))</f>
        <v>920.03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6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6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2" thickBot="1">
      <c r="A40" s="112">
        <f>SUM(A26:A35)</f>
        <v>6016.0899999999992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6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6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352.93000000000006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2069.91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6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6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6">
      <c r="A8" s="112">
        <f>'11'!A8+(B8-SUM(D8:F8))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6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6">
      <c r="A11" s="112">
        <f>'11'!A11+(B11-SUM(D11:F11))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6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2" thickBot="1">
      <c r="A20" s="112">
        <f>SUM(A6:A15)</f>
        <v>3498.3499999999995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6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6">
      <c r="A27" s="112">
        <f>'11'!A27+(B27-SUM(D27:F27))</f>
        <v>1090.03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6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6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2" thickBot="1">
      <c r="A40" s="112">
        <f>SUM(A26:A35)</f>
        <v>7144.0899999999992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6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6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423.93000000000006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2449.38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41" sqref="E41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-0.24</v>
      </c>
      <c r="C6" s="44" t="s">
        <v>95</v>
      </c>
      <c r="D6" s="43" t="s">
        <v>96</v>
      </c>
      <c r="E6" s="42"/>
      <c r="J6" t="s">
        <v>97</v>
      </c>
      <c r="K6" s="49">
        <f>B4-B15</f>
        <v>129681.33896166417</v>
      </c>
      <c r="L6" s="39">
        <f>B4*(E8/100)</f>
        <v>28.177248666666667</v>
      </c>
      <c r="M6" s="49">
        <f>B13-L6</f>
        <v>367.50103833583739</v>
      </c>
    </row>
    <row r="7" spans="1:13" ht="12.75" customHeight="1">
      <c r="E7" s="42"/>
      <c r="J7" t="s">
        <v>98</v>
      </c>
      <c r="K7" s="49">
        <f>K6-(B13-L7)</f>
        <v>129313.75829810335</v>
      </c>
      <c r="L7" s="39">
        <f>(K6*(E8/100))</f>
        <v>28.097623441693905</v>
      </c>
      <c r="M7" s="49">
        <f>B13-L7</f>
        <v>367.58066356081019</v>
      </c>
    </row>
    <row r="8" spans="1:13" ht="12.75" customHeight="1">
      <c r="B8" s="42"/>
      <c r="D8" t="s">
        <v>183</v>
      </c>
      <c r="E8" s="50">
        <f>(B6+0.5)/12</f>
        <v>2.1666666666666667E-2</v>
      </c>
      <c r="J8" t="s">
        <v>99</v>
      </c>
      <c r="K8" s="49">
        <f>K7-(B13-L8)</f>
        <v>128946.09799206544</v>
      </c>
      <c r="L8" s="39">
        <f>(K7*(E8/100))</f>
        <v>28.017980964589061</v>
      </c>
      <c r="M8" s="49">
        <f>B13-L8</f>
        <v>367.66030603791501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1.0002166666666668</v>
      </c>
      <c r="J9" t="s">
        <v>101</v>
      </c>
      <c r="K9" s="49">
        <f>K8-(B13-L9)</f>
        <v>128578.35802629455</v>
      </c>
      <c r="L9" s="39">
        <f>(K8*(E8/100))</f>
        <v>27.938321231614179</v>
      </c>
      <c r="M9" s="49">
        <f>B13-L9</f>
        <v>367.73996577088991</v>
      </c>
    </row>
    <row r="10" spans="1:13" ht="12.75" customHeight="1">
      <c r="B10" s="42"/>
      <c r="D10" t="s">
        <v>102</v>
      </c>
      <c r="E10" s="50">
        <f>E9^-B5</f>
        <v>0.92878747812995777</v>
      </c>
      <c r="J10" t="s">
        <v>103</v>
      </c>
      <c r="K10" s="49">
        <f>K9-(B13-L10)</f>
        <v>128210.53838353108</v>
      </c>
      <c r="L10" s="39">
        <f>(K9*(E8/100))</f>
        <v>27.858644239030486</v>
      </c>
      <c r="M10" s="49">
        <f>B13-L10</f>
        <v>367.81964276347361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7.1212521870042238</v>
      </c>
      <c r="J11" t="s">
        <v>106</v>
      </c>
      <c r="K11" s="51">
        <f>K10-(B13-L11)</f>
        <v>127842.63904651167</v>
      </c>
      <c r="L11" s="39">
        <f>(K10*(E8/100))</f>
        <v>27.778949983098403</v>
      </c>
      <c r="M11" s="49">
        <f>B13-L11</f>
        <v>367.89933701940566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395.67828700250408</v>
      </c>
      <c r="E13" s="42"/>
      <c r="F13" s="44"/>
      <c r="G13" s="53"/>
      <c r="L13" s="54">
        <f>SUM(L6:L11)</f>
        <v>167.86876852669272</v>
      </c>
      <c r="M13" s="54">
        <f>SUM(M6:M11)</f>
        <v>2206.2009534883318</v>
      </c>
    </row>
    <row r="14" spans="1:13" ht="12.75" customHeight="1">
      <c r="A14" t="s">
        <v>108</v>
      </c>
      <c r="B14" s="55">
        <f>B4*(E8/100)</f>
        <v>28.177248666666667</v>
      </c>
      <c r="E14" s="42"/>
    </row>
    <row r="15" spans="1:13" ht="12.75" customHeight="1">
      <c r="A15" t="s">
        <v>109</v>
      </c>
      <c r="B15" s="55">
        <f>B13-B14</f>
        <v>367.50103833583739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395.67984700250406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-0.24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-0.24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2206.2009534883318</v>
      </c>
      <c r="C22" s="58">
        <f>B22/170000</f>
        <v>1.2977652667578422E-2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127842.63904651167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-0.24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baseColWidth="10" defaultColWidth="11" defaultRowHeight="14.4"/>
  <cols>
    <col min="3" max="3" width="14.109375" customWidth="1"/>
    <col min="4" max="4" width="18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-2.3999999999999998E-3</v>
      </c>
      <c r="D25" s="73">
        <f>Hipoteca!B$13</f>
        <v>395.67828700250408</v>
      </c>
      <c r="E25" s="72">
        <f t="shared" ref="E25" si="10">D25-D24</f>
        <v>-7.4017129974959062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8.4122308488612813E-3</v>
      </c>
      <c r="D83" s="85">
        <f>AVERAGE(D2:D82)</f>
        <v>492.50767206669269</v>
      </c>
      <c r="E83" s="86">
        <f>AVERAGE(E3:E82)</f>
        <v>-19.668335347717214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L19" workbookViewId="0">
      <selection activeCell="Q35" sqref="Q35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7" max="17" width="12.88671875" customWidth="1"/>
    <col min="18" max="18" width="34.44140625" customWidth="1"/>
    <col min="19" max="19" width="17.6640625" customWidth="1"/>
    <col min="20" max="20" width="12.6640625" customWidth="1"/>
    <col min="21" max="21" width="24.109375" customWidth="1"/>
    <col min="22" max="22" width="12" bestFit="1" customWidth="1"/>
    <col min="23" max="23" width="14.6640625" customWidth="1"/>
    <col min="24" max="24" width="16" customWidth="1"/>
    <col min="27" max="27" width="12.6640625" bestFit="1" customWidth="1"/>
    <col min="28" max="28" width="16.109375" customWidth="1"/>
    <col min="29" max="29" width="15.33203125" customWidth="1"/>
    <col min="30" max="30" width="12.664062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1444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43653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48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43653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341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499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43653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341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t="shared" ref="W13:W41" ca="1" si="0">D13/D$43</f>
        <v>3.9265357821405951E-2</v>
      </c>
      <c r="X13" s="119">
        <f ca="1">W13*E13</f>
        <v>157.81803350221659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0"/>
        <v>3.4832172260924638E-2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0"/>
        <v>8.8663711209626354E-3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0"/>
        <v>0.55034832172260928</v>
      </c>
      <c r="X19" s="119">
        <f t="shared" ca="1" si="2"/>
        <v>2434.4107222799244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0"/>
        <v>0.40025332488917037</v>
      </c>
      <c r="X20" s="119">
        <f t="shared" ca="1" si="2"/>
        <v>240.39214692843572</v>
      </c>
    </row>
    <row r="21" spans="1:24">
      <c r="A21" s="262" t="s">
        <v>515</v>
      </c>
      <c r="B21" s="262" t="s">
        <v>523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0"/>
        <v>0.1823939202026599</v>
      </c>
      <c r="X25" s="119">
        <f t="shared" ca="1" si="2"/>
        <v>110.88879612919568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1"/>
        <v>499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43653</v>
      </c>
      <c r="L28" s="302">
        <v>27</v>
      </c>
      <c r="M28" s="264">
        <f>(H28*L28)</f>
        <v>5292</v>
      </c>
      <c r="N28" s="264">
        <f>-(IF((M28*0.0075)&lt;30,30,(M28*0.0075)) + (M28*0.0035))</f>
        <v>-58.212000000000003</v>
      </c>
      <c r="O28" s="272">
        <f>J28+N28</f>
        <v>-114.22488</v>
      </c>
      <c r="P28" s="273">
        <f ca="1">IF(K28=0,0,M28-E28+N28)</f>
        <v>85.695119999999847</v>
      </c>
      <c r="Q28" s="274">
        <f ca="1">P28/E28</f>
        <v>1.6645993379979549E-2</v>
      </c>
      <c r="R28" s="275" t="s">
        <v>518</v>
      </c>
      <c r="S28" s="59">
        <f ca="1">Q28+Q29+Q30+Q34</f>
        <v>4.1051147468807871E-2</v>
      </c>
      <c r="W28" s="39">
        <f t="shared" ca="1" si="0"/>
        <v>0.31602279924002535</v>
      </c>
      <c r="X28" s="119">
        <f t="shared" ca="1" si="2"/>
        <v>1626.914722685244</v>
      </c>
    </row>
    <row r="29" spans="1:24">
      <c r="A29" s="262" t="s">
        <v>517</v>
      </c>
      <c r="B29" s="262" t="s">
        <v>518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0"/>
        <v>1.3932868904369854E-2</v>
      </c>
      <c r="X33" s="119">
        <f t="shared" ca="1" si="2"/>
        <v>57.530574034198857</v>
      </c>
    </row>
    <row r="34" spans="1:26">
      <c r="A34" s="262" t="s">
        <v>517</v>
      </c>
      <c r="B34" s="262" t="s">
        <v>518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1"/>
        <v>48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43653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413</v>
      </c>
      <c r="W35" s="39">
        <f t="shared" ca="1" si="0"/>
        <v>3.0398986700443317E-2</v>
      </c>
      <c r="X35" s="119">
        <f t="shared" ca="1" si="2"/>
        <v>124.29376141861938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2489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-374.48725900000005</v>
      </c>
      <c r="O42" s="315">
        <f>SUM(O13:O41)</f>
        <v>-560.68539699999997</v>
      </c>
      <c r="P42" s="315">
        <f ca="1">SUM(P13:P41)</f>
        <v>3760.072983</v>
      </c>
      <c r="Q42" s="326">
        <f ca="1">SUM(Q13:Q41)</f>
        <v>3.9447953510288309</v>
      </c>
      <c r="R42" s="317"/>
      <c r="W42" s="327">
        <f ca="1">SUM(W13:W41)</f>
        <v>1.5763141228625712</v>
      </c>
      <c r="X42" s="328">
        <f ca="1">SUM(X13:X41)</f>
        <v>4752.248756977835</v>
      </c>
      <c r="Y42" s="329">
        <f ca="1">P42/X42</f>
        <v>0.79121973097031151</v>
      </c>
      <c r="Z42" s="329">
        <f ca="1">Y42/(D$43/365)</f>
        <v>0.18289753122492949</v>
      </c>
    </row>
    <row r="43" spans="1:26">
      <c r="C43" s="119" t="s">
        <v>569</v>
      </c>
      <c r="D43" s="46">
        <f ca="1">_xlfn.DAYS(TODAY(),F13)</f>
        <v>1579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6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9" t="s">
        <v>575</v>
      </c>
      <c r="B1" s="449"/>
      <c r="C1" s="449"/>
      <c r="D1" s="449"/>
      <c r="E1" s="449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5.2921386202666962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6.5289667330982031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5.0780852368541582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604</v>
      </c>
      <c r="B15" s="447"/>
      <c r="C15" s="447"/>
      <c r="D15" s="447"/>
      <c r="E15" s="447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11" t="s">
        <v>9</v>
      </c>
      <c r="E4" s="411"/>
      <c r="F4" s="411"/>
      <c r="G4" s="404"/>
      <c r="H4" s="222">
        <v>2018</v>
      </c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3">
        <v>2901.68</v>
      </c>
      <c r="L5" s="434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7">
        <v>620.05999999999995</v>
      </c>
      <c r="L6" s="418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7">
        <v>8035.29</v>
      </c>
      <c r="L7" s="418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7">
        <v>659.39</v>
      </c>
      <c r="L9" s="418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7">
        <f>240+35</f>
        <v>275</v>
      </c>
      <c r="L11" s="418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9">
        <f>SUM(K5:K18)</f>
        <v>26383.54</v>
      </c>
      <c r="L19" s="420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12"/>
      <c r="I22" s="421" t="s">
        <v>6</v>
      </c>
      <c r="J22" s="412"/>
      <c r="K22" s="412"/>
      <c r="L22" s="413"/>
      <c r="M22" s="1"/>
      <c r="N22" s="113">
        <f>K19-N19</f>
        <v>89.970000000004802</v>
      </c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12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11" t="s">
        <v>9</v>
      </c>
      <c r="E24" s="411"/>
      <c r="F24" s="411"/>
      <c r="G24" s="404"/>
      <c r="H24" s="112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2" t="str">
        <f>AÑO!A8</f>
        <v>Manolo Salario</v>
      </c>
      <c r="J25" s="425" t="s">
        <v>291</v>
      </c>
      <c r="K25" s="426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3"/>
      <c r="J26" s="427"/>
      <c r="K26" s="428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3"/>
      <c r="J27" s="427"/>
      <c r="K27" s="428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3"/>
      <c r="J28" s="427"/>
      <c r="K28" s="428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4"/>
      <c r="J29" s="429"/>
      <c r="K29" s="43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2" t="str">
        <f>AÑO!A9</f>
        <v>Rocío Salario</v>
      </c>
      <c r="J30" s="425" t="s">
        <v>238</v>
      </c>
      <c r="K30" s="426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23"/>
      <c r="J31" s="427" t="s">
        <v>256</v>
      </c>
      <c r="K31" s="428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3"/>
      <c r="J32" s="435" t="s">
        <v>267</v>
      </c>
      <c r="K32" s="428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3"/>
      <c r="J33" s="427"/>
      <c r="K33" s="42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4"/>
      <c r="J34" s="429"/>
      <c r="K34" s="430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22" t="s">
        <v>218</v>
      </c>
      <c r="J35" s="425" t="s">
        <v>306</v>
      </c>
      <c r="K35" s="426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3"/>
      <c r="J36" s="427"/>
      <c r="K36" s="42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3"/>
      <c r="J37" s="427"/>
      <c r="K37" s="42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3"/>
      <c r="J38" s="427"/>
      <c r="K38" s="42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24"/>
      <c r="J39" s="429"/>
      <c r="K39" s="430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2" t="str">
        <f>AÑO!A11</f>
        <v>Finanazas</v>
      </c>
      <c r="J40" s="425" t="s">
        <v>239</v>
      </c>
      <c r="K40" s="426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23"/>
      <c r="J41" s="427" t="s">
        <v>240</v>
      </c>
      <c r="K41" s="428"/>
      <c r="L41" s="229">
        <v>1.87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12"/>
      <c r="I42" s="423"/>
      <c r="J42" s="427" t="s">
        <v>269</v>
      </c>
      <c r="K42" s="428"/>
      <c r="L42" s="229">
        <v>0.02</v>
      </c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12"/>
      <c r="I43" s="423"/>
      <c r="J43" s="427"/>
      <c r="K43" s="428"/>
      <c r="L43" s="229"/>
      <c r="M43" s="1"/>
      <c r="R43" s="3"/>
    </row>
    <row r="44" spans="1:18" ht="15.6">
      <c r="A44" s="1"/>
      <c r="B44" s="403" t="s">
        <v>8</v>
      </c>
      <c r="C44" s="404"/>
      <c r="D44" s="411" t="s">
        <v>9</v>
      </c>
      <c r="E44" s="411"/>
      <c r="F44" s="411"/>
      <c r="G44" s="404"/>
      <c r="H44" s="112"/>
      <c r="I44" s="424"/>
      <c r="J44" s="429"/>
      <c r="K44" s="430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2" t="str">
        <f>AÑO!A12</f>
        <v>Regalos</v>
      </c>
      <c r="J45" s="425" t="s">
        <v>299</v>
      </c>
      <c r="K45" s="426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3"/>
      <c r="J46" s="427"/>
      <c r="K46" s="42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3"/>
      <c r="J47" s="427"/>
      <c r="K47" s="42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3"/>
      <c r="J48" s="427"/>
      <c r="K48" s="428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4"/>
      <c r="J49" s="429"/>
      <c r="K49" s="430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2" t="str">
        <f>AÑO!A13</f>
        <v>Gubernamental</v>
      </c>
      <c r="J50" s="425" t="s">
        <v>259</v>
      </c>
      <c r="K50" s="426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3"/>
      <c r="J51" s="427"/>
      <c r="K51" s="428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3"/>
      <c r="J52" s="427"/>
      <c r="K52" s="428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3"/>
      <c r="J53" s="427"/>
      <c r="K53" s="428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4"/>
      <c r="J54" s="429"/>
      <c r="K54" s="430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3"/>
      <c r="J56" s="427"/>
      <c r="K56" s="428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3"/>
      <c r="J57" s="427"/>
      <c r="K57" s="428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3"/>
      <c r="J58" s="427"/>
      <c r="K58" s="42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24"/>
      <c r="J59" s="429"/>
      <c r="K59" s="430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12"/>
      <c r="I62" s="423"/>
      <c r="J62" s="427"/>
      <c r="K62" s="428"/>
      <c r="L62" s="22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12"/>
      <c r="I63" s="423"/>
      <c r="J63" s="427"/>
      <c r="K63" s="428"/>
      <c r="L63" s="229"/>
      <c r="M63" s="1"/>
      <c r="R63" s="3"/>
    </row>
    <row r="64" spans="1:18" ht="15.6">
      <c r="A64" s="1"/>
      <c r="B64" s="403" t="s">
        <v>8</v>
      </c>
      <c r="C64" s="404"/>
      <c r="D64" s="411" t="s">
        <v>9</v>
      </c>
      <c r="E64" s="411"/>
      <c r="F64" s="411"/>
      <c r="G64" s="404"/>
      <c r="H64" s="112"/>
      <c r="I64" s="424"/>
      <c r="J64" s="429"/>
      <c r="K64" s="430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2" t="str">
        <f>AÑO!A16</f>
        <v>Otros</v>
      </c>
      <c r="J65" s="425" t="s">
        <v>296</v>
      </c>
      <c r="K65" s="426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3"/>
      <c r="J66" s="427"/>
      <c r="K66" s="428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23"/>
      <c r="J67" s="427"/>
      <c r="K67" s="428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3"/>
      <c r="J68" s="427"/>
      <c r="K68" s="428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8"/>
      <c r="J69" s="439"/>
      <c r="K69" s="440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12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12"/>
      <c r="M83" s="1"/>
      <c r="R83" s="3"/>
    </row>
    <row r="84" spans="1:18" ht="15.6">
      <c r="A84" s="1"/>
      <c r="B84" s="403" t="s">
        <v>8</v>
      </c>
      <c r="C84" s="404"/>
      <c r="D84" s="411" t="s">
        <v>9</v>
      </c>
      <c r="E84" s="411"/>
      <c r="F84" s="411"/>
      <c r="G84" s="404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12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12"/>
      <c r="M103" s="1"/>
      <c r="R103" s="3"/>
    </row>
    <row r="104" spans="1:18" ht="15.6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12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12"/>
      <c r="M123" s="1"/>
      <c r="R123" s="3"/>
    </row>
    <row r="124" spans="1:18" ht="15.6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12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12"/>
      <c r="M143" s="1"/>
      <c r="R143" s="3"/>
    </row>
    <row r="144" spans="1:18" ht="15.6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  <c r="H202" s="112"/>
    </row>
    <row r="203" spans="2:12" ht="15" customHeight="1" thickBot="1">
      <c r="B203" s="414"/>
      <c r="C203" s="415"/>
      <c r="D203" s="415"/>
      <c r="E203" s="415"/>
      <c r="F203" s="415"/>
      <c r="G203" s="416"/>
      <c r="H203" s="112"/>
    </row>
    <row r="204" spans="2:12" ht="15.6">
      <c r="B204" s="403" t="s">
        <v>8</v>
      </c>
      <c r="C204" s="404"/>
      <c r="D204" s="411" t="s">
        <v>9</v>
      </c>
      <c r="E204" s="411"/>
      <c r="F204" s="411"/>
      <c r="G204" s="404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05" t="str">
        <f>AÑO!A31</f>
        <v>Deportes</v>
      </c>
      <c r="C222" s="412"/>
      <c r="D222" s="412"/>
      <c r="E222" s="412"/>
      <c r="F222" s="412"/>
      <c r="G222" s="413"/>
      <c r="H222" s="112"/>
    </row>
    <row r="223" spans="2:8" ht="15" customHeight="1" thickBot="1">
      <c r="B223" s="414"/>
      <c r="C223" s="415"/>
      <c r="D223" s="415"/>
      <c r="E223" s="415"/>
      <c r="F223" s="415"/>
      <c r="G223" s="416"/>
      <c r="H223" s="112"/>
    </row>
    <row r="224" spans="2:8" ht="15.6">
      <c r="B224" s="403" t="s">
        <v>8</v>
      </c>
      <c r="C224" s="404"/>
      <c r="D224" s="411" t="s">
        <v>9</v>
      </c>
      <c r="E224" s="411"/>
      <c r="F224" s="411"/>
      <c r="G224" s="404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05" t="str">
        <f>AÑO!A32</f>
        <v>Hogar</v>
      </c>
      <c r="C242" s="412"/>
      <c r="D242" s="412"/>
      <c r="E242" s="412"/>
      <c r="F242" s="412"/>
      <c r="G242" s="413"/>
      <c r="H242" s="112"/>
    </row>
    <row r="243" spans="2:8" ht="15" customHeight="1" thickBot="1">
      <c r="B243" s="414"/>
      <c r="C243" s="415"/>
      <c r="D243" s="415"/>
      <c r="E243" s="415"/>
      <c r="F243" s="415"/>
      <c r="G243" s="416"/>
      <c r="H243" s="112"/>
    </row>
    <row r="244" spans="2:8" ht="15" customHeight="1">
      <c r="B244" s="403" t="s">
        <v>8</v>
      </c>
      <c r="C244" s="404"/>
      <c r="D244" s="411" t="s">
        <v>9</v>
      </c>
      <c r="E244" s="411"/>
      <c r="F244" s="411"/>
      <c r="G244" s="40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05" t="str">
        <f>AÑO!A33</f>
        <v>Formación</v>
      </c>
      <c r="C262" s="412"/>
      <c r="D262" s="412"/>
      <c r="E262" s="412"/>
      <c r="F262" s="412"/>
      <c r="G262" s="413"/>
      <c r="H262" s="112"/>
    </row>
    <row r="263" spans="2:8" ht="15" customHeight="1" thickBot="1">
      <c r="B263" s="414"/>
      <c r="C263" s="415"/>
      <c r="D263" s="415"/>
      <c r="E263" s="415"/>
      <c r="F263" s="415"/>
      <c r="G263" s="416"/>
      <c r="H263" s="112"/>
    </row>
    <row r="264" spans="2:8" ht="15.6">
      <c r="B264" s="403" t="s">
        <v>8</v>
      </c>
      <c r="C264" s="404"/>
      <c r="D264" s="411" t="s">
        <v>9</v>
      </c>
      <c r="E264" s="411"/>
      <c r="F264" s="411"/>
      <c r="G264" s="404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  <c r="H282" s="112"/>
    </row>
    <row r="283" spans="2:8" ht="15" customHeight="1" thickBot="1">
      <c r="B283" s="414"/>
      <c r="C283" s="415"/>
      <c r="D283" s="415"/>
      <c r="E283" s="415"/>
      <c r="F283" s="415"/>
      <c r="G283" s="416"/>
      <c r="H283" s="112"/>
    </row>
    <row r="284" spans="2:8" ht="15.6">
      <c r="B284" s="403" t="s">
        <v>8</v>
      </c>
      <c r="C284" s="404"/>
      <c r="D284" s="411" t="s">
        <v>9</v>
      </c>
      <c r="E284" s="411"/>
      <c r="F284" s="411"/>
      <c r="G284" s="404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6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  <c r="H302" s="112"/>
    </row>
    <row r="303" spans="2:8" ht="15" customHeight="1" thickBot="1">
      <c r="B303" s="414"/>
      <c r="C303" s="415"/>
      <c r="D303" s="415"/>
      <c r="E303" s="415"/>
      <c r="F303" s="415"/>
      <c r="G303" s="416"/>
      <c r="H303" s="112"/>
    </row>
    <row r="304" spans="2:8" ht="15.6">
      <c r="B304" s="403" t="s">
        <v>8</v>
      </c>
      <c r="C304" s="404"/>
      <c r="D304" s="411" t="s">
        <v>9</v>
      </c>
      <c r="E304" s="411"/>
      <c r="F304" s="411"/>
      <c r="G304" s="404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05" t="str">
        <f>AÑO!A36</f>
        <v>Nenas</v>
      </c>
      <c r="C322" s="412"/>
      <c r="D322" s="412"/>
      <c r="E322" s="412"/>
      <c r="F322" s="412"/>
      <c r="G322" s="413"/>
      <c r="H322" s="112"/>
    </row>
    <row r="323" spans="2:8" ht="15" customHeight="1" thickBot="1">
      <c r="B323" s="414"/>
      <c r="C323" s="415"/>
      <c r="D323" s="415"/>
      <c r="E323" s="415"/>
      <c r="F323" s="415"/>
      <c r="G323" s="416"/>
      <c r="H323" s="112"/>
    </row>
    <row r="324" spans="2:8" ht="15.6">
      <c r="B324" s="403" t="s">
        <v>8</v>
      </c>
      <c r="C324" s="404"/>
      <c r="D324" s="411" t="s">
        <v>9</v>
      </c>
      <c r="E324" s="411"/>
      <c r="F324" s="411"/>
      <c r="G324" s="404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05" t="str">
        <f>AÑO!A37</f>
        <v>Impuestos</v>
      </c>
      <c r="C342" s="412"/>
      <c r="D342" s="412"/>
      <c r="E342" s="412"/>
      <c r="F342" s="412"/>
      <c r="G342" s="413"/>
      <c r="H342" s="112"/>
    </row>
    <row r="343" spans="2:8" ht="15" customHeight="1" thickBot="1">
      <c r="B343" s="414"/>
      <c r="C343" s="415"/>
      <c r="D343" s="415"/>
      <c r="E343" s="415"/>
      <c r="F343" s="415"/>
      <c r="G343" s="416"/>
      <c r="H343" s="112"/>
    </row>
    <row r="344" spans="2:8" ht="15.6">
      <c r="B344" s="403" t="s">
        <v>8</v>
      </c>
      <c r="C344" s="404"/>
      <c r="D344" s="411" t="s">
        <v>9</v>
      </c>
      <c r="E344" s="411"/>
      <c r="F344" s="411"/>
      <c r="G344" s="404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05" t="str">
        <f>AÑO!A38</f>
        <v>Gastos Curros</v>
      </c>
      <c r="C362" s="412"/>
      <c r="D362" s="412"/>
      <c r="E362" s="412"/>
      <c r="F362" s="412"/>
      <c r="G362" s="413"/>
      <c r="H362" s="112"/>
    </row>
    <row r="363" spans="2:8" ht="15" customHeight="1" thickBot="1">
      <c r="B363" s="414"/>
      <c r="C363" s="415"/>
      <c r="D363" s="415"/>
      <c r="E363" s="415"/>
      <c r="F363" s="415"/>
      <c r="G363" s="416"/>
      <c r="H363" s="112"/>
    </row>
    <row r="364" spans="2:8" ht="15.6">
      <c r="B364" s="403" t="s">
        <v>8</v>
      </c>
      <c r="C364" s="404"/>
      <c r="D364" s="411" t="s">
        <v>9</v>
      </c>
      <c r="E364" s="411"/>
      <c r="F364" s="411"/>
      <c r="G364" s="404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05" t="str">
        <f>AÑO!A39</f>
        <v>Dreamed Holidays</v>
      </c>
      <c r="C382" s="412"/>
      <c r="D382" s="412"/>
      <c r="E382" s="412"/>
      <c r="F382" s="412"/>
      <c r="G382" s="413"/>
      <c r="H382" s="112"/>
    </row>
    <row r="383" spans="2:8" ht="15" customHeight="1" thickBot="1">
      <c r="B383" s="414"/>
      <c r="C383" s="415"/>
      <c r="D383" s="415"/>
      <c r="E383" s="415"/>
      <c r="F383" s="415"/>
      <c r="G383" s="416"/>
      <c r="H383" s="112"/>
    </row>
    <row r="384" spans="2:8" ht="15.6">
      <c r="B384" s="403" t="s">
        <v>8</v>
      </c>
      <c r="C384" s="404"/>
      <c r="D384" s="411" t="s">
        <v>9</v>
      </c>
      <c r="E384" s="411"/>
      <c r="F384" s="411"/>
      <c r="G384" s="404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05" t="str">
        <f>AÑO!A40</f>
        <v>Financieros</v>
      </c>
      <c r="C402" s="412"/>
      <c r="D402" s="412"/>
      <c r="E402" s="412"/>
      <c r="F402" s="412"/>
      <c r="G402" s="413"/>
      <c r="H402" s="112"/>
    </row>
    <row r="403" spans="2:8" ht="15" customHeight="1" thickBot="1">
      <c r="B403" s="414"/>
      <c r="C403" s="415"/>
      <c r="D403" s="415"/>
      <c r="E403" s="415"/>
      <c r="F403" s="415"/>
      <c r="G403" s="416"/>
      <c r="H403" s="112"/>
    </row>
    <row r="404" spans="2:8" ht="15.6">
      <c r="B404" s="403" t="s">
        <v>8</v>
      </c>
      <c r="C404" s="404"/>
      <c r="D404" s="411" t="s">
        <v>9</v>
      </c>
      <c r="E404" s="411"/>
      <c r="F404" s="411"/>
      <c r="G404" s="404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6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05" t="str">
        <f>AÑO!A41</f>
        <v>Ahorros Colchón</v>
      </c>
      <c r="C422" s="406"/>
      <c r="D422" s="406"/>
      <c r="E422" s="406"/>
      <c r="F422" s="406"/>
      <c r="G422" s="407"/>
      <c r="H422" s="112"/>
    </row>
    <row r="423" spans="1:8" ht="15" customHeight="1" thickBot="1">
      <c r="B423" s="408"/>
      <c r="C423" s="409"/>
      <c r="D423" s="409"/>
      <c r="E423" s="409"/>
      <c r="F423" s="409"/>
      <c r="G423" s="410"/>
      <c r="H423" s="112"/>
    </row>
    <row r="424" spans="1:8" ht="15.6">
      <c r="B424" s="403" t="s">
        <v>8</v>
      </c>
      <c r="C424" s="404"/>
      <c r="D424" s="411" t="s">
        <v>9</v>
      </c>
      <c r="E424" s="411"/>
      <c r="F424" s="411"/>
      <c r="G424" s="404"/>
      <c r="H424" s="112"/>
    </row>
    <row r="425" spans="1:8" ht="15.6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05" t="str">
        <f>AÑO!A42</f>
        <v>Dinero Bloqueado</v>
      </c>
      <c r="C442" s="406"/>
      <c r="D442" s="406"/>
      <c r="E442" s="406"/>
      <c r="F442" s="406"/>
      <c r="G442" s="407"/>
      <c r="H442" s="112"/>
    </row>
    <row r="443" spans="2:8" ht="15" customHeight="1" thickBot="1">
      <c r="B443" s="408"/>
      <c r="C443" s="409"/>
      <c r="D443" s="409"/>
      <c r="E443" s="409"/>
      <c r="F443" s="409"/>
      <c r="G443" s="410"/>
      <c r="H443" s="112"/>
    </row>
    <row r="444" spans="2:8" ht="15.6">
      <c r="B444" s="403" t="s">
        <v>8</v>
      </c>
      <c r="C444" s="404"/>
      <c r="D444" s="411" t="s">
        <v>9</v>
      </c>
      <c r="E444" s="411"/>
      <c r="F444" s="411"/>
      <c r="G444" s="404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05" t="str">
        <f>AÑO!A43</f>
        <v>Cartama Finanazas</v>
      </c>
      <c r="C462" s="406"/>
      <c r="D462" s="406"/>
      <c r="E462" s="406"/>
      <c r="F462" s="406"/>
      <c r="G462" s="407"/>
      <c r="H462" s="112"/>
    </row>
    <row r="463" spans="2:8" ht="15" customHeight="1" thickBot="1">
      <c r="B463" s="408"/>
      <c r="C463" s="409"/>
      <c r="D463" s="409"/>
      <c r="E463" s="409"/>
      <c r="F463" s="409"/>
      <c r="G463" s="410"/>
      <c r="H463" s="112"/>
    </row>
    <row r="464" spans="2:8" ht="15.6">
      <c r="B464" s="403" t="s">
        <v>8</v>
      </c>
      <c r="C464" s="404"/>
      <c r="D464" s="411" t="s">
        <v>9</v>
      </c>
      <c r="E464" s="411"/>
      <c r="F464" s="411"/>
      <c r="G464" s="404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05" t="str">
        <f>AÑO!A44</f>
        <v>NULO</v>
      </c>
      <c r="C482" s="406"/>
      <c r="D482" s="406"/>
      <c r="E482" s="406"/>
      <c r="F482" s="406"/>
      <c r="G482" s="407"/>
      <c r="H482" s="112"/>
    </row>
    <row r="483" spans="2:8" ht="15" customHeight="1" thickBot="1">
      <c r="B483" s="408"/>
      <c r="C483" s="409"/>
      <c r="D483" s="409"/>
      <c r="E483" s="409"/>
      <c r="F483" s="409"/>
      <c r="G483" s="410"/>
      <c r="H483" s="112"/>
    </row>
    <row r="484" spans="2:8" ht="15.6">
      <c r="B484" s="403" t="s">
        <v>8</v>
      </c>
      <c r="C484" s="404"/>
      <c r="D484" s="411" t="s">
        <v>9</v>
      </c>
      <c r="E484" s="411"/>
      <c r="F484" s="411"/>
      <c r="G484" s="404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05" t="str">
        <f>AÑO!A45</f>
        <v>OTROS</v>
      </c>
      <c r="C502" s="406"/>
      <c r="D502" s="406"/>
      <c r="E502" s="406"/>
      <c r="F502" s="406"/>
      <c r="G502" s="407"/>
      <c r="H502" s="112"/>
    </row>
    <row r="503" spans="2:8" ht="15" customHeight="1" thickBot="1">
      <c r="B503" s="408"/>
      <c r="C503" s="409"/>
      <c r="D503" s="409"/>
      <c r="E503" s="409"/>
      <c r="F503" s="409"/>
      <c r="G503" s="410"/>
      <c r="H503" s="112"/>
    </row>
    <row r="504" spans="2:8" ht="15.6">
      <c r="B504" s="403" t="s">
        <v>8</v>
      </c>
      <c r="C504" s="404"/>
      <c r="D504" s="411" t="s">
        <v>9</v>
      </c>
      <c r="E504" s="411"/>
      <c r="F504" s="411"/>
      <c r="G504" s="404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2397.48-4.45</f>
        <v>2393.0300000000002</v>
      </c>
      <c r="L5" s="434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>
        <f>7340.23-4.45</f>
        <v>7335.78</v>
      </c>
      <c r="L7" s="418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7001.87</v>
      </c>
      <c r="L8" s="418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669.52</v>
      </c>
      <c r="L9" s="418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160+155</f>
        <v>315</v>
      </c>
      <c r="L11" s="418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25229.379999999997</v>
      </c>
      <c r="L19" s="420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314</v>
      </c>
      <c r="K30" s="426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319</v>
      </c>
      <c r="K31" s="428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 t="s">
        <v>314</v>
      </c>
      <c r="K33" s="428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6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3"/>
      <c r="J46" s="427"/>
      <c r="K46" s="428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3"/>
      <c r="J47" s="427"/>
      <c r="K47" s="428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3"/>
      <c r="J48" s="427"/>
      <c r="K48" s="428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3"/>
      <c r="J51" s="427"/>
      <c r="K51" s="428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3"/>
      <c r="J52" s="427"/>
      <c r="K52" s="428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3"/>
      <c r="J53" s="427"/>
      <c r="K53" s="428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2" t="str">
        <f>AÑO!A15</f>
        <v>Alquiler Cartama</v>
      </c>
      <c r="J60" s="425" t="s">
        <v>315</v>
      </c>
      <c r="K60" s="426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6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3"/>
      <c r="J66" s="427"/>
      <c r="K66" s="428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3"/>
      <c r="J67" s="427"/>
      <c r="K67" s="428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3"/>
      <c r="J68" s="427"/>
      <c r="K68" s="428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8"/>
      <c r="J69" s="439"/>
      <c r="K69" s="440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6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1559.34</v>
      </c>
      <c r="L5" s="434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7">
        <v>8577.0300000000007</v>
      </c>
      <c r="L7" s="418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7">
        <v>4167.34</v>
      </c>
      <c r="L9" s="418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255</v>
      </c>
      <c r="L11" s="418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25574.760000000002</v>
      </c>
      <c r="L19" s="420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238</v>
      </c>
      <c r="K31" s="428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6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380</v>
      </c>
      <c r="K45" s="426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3"/>
      <c r="J46" s="427" t="s">
        <v>160</v>
      </c>
      <c r="K46" s="428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3"/>
      <c r="J47" s="427"/>
      <c r="K47" s="428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3"/>
      <c r="J48" s="427"/>
      <c r="K48" s="428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3"/>
      <c r="J51" s="427" t="s">
        <v>418</v>
      </c>
      <c r="K51" s="428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3"/>
      <c r="J52" s="427"/>
      <c r="K52" s="428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3"/>
      <c r="J53" s="427"/>
      <c r="K53" s="428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2" t="str">
        <f>AÑO!A14</f>
        <v>Mutualite/DKV</v>
      </c>
      <c r="J55" s="441" t="str">
        <f>G306</f>
        <v>12/03 Chirec</v>
      </c>
      <c r="K55" s="426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367</v>
      </c>
      <c r="K60" s="426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6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3"/>
      <c r="J66" s="427"/>
      <c r="K66" s="428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3"/>
      <c r="J67" s="427"/>
      <c r="K67" s="42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3"/>
      <c r="J68" s="427"/>
      <c r="K68" s="42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8"/>
      <c r="J69" s="439"/>
      <c r="K69" s="440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8" ht="15" customHeight="1" thickBot="1">
      <c r="B243" s="414"/>
      <c r="C243" s="415"/>
      <c r="D243" s="415"/>
      <c r="E243" s="415"/>
      <c r="F243" s="415"/>
      <c r="G243" s="416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11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861.84</v>
      </c>
      <c r="L5" s="434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10075.709999999999</v>
      </c>
      <c r="L7" s="418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35.96</v>
      </c>
      <c r="L9" s="418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370</v>
      </c>
      <c r="L11" s="418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5092.08+4084.2</f>
        <v>9176.2799999999988</v>
      </c>
      <c r="L12" s="418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425</v>
      </c>
      <c r="K40" s="426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445</v>
      </c>
      <c r="K41" s="428"/>
      <c r="L41" s="229">
        <v>352.82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 t="s">
        <v>60</v>
      </c>
      <c r="K42" s="428"/>
      <c r="L42" s="229">
        <v>0.02</v>
      </c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6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3"/>
      <c r="J46" s="427"/>
      <c r="K46" s="42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3"/>
      <c r="J47" s="427"/>
      <c r="K47" s="428"/>
      <c r="L47" s="229"/>
      <c r="M47" s="1"/>
      <c r="R47" s="3"/>
    </row>
    <row r="48" spans="1:18" ht="15.6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3"/>
      <c r="J48" s="427"/>
      <c r="K48" s="428"/>
      <c r="L48" s="229"/>
      <c r="M48" s="1"/>
      <c r="R48" s="3"/>
    </row>
    <row r="49" spans="1:18" ht="15.6">
      <c r="A49" s="1"/>
      <c r="B49" s="134"/>
      <c r="C49" s="16" t="s">
        <v>462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434</v>
      </c>
      <c r="K50" s="426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1" t="str">
        <f>'03'!G307</f>
        <v>22/03 Chirec</v>
      </c>
      <c r="K55" s="426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44" t="str">
        <f>'03'!G309</f>
        <v>26/03 Ginecologa</v>
      </c>
      <c r="K56" s="42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449</v>
      </c>
      <c r="K57" s="42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6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3"/>
      <c r="J66" s="427"/>
      <c r="K66" s="428"/>
      <c r="L66" s="229"/>
      <c r="M66" s="1"/>
      <c r="R66" s="3"/>
    </row>
    <row r="67" spans="1:18" ht="15.6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3"/>
      <c r="J67" s="427"/>
      <c r="K67" s="42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6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1773.93</v>
      </c>
      <c r="L5" s="434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7144.52</v>
      </c>
      <c r="L7" s="418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10005.620000000001</v>
      </c>
      <c r="L8" s="418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514.82000000000005</v>
      </c>
      <c r="L9" s="418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210</f>
        <v>210</v>
      </c>
      <c r="L11" s="418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363</v>
      </c>
      <c r="K31" s="428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473</v>
      </c>
      <c r="K40" s="426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6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3"/>
      <c r="J46" s="427"/>
      <c r="K46" s="42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3"/>
      <c r="J47" s="427"/>
      <c r="K47" s="428"/>
      <c r="L47" s="229"/>
      <c r="M47" s="1"/>
      <c r="R47" s="3"/>
    </row>
    <row r="48" spans="1:18" ht="15.6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3"/>
      <c r="J48" s="427"/>
      <c r="K48" s="428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22" t="str">
        <f>AÑO!A13</f>
        <v>Gubernamental</v>
      </c>
      <c r="J50" s="425" t="s">
        <v>484</v>
      </c>
      <c r="K50" s="426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23"/>
      <c r="J51" s="427"/>
      <c r="K51" s="428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23"/>
      <c r="J52" s="427"/>
      <c r="K52" s="428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23"/>
      <c r="J53" s="427"/>
      <c r="K53" s="428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22" t="str">
        <f>AÑO!A14</f>
        <v>Mutualite/DKV</v>
      </c>
      <c r="J55" s="425" t="s">
        <v>478</v>
      </c>
      <c r="K55" s="426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6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3"/>
      <c r="J66" s="427"/>
      <c r="K66" s="428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3"/>
      <c r="J67" s="427"/>
      <c r="K67" s="428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3"/>
      <c r="J68" s="427"/>
      <c r="K68" s="428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38"/>
      <c r="J69" s="439"/>
      <c r="K69" s="440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03" t="s">
        <v>9</v>
      </c>
      <c r="E424" s="411"/>
      <c r="F424" s="411"/>
      <c r="G424" s="404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0" zoomScaleNormal="100" workbookViewId="0">
      <selection activeCell="J50" sqref="J50:K5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M5+2156.93</f>
        <v>1614.1099999999997</v>
      </c>
      <c r="L5" s="434"/>
      <c r="M5" s="1">
        <f>-542.82</f>
        <v>-542.82000000000005</v>
      </c>
      <c r="N5" s="1" t="s">
        <v>612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f>9234.42-58.2</f>
        <v>9176.2199999999993</v>
      </c>
      <c r="L7" s="418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190</v>
      </c>
      <c r="L11" s="418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627</v>
      </c>
      <c r="K30" s="426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6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23"/>
      <c r="J46" s="427"/>
      <c r="K46" s="42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23"/>
      <c r="J47" s="427"/>
      <c r="K47" s="428"/>
      <c r="L47" s="229"/>
      <c r="M47" s="1"/>
      <c r="R47" s="3"/>
    </row>
    <row r="48" spans="1:18" ht="15.6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23"/>
      <c r="J48" s="427"/>
      <c r="K48" s="428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23"/>
      <c r="J51" s="427"/>
      <c r="K51" s="428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23"/>
      <c r="J52" s="427"/>
      <c r="K52" s="428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23"/>
      <c r="J53" s="427"/>
      <c r="K53" s="428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628</v>
      </c>
      <c r="K60" s="426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6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23"/>
      <c r="J66" s="427"/>
      <c r="K66" s="428"/>
      <c r="L66" s="229"/>
      <c r="M66" s="1"/>
      <c r="R66" s="3"/>
    </row>
    <row r="67" spans="1:18" ht="15.6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23"/>
      <c r="J67" s="427"/>
      <c r="K67" s="428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23"/>
      <c r="J68" s="427"/>
      <c r="K68" s="42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38"/>
      <c r="J69" s="439"/>
      <c r="K69" s="44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6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9" ht="15" customHeight="1" thickBot="1">
      <c r="B283" s="414"/>
      <c r="C283" s="415"/>
      <c r="D283" s="415"/>
      <c r="E283" s="415"/>
      <c r="F283" s="415"/>
      <c r="G283" s="416"/>
    </row>
    <row r="284" spans="2:9">
      <c r="B284" s="403" t="s">
        <v>8</v>
      </c>
      <c r="C284" s="404"/>
      <c r="D284" s="403" t="s">
        <v>9</v>
      </c>
      <c r="E284" s="411"/>
      <c r="F284" s="411"/>
      <c r="G284" s="404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42" workbookViewId="0">
      <selection activeCell="B42" sqref="B42:G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6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6">
      <c r="A8" s="112">
        <f>'06'!A8+(B8-SUM(D8:F8))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6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6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2" thickBot="1">
      <c r="A20" s="112">
        <f>SUM(A6:A15)</f>
        <v>778.34999999999991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6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6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6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627</v>
      </c>
      <c r="K31" s="428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2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680</v>
      </c>
      <c r="K40" s="426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6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23"/>
      <c r="J46" s="427"/>
      <c r="K46" s="428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691</v>
      </c>
      <c r="H47" s="1"/>
      <c r="I47" s="423"/>
      <c r="J47" s="427"/>
      <c r="K47" s="428"/>
      <c r="L47" s="229"/>
      <c r="M47" s="1"/>
      <c r="R47" s="3"/>
    </row>
    <row r="48" spans="1:18" ht="15.6">
      <c r="A48" s="1"/>
      <c r="B48" s="134"/>
      <c r="C48" s="16" t="s">
        <v>620</v>
      </c>
      <c r="D48" s="137"/>
      <c r="E48" s="138"/>
      <c r="F48" s="138"/>
      <c r="G48" s="16"/>
      <c r="H48" s="1"/>
      <c r="I48" s="423"/>
      <c r="J48" s="427"/>
      <c r="K48" s="428"/>
      <c r="L48" s="229"/>
      <c r="M48" s="1"/>
      <c r="R48" s="3"/>
    </row>
    <row r="49" spans="1:18" ht="15.6">
      <c r="A49" s="1"/>
      <c r="B49" s="134">
        <f>-10</f>
        <v>-10</v>
      </c>
      <c r="C49" s="16" t="s">
        <v>688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290</v>
      </c>
      <c r="C60" s="17" t="s">
        <v>53</v>
      </c>
      <c r="D60" s="135">
        <f>SUM(D46:D59)</f>
        <v>22.45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6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6">
      <c r="A66" s="112">
        <f>'06'!A66+(B66-SUM(D66:F78))+B67</f>
        <v>119.68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23"/>
      <c r="J66" s="427"/>
      <c r="K66" s="42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209.68</v>
      </c>
      <c r="B80" s="233">
        <f>SUM(B66:B79)</f>
        <v>170</v>
      </c>
      <c r="C80" s="17" t="s">
        <v>53</v>
      </c>
      <c r="D80" s="135">
        <f>SUM(D66:D79)</f>
        <v>42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554.03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8.0299999999999994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14.63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47.94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48.519999999999996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6">
      <c r="A257" s="112">
        <f>'06'!A257+(B257-SUM(D257:F257))</f>
        <v>656.79000000000008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6">
      <c r="A258" s="112">
        <f>'06'!A258+(B258-SUM(D258:F258))</f>
        <v>-174</v>
      </c>
      <c r="B258" s="134">
        <f>25+10</f>
        <v>35</v>
      </c>
      <c r="C258" s="16" t="s">
        <v>404</v>
      </c>
      <c r="D258" s="137">
        <v>349</v>
      </c>
      <c r="E258" s="138"/>
      <c r="F258" s="138"/>
      <c r="G258" s="16" t="s">
        <v>689</v>
      </c>
    </row>
    <row r="259" spans="1:7" ht="16.2" thickBot="1">
      <c r="A259" s="112"/>
      <c r="B259" s="135"/>
      <c r="C259" s="17"/>
      <c r="D259" s="135"/>
      <c r="E259" s="139"/>
      <c r="F259" s="139"/>
      <c r="G259" s="17"/>
    </row>
    <row r="260" spans="1:7" ht="16.2" thickBot="1">
      <c r="A260" s="112">
        <f>SUM(A246:A259)</f>
        <v>584.29000000000008</v>
      </c>
      <c r="B260" s="135">
        <f>SUM(B246:B259)</f>
        <v>110</v>
      </c>
      <c r="C260" s="17" t="s">
        <v>53</v>
      </c>
      <c r="D260" s="135">
        <f>SUM(D246:D259)</f>
        <v>349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691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25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27.5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4+4.5</f>
        <v>8.5</v>
      </c>
      <c r="G366" s="31" t="s">
        <v>67</v>
      </c>
    </row>
    <row r="367" spans="2:7">
      <c r="B367" s="134"/>
      <c r="C367" s="16"/>
      <c r="D367" s="137">
        <v>5.6</v>
      </c>
      <c r="E367" s="138"/>
      <c r="F367" s="138"/>
      <c r="G367" s="31" t="s">
        <v>687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5.6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51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AÑO!AA17</f>
        <v>1702.8000000000002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-2198.1999999999998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-2198.1999999999998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0" workbookViewId="0">
      <selection activeCell="A109" sqref="A109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2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6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6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6">
      <c r="A8" s="112">
        <f>'07'!A8+(B8-SUM(D8:F8))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6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6">
      <c r="A11" s="112">
        <f>'07'!A11+(B11-SUM(D11:F11))</f>
        <v>60.45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2" thickBot="1">
      <c r="A20" s="112">
        <f>SUM(A6:A15)</f>
        <v>1322.35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2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6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6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6">
      <c r="A27" s="112">
        <f>'07'!A27+(B27-SUM(D27:F27))</f>
        <v>410.03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6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6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2" thickBot="1">
      <c r="A40" s="112">
        <f>SUM(A26:A35)</f>
        <v>2632.09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2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6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6">
      <c r="A47" s="1"/>
      <c r="B47" s="134"/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6">
      <c r="A48" s="1"/>
      <c r="B48" s="134"/>
      <c r="C48" s="16" t="s">
        <v>620</v>
      </c>
      <c r="D48" s="137"/>
      <c r="E48" s="138"/>
      <c r="F48" s="138"/>
      <c r="G48" s="16"/>
      <c r="H48" s="1"/>
      <c r="I48" s="423"/>
      <c r="J48" s="427"/>
      <c r="K48" s="428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2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6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6">
      <c r="A66" s="112">
        <f>'07'!A66+(B66-SUM(D66:F78))+B67</f>
        <v>279.68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379.68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2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6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2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6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139.93000000000004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931.5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2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6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2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6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03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2019-07-07T10:09:03Z</dcterms:modified>
</cp:coreProperties>
</file>