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9FAA755C-C9E8-4573-950E-2D154B969B13}" xr6:coauthVersionLast="36" xr6:coauthVersionMax="36" xr10:uidLastSave="{00000000-0000-0000-0000-000000000000}"/>
  <bookViews>
    <workbookView xWindow="0" yWindow="0" windowWidth="27330" windowHeight="579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9" i="18" l="1"/>
  <c r="S13" i="18"/>
  <c r="D308" i="6"/>
  <c r="B3" i="19" l="1"/>
  <c r="B7" i="19" s="1"/>
  <c r="B12" i="19" l="1"/>
  <c r="C4" i="19"/>
  <c r="D4" i="19" s="1"/>
  <c r="C5" i="19"/>
  <c r="D5" i="19" s="1"/>
  <c r="C6" i="19"/>
  <c r="D6" i="19" s="1"/>
  <c r="C3" i="19"/>
  <c r="C7" i="19" l="1"/>
  <c r="D3" i="19"/>
  <c r="E366" i="6" l="1"/>
  <c r="F366" i="6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A430" i="6"/>
  <c r="B109" i="6"/>
  <c r="W27" i="18" l="1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36" i="18"/>
  <c r="X36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2" i="18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H13" i="18"/>
  <c r="I13" i="18" s="1"/>
  <c r="J13" i="18" s="1"/>
  <c r="H5" i="18"/>
  <c r="M5" i="18" s="1"/>
  <c r="H4" i="18"/>
  <c r="M4" i="18" s="1"/>
  <c r="H3" i="18"/>
  <c r="I3" i="18" s="1"/>
  <c r="J3" i="18" s="1"/>
  <c r="O3" i="18" l="1"/>
  <c r="I4" i="18"/>
  <c r="J4" i="18" s="1"/>
  <c r="I25" i="18"/>
  <c r="J25" i="18" s="1"/>
  <c r="M3" i="18"/>
  <c r="N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P25" i="18"/>
  <c r="Q25" i="18" s="1"/>
  <c r="E3" i="18"/>
  <c r="E25" i="18"/>
  <c r="X25" i="18" s="1"/>
  <c r="B46" i="7"/>
  <c r="E33" i="18" l="1"/>
  <c r="X33" i="18" s="1"/>
  <c r="J33" i="18"/>
  <c r="O33" i="18" s="1"/>
  <c r="X35" i="18"/>
  <c r="Q3" i="18"/>
  <c r="O28" i="18"/>
  <c r="W42" i="18"/>
  <c r="D42" i="18"/>
  <c r="J42" i="18"/>
  <c r="O42" i="18"/>
  <c r="N42" i="18"/>
  <c r="E35" i="18"/>
  <c r="E19" i="18"/>
  <c r="X19" i="18" s="1"/>
  <c r="O4" i="18"/>
  <c r="E4" i="18"/>
  <c r="E28" i="18"/>
  <c r="X28" i="18" s="1"/>
  <c r="J5" i="18"/>
  <c r="O5" i="18" s="1"/>
  <c r="P33" i="18"/>
  <c r="Q33" i="18" s="1"/>
  <c r="P35" i="18"/>
  <c r="Q35" i="18" s="1"/>
  <c r="A109" i="6"/>
  <c r="D51" i="6"/>
  <c r="X42" i="18" l="1"/>
  <c r="E42" i="18"/>
  <c r="P4" i="18"/>
  <c r="Q4" i="18" s="1"/>
  <c r="E5" i="18"/>
  <c r="P28" i="18"/>
  <c r="A429" i="6"/>
  <c r="Q28" i="18" l="1"/>
  <c r="S28" i="18" s="1"/>
  <c r="P42" i="18"/>
  <c r="P5" i="18"/>
  <c r="Q5" i="18" s="1"/>
  <c r="A256" i="6"/>
  <c r="A257" i="6"/>
  <c r="A258" i="6"/>
  <c r="A259" i="6"/>
  <c r="Q42" i="18" l="1"/>
  <c r="Y42" i="18"/>
  <c r="Z42" i="18" s="1"/>
  <c r="G22" i="17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21" i="17"/>
  <c r="G20" i="17"/>
  <c r="D47" i="6"/>
  <c r="D146" i="6"/>
  <c r="B257" i="5" l="1"/>
  <c r="B468" i="5"/>
  <c r="K11" i="6"/>
  <c r="A430" i="5" l="1"/>
  <c r="B308" i="5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F366" i="5" l="1"/>
  <c r="A109" i="5" l="1"/>
  <c r="A108" i="5"/>
  <c r="M25" i="5" l="1"/>
  <c r="E407" i="5" l="1"/>
  <c r="A256" i="7" l="1"/>
  <c r="A258" i="7"/>
  <c r="A259" i="7"/>
  <c r="A246" i="6"/>
  <c r="A246" i="7" s="1"/>
  <c r="A260" i="7" s="1"/>
  <c r="A468" i="5" l="1"/>
  <c r="A466" i="5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A79" i="7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9" i="5"/>
  <c r="A129" i="6" s="1"/>
  <c r="A129" i="7" s="1"/>
  <c r="A126" i="5"/>
  <c r="A126" i="6" s="1"/>
  <c r="A126" i="7" s="1"/>
  <c r="A140" i="7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M24" i="15"/>
  <c r="A80" i="6" l="1"/>
  <c r="A66" i="7"/>
  <c r="A80" i="7" s="1"/>
  <c r="A82" i="15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60" i="6" l="1"/>
  <c r="A246" i="5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  <c r="A257" i="7" l="1"/>
  <c r="A260" i="5"/>
</calcChain>
</file>

<file path=xl/sharedStrings.xml><?xml version="1.0" encoding="utf-8"?>
<sst xmlns="http://schemas.openxmlformats.org/spreadsheetml/2006/main" count="5349" uniqueCount="615">
  <si>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</si>
  <si>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</si>
  <si>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</si>
  <si>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</si>
  <si>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</si>
  <si>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</si>
  <si>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</si>
  <si>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</si>
  <si>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</si>
  <si>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</si>
  <si>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</si>
  <si>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</si>
  <si>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</si>
  <si>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</si>
  <si>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</si>
  <si>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</si>
  <si>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</si>
  <si>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</si>
  <si>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</si>
  <si>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</si>
  <si>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</si>
  <si>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</si>
  <si>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</si>
  <si>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</si>
  <si>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</si>
  <si>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</si>
  <si>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</si>
  <si>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</si>
  <si>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</si>
  <si>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</si>
  <si>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</si>
  <si>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</si>
  <si>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</si>
  <si>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</si>
  <si>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</si>
  <si>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</si>
  <si>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</si>
  <si>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</si>
  <si>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</si>
  <si>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</si>
  <si>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</si>
  <si>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</si>
  <si>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</si>
  <si>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</si>
  <si>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</si>
  <si>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</si>
  <si>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</si>
  <si>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</si>
  <si>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</si>
  <si>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</si>
  <si>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</si>
  <si>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</si>
  <si>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</si>
  <si>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</si>
  <si>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</si>
  <si>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</si>
  <si>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</si>
  <si>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</si>
  <si>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</si>
  <si>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</si>
  <si>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</si>
  <si>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</si>
  <si>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</si>
  <si>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</si>
  <si>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</si>
  <si>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</si>
  <si>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</si>
  <si>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</si>
  <si>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</si>
  <si>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</si>
  <si>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</si>
  <si>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</si>
  <si>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</si>
  <si>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</si>
  <si>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</si>
  <si>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</si>
  <si>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</si>
  <si>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</si>
  <si>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</si>
  <si>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</si>
  <si>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</si>
  <si>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</si>
  <si>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</si>
  <si>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</si>
  <si>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</si>
  <si>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</si>
  <si>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</si>
  <si>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</si>
  <si>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</si>
  <si>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</si>
  <si>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</si>
  <si>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</si>
  <si>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</si>
  <si>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</si>
  <si>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</si>
  <si>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</si>
  <si>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</si>
  <si>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</si>
  <si>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</si>
  <si>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</si>
  <si>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</si>
  <si>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</si>
  <si>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</si>
  <si>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</si>
  <si>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</si>
  <si>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</si>
  <si>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</si>
  <si>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</si>
  <si>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</si>
  <si>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</si>
  <si>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</si>
  <si>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</si>
  <si>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</si>
  <si>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</si>
  <si>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</si>
  <si>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</si>
  <si>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</si>
  <si>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</si>
  <si>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</si>
  <si>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</si>
  <si>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</si>
  <si>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</si>
  <si>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</si>
  <si>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</si>
  <si>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</si>
  <si>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</si>
  <si>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</si>
  <si>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</si>
  <si>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</si>
  <si>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</si>
  <si>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</si>
  <si>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</si>
  <si>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</si>
  <si>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</si>
  <si>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</si>
  <si>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</si>
  <si>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</si>
  <si>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</si>
  <si>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</si>
  <si>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</si>
  <si>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</si>
  <si>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</si>
  <si>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</si>
  <si>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</si>
  <si>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</si>
  <si>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</si>
  <si>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</si>
  <si>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</si>
  <si>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</si>
  <si>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</si>
  <si>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</si>
  <si>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</si>
  <si>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</si>
  <si>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</si>
  <si>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</si>
  <si>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</si>
  <si>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</si>
  <si>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</si>
  <si>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</si>
  <si>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</si>
  <si>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</si>
  <si>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</si>
  <si>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</si>
  <si>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</si>
  <si>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</si>
  <si>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</si>
  <si>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</si>
  <si>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</si>
  <si>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</si>
  <si>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</si>
  <si>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</si>
  <si>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</si>
  <si>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</si>
  <si>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</si>
  <si>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</si>
  <si>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</si>
  <si>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</si>
  <si>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</si>
  <si>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</si>
  <si>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</si>
  <si>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</si>
  <si>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</si>
  <si>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</si>
  <si>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</si>
  <si>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</si>
  <si>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</si>
  <si>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</si>
  <si>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</si>
  <si>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</si>
  <si>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</si>
  <si>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</si>
  <si>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</si>
  <si>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</si>
  <si>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</si>
  <si>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</si>
  <si>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</si>
  <si>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</si>
  <si>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</si>
  <si>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</si>
  <si>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</si>
  <si>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</si>
  <si>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</si>
  <si>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</si>
  <si>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</si>
  <si>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</si>
  <si>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</si>
  <si>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</si>
  <si>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</si>
  <si>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</si>
  <si>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</si>
  <si>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</si>
  <si>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</si>
  <si>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</si>
  <si>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</si>
  <si>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</si>
  <si>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</si>
  <si>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</si>
  <si>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</si>
  <si>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</si>
  <si>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</si>
  <si>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</si>
  <si>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</si>
  <si>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</si>
  <si>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</si>
  <si>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</si>
  <si>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</si>
  <si>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</si>
  <si>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</si>
  <si>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</si>
  <si>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</si>
  <si>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</si>
  <si>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</si>
  <si>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</si>
  <si>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</si>
  <si>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</si>
  <si>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</si>
  <si>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</si>
  <si>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</si>
  <si>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</si>
  <si>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</si>
  <si>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</si>
  <si>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</si>
  <si>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</si>
  <si>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</si>
  <si>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</si>
  <si>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</si>
  <si>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</si>
  <si>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</si>
  <si>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</si>
  <si>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</si>
  <si>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</si>
  <si>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</si>
  <si>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</si>
  <si>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</si>
  <si>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</si>
  <si>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</si>
  <si>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</si>
  <si>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</si>
  <si>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</si>
  <si>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</si>
  <si>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</si>
  <si>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</si>
  <si>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</si>
  <si>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</si>
  <si>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</si>
  <si>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</si>
  <si>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</si>
  <si>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</si>
  <si>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</si>
  <si>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</si>
  <si>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</si>
  <si>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</si>
  <si>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</si>
  <si>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</si>
  <si>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</si>
  <si>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</si>
  <si>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</si>
  <si>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</si>
  <si>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</si>
  <si>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</si>
  <si>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</si>
  <si>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</si>
  <si>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</si>
  <si>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</si>
  <si>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</si>
  <si>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</si>
  <si>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</si>
  <si>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</si>
  <si>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</si>
  <si>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</si>
  <si>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</si>
  <si>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</si>
  <si>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</si>
  <si>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</si>
  <si>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</si>
  <si>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</si>
  <si>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</si>
  <si>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</si>
  <si>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</si>
  <si>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</si>
  <si>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</si>
  <si>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</si>
  <si>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</si>
  <si>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</si>
  <si>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</si>
  <si>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</si>
  <si>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</si>
  <si>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</si>
  <si>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</si>
  <si>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</si>
  <si>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</si>
  <si>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</si>
  <si>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</si>
  <si>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</si>
  <si>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</si>
  <si>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</si>
  <si>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</si>
  <si>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</si>
  <si>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</si>
  <si>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</si>
  <si>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</si>
  <si>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</si>
  <si>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</si>
  <si>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</si>
  <si>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</si>
  <si>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</si>
  <si>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</si>
  <si>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</si>
  <si>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</si>
  <si>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</si>
  <si>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</si>
  <si>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</si>
  <si>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</si>
  <si>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</si>
  <si>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</si>
  <si>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</si>
  <si>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</si>
  <si>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</si>
  <si>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</si>
  <si>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</si>
  <si>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</si>
  <si>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</si>
  <si>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</si>
  <si>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</si>
  <si>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</si>
  <si>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</si>
  <si>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</si>
  <si>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</si>
  <si>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</si>
  <si>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</si>
  <si>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</si>
  <si>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</si>
  <si>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</si>
  <si>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</si>
  <si>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</si>
  <si>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</si>
  <si>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</si>
  <si>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</si>
  <si>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</si>
  <si>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</si>
  <si>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</si>
  <si>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</si>
  <si>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</si>
  <si>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</si>
  <si>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</si>
  <si>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</si>
  <si>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</si>
  <si>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</si>
  <si>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</si>
  <si>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</si>
  <si>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</si>
  <si>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</si>
  <si>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</si>
  <si>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</si>
  <si>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</si>
  <si>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</si>
  <si>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</si>
  <si>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</si>
  <si>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</si>
  <si>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</si>
  <si>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</si>
  <si>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</si>
  <si>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</si>
  <si>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</si>
  <si>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</si>
  <si>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</si>
  <si>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</si>
  <si>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</si>
  <si>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</si>
  <si>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</si>
  <si>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</si>
  <si>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</si>
  <si>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</si>
  <si>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</si>
  <si>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</si>
  <si>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</si>
  <si>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</si>
  <si>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</si>
  <si>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</si>
  <si>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</si>
  <si>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</si>
  <si>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</si>
  <si>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</si>
  <si>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</si>
  <si>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</si>
  <si>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</si>
  <si>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</si>
  <si>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</si>
  <si>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</si>
  <si>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</si>
  <si>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</si>
  <si>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</si>
  <si>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</si>
  <si>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</si>
  <si>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</si>
  <si>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</si>
  <si>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</si>
  <si>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</si>
  <si>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</si>
  <si>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</si>
  <si>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</si>
  <si>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</si>
  <si>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</si>
  <si>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</si>
  <si>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</si>
  <si>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</si>
  <si>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</si>
  <si>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</si>
  <si>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</si>
  <si>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</si>
  <si>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</si>
  <si>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</si>
  <si>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</si>
  <si>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</si>
  <si>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</si>
  <si>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</si>
  <si>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</si>
  <si>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</si>
  <si>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</si>
  <si>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</si>
  <si>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</si>
  <si>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</si>
  <si>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</si>
  <si>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</si>
  <si>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</si>
  <si>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</si>
  <si>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</si>
  <si>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</si>
  <si>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</si>
  <si>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</si>
  <si>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</si>
  <si>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</si>
  <si>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</si>
  <si>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</si>
  <si>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</si>
  <si>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</si>
  <si>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</si>
  <si>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</si>
  <si>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</si>
  <si>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</si>
  <si>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</si>
  <si>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</si>
  <si>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</si>
  <si>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</si>
  <si>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</si>
  <si>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</si>
  <si>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</si>
  <si>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</si>
  <si>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</si>
  <si>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</si>
  <si>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</si>
  <si>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</si>
  <si>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</si>
  <si>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</si>
  <si>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</si>
  <si>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</si>
  <si>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</si>
  <si>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</si>
  <si>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</si>
  <si>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</si>
  <si>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</si>
  <si>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</si>
  <si>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</si>
  <si>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</si>
  <si>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</si>
  <si>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</si>
  <si>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184€ Cheques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</si>
  <si>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</si>
  <si>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</si>
  <si>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</si>
  <si>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</si>
  <si>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</si>
  <si>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</si>
  <si>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</si>
  <si>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</si>
  <si>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</si>
  <si>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</si>
  <si>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</si>
  <si>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</si>
  <si>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</si>
  <si>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</si>
  <si>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</si>
  <si>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</si>
  <si>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</si>
  <si>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</si>
  <si>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</si>
  <si>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</si>
  <si>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</si>
  <si>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</si>
  <si>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</si>
  <si>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</si>
  <si>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</si>
  <si>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</si>
  <si>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</si>
  <si>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</si>
  <si>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</si>
  <si>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</si>
  <si>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</si>
  <si>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</si>
  <si>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</si>
  <si>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</si>
  <si>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</si>
  <si>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</si>
  <si>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</si>
  <si>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</si>
  <si>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</si>
  <si>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</si>
  <si>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</si>
  <si>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</si>
  <si>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</si>
  <si>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</si>
  <si>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</si>
  <si>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</si>
  <si>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</si>
  <si>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</si>
  <si>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</si>
  <si>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</si>
  <si>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</si>
  <si>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</si>
  <si>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</si>
  <si>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</si>
  <si>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</si>
  <si>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</si>
  <si>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</si>
  <si>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</si>
  <si>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</si>
  <si>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</si>
  <si>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</si>
  <si>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</si>
  <si>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</si>
  <si>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</si>
  <si>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</si>
  <si>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</si>
  <si>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</si>
  <si>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</si>
  <si>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</si>
  <si>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</si>
  <si>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</si>
  <si>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</si>
  <si>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</si>
  <si>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</si>
  <si>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</si>
  <si>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</si>
  <si>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</si>
  <si>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</si>
  <si>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</si>
  <si>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</si>
  <si>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</si>
  <si>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</si>
  <si>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</si>
  <si>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Ultima (hasta 9.486,92€)+Paga 100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</si>
  <si>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</si>
  <si>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</si>
  <si>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</si>
  <si>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</si>
  <si>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</si>
  <si>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</si>
  <si>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</si>
  <si>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</si>
  <si>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</si>
  <si>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</si>
  <si>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</si>
  <si>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</si>
  <si>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</si>
  <si>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</si>
  <si>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</si>
  <si>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</si>
  <si>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</si>
  <si>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</si>
  <si>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</si>
  <si>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</si>
  <si>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</si>
  <si>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</si>
  <si>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</si>
  <si>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</si>
  <si>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</si>
  <si>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</si>
  <si>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</si>
  <si>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</si>
  <si>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</si>
  <si>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</si>
  <si>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</si>
  <si>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</si>
  <si>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</si>
  <si>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</si>
  <si>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</si>
  <si>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</si>
  <si>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</si>
  <si>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</si>
  <si>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</si>
  <si>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</si>
  <si>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</si>
  <si>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</si>
  <si>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24/05 arrefour</t>
  </si>
  <si>
    <t>&lt;300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</si>
</sst>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49" zoomScaleNormal="100" workbookViewId="0">
      <pane xSplit="1" topLeftCell="R1" activePane="topRight" state="frozen"/>
      <selection pane="topRight" activeCell="X59" sqref="X59:Y59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18034.64</v>
      </c>
      <c r="X5" s="357"/>
      <c r="Y5" s="357"/>
      <c r="Z5" s="358"/>
      <c r="AA5" s="363">
        <f>'07'!K19</f>
        <v>15101.890000000001</v>
      </c>
      <c r="AB5" s="357"/>
      <c r="AC5" s="357"/>
      <c r="AD5" s="358"/>
      <c r="AE5" s="363">
        <f>'08'!K19</f>
        <v>15101.890000000001</v>
      </c>
      <c r="AF5" s="357"/>
      <c r="AG5" s="357"/>
      <c r="AH5" s="358"/>
      <c r="AI5" s="363">
        <f>'09'!K19</f>
        <v>15101.890000000001</v>
      </c>
      <c r="AJ5" s="357"/>
      <c r="AK5" s="357"/>
      <c r="AL5" s="358"/>
      <c r="AM5" s="363">
        <f>'10'!K19</f>
        <v>15101.890000000001</v>
      </c>
      <c r="AN5" s="357"/>
      <c r="AO5" s="357"/>
      <c r="AP5" s="358"/>
      <c r="AQ5" s="363">
        <f>'11'!K19</f>
        <v>15101.890000000001</v>
      </c>
      <c r="AR5" s="357"/>
      <c r="AS5" s="357"/>
      <c r="AT5" s="358"/>
      <c r="AU5" s="363">
        <f>'12'!K19</f>
        <v>15101.890000000001</v>
      </c>
      <c r="AV5" s="357"/>
      <c r="AW5" s="357"/>
      <c r="AX5" s="358"/>
      <c r="AZ5" s="6"/>
      <c r="BA5" s="7"/>
      <c r="BB5" s="1"/>
      <c r="BC5" s="1"/>
    </row>
    <row r="6" spans="1:55" ht="17.25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59" t="s">
        <v>230</v>
      </c>
      <c r="D7" s="360"/>
      <c r="E7" s="360"/>
      <c r="F7" s="361"/>
      <c r="G7" s="359" t="s">
        <v>230</v>
      </c>
      <c r="H7" s="360"/>
      <c r="I7" s="360"/>
      <c r="J7" s="361"/>
      <c r="K7" s="359" t="s">
        <v>230</v>
      </c>
      <c r="L7" s="360"/>
      <c r="M7" s="360"/>
      <c r="N7" s="361"/>
      <c r="O7" s="359" t="s">
        <v>230</v>
      </c>
      <c r="P7" s="360"/>
      <c r="Q7" s="360"/>
      <c r="R7" s="361"/>
      <c r="S7" s="359" t="s">
        <v>230</v>
      </c>
      <c r="T7" s="360"/>
      <c r="U7" s="360"/>
      <c r="V7" s="361"/>
      <c r="W7" s="359" t="s">
        <v>230</v>
      </c>
      <c r="X7" s="360"/>
      <c r="Y7" s="360"/>
      <c r="Z7" s="361"/>
      <c r="AA7" s="359" t="s">
        <v>230</v>
      </c>
      <c r="AB7" s="360"/>
      <c r="AC7" s="360"/>
      <c r="AD7" s="361"/>
      <c r="AE7" s="359" t="s">
        <v>230</v>
      </c>
      <c r="AF7" s="360"/>
      <c r="AG7" s="360"/>
      <c r="AH7" s="361"/>
      <c r="AI7" s="359" t="s">
        <v>230</v>
      </c>
      <c r="AJ7" s="360"/>
      <c r="AK7" s="360"/>
      <c r="AL7" s="361"/>
      <c r="AM7" s="359" t="s">
        <v>230</v>
      </c>
      <c r="AN7" s="360"/>
      <c r="AO7" s="360"/>
      <c r="AP7" s="361"/>
      <c r="AQ7" s="359" t="s">
        <v>230</v>
      </c>
      <c r="AR7" s="360"/>
      <c r="AS7" s="360"/>
      <c r="AT7" s="361"/>
      <c r="AU7" s="359" t="s">
        <v>230</v>
      </c>
      <c r="AV7" s="360"/>
      <c r="AW7" s="360"/>
      <c r="AX7" s="361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0</v>
      </c>
      <c r="X8" s="342"/>
      <c r="Y8" s="342"/>
      <c r="Z8" s="343"/>
      <c r="AA8" s="341">
        <f>SUM('07'!L25:'07'!L29)</f>
        <v>0</v>
      </c>
      <c r="AB8" s="342"/>
      <c r="AC8" s="342"/>
      <c r="AD8" s="343"/>
      <c r="AE8" s="341">
        <f>SUM('08'!L25:'08'!L29)</f>
        <v>0</v>
      </c>
      <c r="AF8" s="342"/>
      <c r="AG8" s="342"/>
      <c r="AH8" s="343"/>
      <c r="AI8" s="341">
        <f>SUM('09'!L25:'09'!L29)</f>
        <v>0</v>
      </c>
      <c r="AJ8" s="342"/>
      <c r="AK8" s="342"/>
      <c r="AL8" s="343"/>
      <c r="AM8" s="341">
        <f>SUM('10'!L25:'10'!L29)</f>
        <v>0</v>
      </c>
      <c r="AN8" s="342"/>
      <c r="AO8" s="342"/>
      <c r="AP8" s="343"/>
      <c r="AQ8" s="341">
        <f>SUM('11'!L25:'11'!L29)</f>
        <v>0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14732.16</v>
      </c>
      <c r="BA8" s="112">
        <f t="shared" ref="BA8:BA16" ca="1" si="0">AZ8/BC$17</f>
        <v>2946.4319999999998</v>
      </c>
      <c r="BB8" s="1"/>
      <c r="BC8" s="1"/>
    </row>
    <row r="9" spans="1:55" ht="15.75">
      <c r="A9" s="189" t="s">
        <v>213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0</v>
      </c>
      <c r="X9" s="345"/>
      <c r="Y9" s="345"/>
      <c r="Z9" s="346"/>
      <c r="AA9" s="344">
        <f>SUM('07'!L30:'07'!L34)</f>
        <v>0</v>
      </c>
      <c r="AB9" s="345"/>
      <c r="AC9" s="345"/>
      <c r="AD9" s="346"/>
      <c r="AE9" s="344">
        <f>SUM('08'!L30:'08'!L34)</f>
        <v>0</v>
      </c>
      <c r="AF9" s="345"/>
      <c r="AG9" s="345"/>
      <c r="AH9" s="346"/>
      <c r="AI9" s="344">
        <f>SUM('09'!L30:'09'!L34)</f>
        <v>0</v>
      </c>
      <c r="AJ9" s="345"/>
      <c r="AK9" s="345"/>
      <c r="AL9" s="346"/>
      <c r="AM9" s="344">
        <f>SUM('10'!L30:'10'!L34)</f>
        <v>0</v>
      </c>
      <c r="AN9" s="345"/>
      <c r="AO9" s="345"/>
      <c r="AP9" s="346"/>
      <c r="AQ9" s="344">
        <f>SUM('11'!L30:'11'!L34)</f>
        <v>0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3018</v>
      </c>
      <c r="BA9" s="112">
        <f t="shared" ca="1" si="0"/>
        <v>603.6</v>
      </c>
      <c r="BB9" s="1"/>
      <c r="BC9" s="1"/>
    </row>
    <row r="10" spans="1:55" ht="15.75">
      <c r="A10" s="190" t="s">
        <v>218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0</v>
      </c>
      <c r="T10" s="345"/>
      <c r="U10" s="345"/>
      <c r="V10" s="346"/>
      <c r="W10" s="347">
        <f>SUM('06'!L35:'06'!L39)</f>
        <v>0</v>
      </c>
      <c r="X10" s="348"/>
      <c r="Y10" s="348"/>
      <c r="Z10" s="349"/>
      <c r="AA10" s="347">
        <f>SUM('07'!L35:'07'!L39)</f>
        <v>0</v>
      </c>
      <c r="AB10" s="348"/>
      <c r="AC10" s="348"/>
      <c r="AD10" s="349"/>
      <c r="AE10" s="347">
        <f>SUM('08'!L35:'08'!L39)</f>
        <v>0</v>
      </c>
      <c r="AF10" s="348"/>
      <c r="AG10" s="348"/>
      <c r="AH10" s="349"/>
      <c r="AI10" s="347">
        <f>SUM('09'!L35:'09'!L39)</f>
        <v>0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524.18999999999994</v>
      </c>
      <c r="BA10" s="112">
        <f t="shared" ca="1" si="0"/>
        <v>104.83799999999999</v>
      </c>
      <c r="BB10" s="1"/>
      <c r="BC10" s="1"/>
    </row>
    <row r="11" spans="1:55" ht="15.75">
      <c r="A11" s="189" t="s">
        <v>214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0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0</v>
      </c>
      <c r="AN11" s="345"/>
      <c r="AO11" s="345"/>
      <c r="AP11" s="346"/>
      <c r="AQ11" s="344">
        <f>SUM('11'!L40:'11'!L44)</f>
        <v>0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406.32</v>
      </c>
      <c r="BA11" s="112">
        <f t="shared" ca="1" si="0"/>
        <v>81.263999999999996</v>
      </c>
      <c r="BB11" s="1"/>
      <c r="BC11" s="1"/>
    </row>
    <row r="12" spans="1:55" ht="15.75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0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0</v>
      </c>
      <c r="AF12" s="348"/>
      <c r="AG12" s="348"/>
      <c r="AH12" s="349"/>
      <c r="AI12" s="347">
        <f>SUM('09'!L45:'09'!L49)</f>
        <v>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1117.04</v>
      </c>
      <c r="BA12" s="112">
        <f t="shared" ca="1" si="0"/>
        <v>223.40799999999999</v>
      </c>
      <c r="BB12" s="1"/>
      <c r="BC12" s="1"/>
    </row>
    <row r="13" spans="1:55" ht="15.75">
      <c r="A13" s="189" t="s">
        <v>215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0</v>
      </c>
      <c r="X13" s="345"/>
      <c r="Y13" s="345"/>
      <c r="Z13" s="346"/>
      <c r="AA13" s="344">
        <f>SUM('07'!L50:'07'!L54)</f>
        <v>0</v>
      </c>
      <c r="AB13" s="345"/>
      <c r="AC13" s="345"/>
      <c r="AD13" s="346"/>
      <c r="AE13" s="344">
        <f>SUM('08'!L50:'08'!L54)</f>
        <v>0</v>
      </c>
      <c r="AF13" s="345"/>
      <c r="AG13" s="345"/>
      <c r="AH13" s="346"/>
      <c r="AI13" s="344">
        <f>SUM('09'!L50:'09'!L54)</f>
        <v>0</v>
      </c>
      <c r="AJ13" s="345"/>
      <c r="AK13" s="345"/>
      <c r="AL13" s="346"/>
      <c r="AM13" s="344">
        <f>SUM('10'!L50:'10'!L54)</f>
        <v>0</v>
      </c>
      <c r="AN13" s="345"/>
      <c r="AO13" s="345"/>
      <c r="AP13" s="346"/>
      <c r="AQ13" s="344">
        <f>SUM('11'!L50:'11'!L54)</f>
        <v>0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4900.9400000000005</v>
      </c>
      <c r="BA13" s="112">
        <f t="shared" ca="1" si="0"/>
        <v>980.1880000000001</v>
      </c>
      <c r="BB13" s="1"/>
      <c r="BC13" s="1"/>
    </row>
    <row r="14" spans="1:55" ht="15.75">
      <c r="A14" s="190" t="s">
        <v>216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0</v>
      </c>
      <c r="AB14" s="348"/>
      <c r="AC14" s="348"/>
      <c r="AD14" s="349"/>
      <c r="AE14" s="347">
        <f>SUM('08'!L55:'08'!L59)</f>
        <v>0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0</v>
      </c>
      <c r="AN14" s="348"/>
      <c r="AO14" s="348"/>
      <c r="AP14" s="349"/>
      <c r="AQ14" s="347">
        <f>SUM('11'!L55:'11'!L59)</f>
        <v>0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64.77000000000001</v>
      </c>
      <c r="BA14" s="112">
        <f t="shared" ca="1" si="0"/>
        <v>12.954000000000002</v>
      </c>
      <c r="BB14" s="3"/>
      <c r="BC14" s="3"/>
    </row>
    <row r="15" spans="1:55" ht="15.75">
      <c r="A15" s="189" t="s">
        <v>217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0</v>
      </c>
      <c r="X15" s="345"/>
      <c r="Y15" s="345"/>
      <c r="Z15" s="346"/>
      <c r="AA15" s="344">
        <f>SUM('07'!L60:'07'!L64)</f>
        <v>0</v>
      </c>
      <c r="AB15" s="345"/>
      <c r="AC15" s="345"/>
      <c r="AD15" s="346"/>
      <c r="AE15" s="344">
        <f>SUM('08'!L60:'08'!L64)</f>
        <v>0</v>
      </c>
      <c r="AF15" s="345"/>
      <c r="AG15" s="345"/>
      <c r="AH15" s="346"/>
      <c r="AI15" s="344">
        <f>SUM('09'!L60:'09'!L64)</f>
        <v>0</v>
      </c>
      <c r="AJ15" s="345"/>
      <c r="AK15" s="345"/>
      <c r="AL15" s="346"/>
      <c r="AM15" s="344">
        <f>SUM('10'!L60:'10'!L64)</f>
        <v>0</v>
      </c>
      <c r="AN15" s="345"/>
      <c r="AO15" s="345"/>
      <c r="AP15" s="346"/>
      <c r="AQ15" s="344">
        <f>SUM('11'!L60:'11'!L64)</f>
        <v>0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2550.6</v>
      </c>
      <c r="BA15" s="112">
        <f t="shared" ca="1" si="0"/>
        <v>510.12</v>
      </c>
      <c r="BB15" s="1"/>
      <c r="BC15" s="1"/>
    </row>
    <row r="16" spans="1:55" ht="16.5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17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5838.4700000000012</v>
      </c>
      <c r="T17" s="365"/>
      <c r="U17" s="365"/>
      <c r="V17" s="366"/>
      <c r="W17" s="364">
        <f>SUM(W8:W16)</f>
        <v>0</v>
      </c>
      <c r="X17" s="365"/>
      <c r="Y17" s="365"/>
      <c r="Z17" s="366"/>
      <c r="AA17" s="364">
        <f>SUM(AA8:AA16)</f>
        <v>0</v>
      </c>
      <c r="AB17" s="365"/>
      <c r="AC17" s="365"/>
      <c r="AD17" s="366"/>
      <c r="AE17" s="364">
        <f>SUM(AE8:AE16)</f>
        <v>0</v>
      </c>
      <c r="AF17" s="365"/>
      <c r="AG17" s="365"/>
      <c r="AH17" s="366"/>
      <c r="AI17" s="364">
        <f>SUM(AI8:AI16)</f>
        <v>0</v>
      </c>
      <c r="AJ17" s="365"/>
      <c r="AK17" s="365"/>
      <c r="AL17" s="366"/>
      <c r="AM17" s="364">
        <f>SUM(AM8:AM16)</f>
        <v>0</v>
      </c>
      <c r="AN17" s="365"/>
      <c r="AO17" s="365"/>
      <c r="AP17" s="366"/>
      <c r="AQ17" s="364">
        <f>SUM(AQ8:AQ16)</f>
        <v>0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27399.02</v>
      </c>
      <c r="BA17" s="112">
        <f ca="1">AZ17/BC$17</f>
        <v>5479.8040000000001</v>
      </c>
      <c r="BB17" s="1" t="s">
        <v>83</v>
      </c>
      <c r="BC17" s="1">
        <f ca="1">MONTH(TODAY())</f>
        <v>5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65757.648000000001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42.239999999999995</v>
      </c>
      <c r="V20" s="145">
        <f t="shared" ref="V20:V45" si="6">R20+T20-U20</f>
        <v>625.75999999999976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1169.7599999999998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1713.7599999999998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2257.7599999999998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2801.7599999999998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3345.7599999999998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3889.7599999999998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4433.76</v>
      </c>
      <c r="AZ20" s="123">
        <f t="shared" ref="AZ20:AZ27" si="14">E20+I20+M20+Q20+U20+Y20+AC20+AG20+AK20+AO20+AS20+AW20</f>
        <v>2726.2</v>
      </c>
      <c r="BA20" s="21">
        <f t="shared" ref="BA20:BA45" si="15">AZ20/AZ$46</f>
        <v>0.11296583593558353</v>
      </c>
      <c r="BB20" s="22">
        <f>_xlfn.RANK.EQ(BA20,$BA$20:$BA$45,)</f>
        <v>3</v>
      </c>
      <c r="BC20" s="22">
        <f t="shared" ref="BC20:BC45" ca="1" si="16">AZ20/BC$17</f>
        <v>545.24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2903.18</v>
      </c>
      <c r="BF20" s="21">
        <f t="shared" ref="BF20:BF45" ca="1" si="18">BE20/BE$46</f>
        <v>0.10595926423645807</v>
      </c>
      <c r="BG20" s="22">
        <f ca="1">_xlfn.RANK.EQ(BF20,$BF$20:$BF$45,)</f>
        <v>4</v>
      </c>
      <c r="BH20" s="22">
        <f t="shared" ref="BH20:BH45" ca="1" si="19">BE20/BC$17</f>
        <v>580.63599999999997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176.98000000000013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0</v>
      </c>
      <c r="Z21" s="151">
        <f t="shared" si="7"/>
        <v>1440.0299999999995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2568.0299999999997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3696.0299999999997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4824.03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5952.03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7080.03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8208.0299999999988</v>
      </c>
      <c r="AZ21" s="152">
        <f t="shared" si="14"/>
        <v>6125.83</v>
      </c>
      <c r="BA21" s="21">
        <f t="shared" si="15"/>
        <v>0.25383666156161533</v>
      </c>
      <c r="BB21" s="22">
        <f t="shared" ref="BB21:BB45" si="20">_xlfn.RANK.EQ(BA21,$BA$20:$BA$45,)</f>
        <v>1</v>
      </c>
      <c r="BC21" s="22">
        <f t="shared" ca="1" si="16"/>
        <v>1225.1659999999999</v>
      </c>
      <c r="BE21" s="224">
        <f t="shared" ca="1" si="17"/>
        <v>5765</v>
      </c>
      <c r="BF21" s="21">
        <f t="shared" ca="1" si="18"/>
        <v>0.21040898543086575</v>
      </c>
      <c r="BG21" s="22">
        <f t="shared" ref="BG21:BG45" ca="1" si="21">_xlfn.RANK.EQ(BF21,$BF$20:$BF$45,)</f>
        <v>1</v>
      </c>
      <c r="BH21" s="22">
        <f t="shared" ca="1" si="19"/>
        <v>1153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-360.83000000000015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0</v>
      </c>
      <c r="Z22" s="156">
        <f t="shared" si="7"/>
        <v>782.9000000000002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1272.9000000000001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1762.9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2252.9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2742.9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3232.9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3722.9</v>
      </c>
      <c r="AZ22" s="157">
        <f t="shared" si="14"/>
        <v>1617.17</v>
      </c>
      <c r="BA22" s="21">
        <f t="shared" si="15"/>
        <v>6.7010843261663719E-2</v>
      </c>
      <c r="BB22" s="22">
        <f t="shared" si="20"/>
        <v>6</v>
      </c>
      <c r="BC22" s="22">
        <f t="shared" ca="1" si="16"/>
        <v>323.43400000000003</v>
      </c>
      <c r="BE22" s="225">
        <f t="shared" ca="1" si="17"/>
        <v>1854</v>
      </c>
      <c r="BF22" s="21">
        <f t="shared" ca="1" si="18"/>
        <v>6.7666653770828283E-2</v>
      </c>
      <c r="BG22" s="22">
        <f t="shared" ca="1" si="21"/>
        <v>6</v>
      </c>
      <c r="BH22" s="22">
        <f t="shared" ca="1" si="19"/>
        <v>370.8</v>
      </c>
      <c r="BJ22" s="225">
        <f t="shared" ca="1" si="22"/>
        <v>236.83000000000004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170</v>
      </c>
      <c r="Y23" s="150">
        <f>SUM('06'!D80:F80)</f>
        <v>0</v>
      </c>
      <c r="Z23" s="151">
        <f t="shared" si="7"/>
        <v>269.33000000000004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419.33000000000004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569.33000000000004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719.33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869.33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1019.33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1169.33</v>
      </c>
      <c r="AZ23" s="152">
        <f t="shared" si="14"/>
        <v>862.8</v>
      </c>
      <c r="BA23" s="21">
        <f t="shared" si="15"/>
        <v>3.575193428406627E-2</v>
      </c>
      <c r="BB23" s="22">
        <f t="shared" si="20"/>
        <v>7</v>
      </c>
      <c r="BC23" s="22">
        <f t="shared" ca="1" si="16"/>
        <v>172.56</v>
      </c>
      <c r="BE23" s="224">
        <f t="shared" ca="1" si="17"/>
        <v>920</v>
      </c>
      <c r="BF23" s="21">
        <f t="shared" ca="1" si="18"/>
        <v>3.357784329512515E-2</v>
      </c>
      <c r="BG23" s="22">
        <f t="shared" ca="1" si="21"/>
        <v>9</v>
      </c>
      <c r="BH23" s="22">
        <f t="shared" ca="1" si="19"/>
        <v>184</v>
      </c>
      <c r="BJ23" s="224">
        <f t="shared" ca="1" si="22"/>
        <v>57.200000000000045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282.87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442.87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602.87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762.87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922.87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1082.8699999999999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1242.8699999999999</v>
      </c>
      <c r="AZ24" s="157">
        <f t="shared" si="14"/>
        <v>687.13</v>
      </c>
      <c r="BA24" s="21">
        <f t="shared" si="15"/>
        <v>2.8472678030378371E-2</v>
      </c>
      <c r="BB24" s="22">
        <f t="shared" si="20"/>
        <v>8</v>
      </c>
      <c r="BC24" s="22">
        <f t="shared" ca="1" si="16"/>
        <v>137.42599999999999</v>
      </c>
      <c r="BE24" s="225">
        <f t="shared" ca="1" si="17"/>
        <v>810</v>
      </c>
      <c r="BF24" s="21">
        <f t="shared" ca="1" si="18"/>
        <v>2.956310116201236E-2</v>
      </c>
      <c r="BG24" s="22">
        <f t="shared" ca="1" si="21"/>
        <v>11</v>
      </c>
      <c r="BH24" s="22">
        <f t="shared" ca="1" si="19"/>
        <v>162</v>
      </c>
      <c r="BJ24" s="225">
        <f t="shared" ca="1" si="22"/>
        <v>122.86999999999998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-505</v>
      </c>
      <c r="U25" s="150">
        <f>SUM('05'!D120:F120)</f>
        <v>327.38</v>
      </c>
      <c r="V25" s="151">
        <f t="shared" si="6"/>
        <v>2834.9999999999977</v>
      </c>
      <c r="W25" s="148" t="s">
        <v>70</v>
      </c>
      <c r="X25" s="149">
        <f>'06'!B120</f>
        <v>445</v>
      </c>
      <c r="Y25" s="150">
        <f>SUM('06'!D120:F120)</f>
        <v>0</v>
      </c>
      <c r="Z25" s="151">
        <f t="shared" si="7"/>
        <v>3279.9999999999977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3684.9999999999977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4089.9999999999977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4494.9999999999982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4899.9999999999982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5304.9999999999982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5709.9999999999982</v>
      </c>
      <c r="AZ25" s="152">
        <f t="shared" si="14"/>
        <v>1700.9</v>
      </c>
      <c r="BA25" s="21">
        <f t="shared" si="15"/>
        <v>7.0480372072054154E-2</v>
      </c>
      <c r="BB25" s="22">
        <f t="shared" si="20"/>
        <v>5</v>
      </c>
      <c r="BC25" s="22">
        <f t="shared" ca="1" si="16"/>
        <v>340.18</v>
      </c>
      <c r="BE25" s="224">
        <f t="shared" ca="1" si="17"/>
        <v>1373.35</v>
      </c>
      <c r="BF25" s="21">
        <f t="shared" ca="1" si="18"/>
        <v>5.0124055531913174E-2</v>
      </c>
      <c r="BG25" s="22">
        <f t="shared" ca="1" si="21"/>
        <v>7</v>
      </c>
      <c r="BH25" s="22">
        <f t="shared" ca="1" si="19"/>
        <v>274.66999999999996</v>
      </c>
      <c r="BJ25" s="224">
        <f t="shared" ca="1" si="22"/>
        <v>-327.55000000000064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0</v>
      </c>
      <c r="Z26" s="156">
        <f t="shared" si="7"/>
        <v>75.52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123.52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171.51999999999998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219.51999999999998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267.52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315.52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363.52</v>
      </c>
      <c r="AZ26" s="157">
        <f t="shared" si="14"/>
        <v>257.47000000000003</v>
      </c>
      <c r="BA26" s="21">
        <f t="shared" si="15"/>
        <v>1.0668811451226872E-2</v>
      </c>
      <c r="BB26" s="22">
        <f t="shared" si="20"/>
        <v>16</v>
      </c>
      <c r="BC26" s="22">
        <f t="shared" ca="1" si="16"/>
        <v>51.494000000000007</v>
      </c>
      <c r="BE26" s="225">
        <f t="shared" ca="1" si="17"/>
        <v>260.45</v>
      </c>
      <c r="BF26" s="21">
        <f t="shared" ca="1" si="18"/>
        <v>9.5058144415384183E-3</v>
      </c>
      <c r="BG26" s="22">
        <f t="shared" ca="1" si="21"/>
        <v>16</v>
      </c>
      <c r="BH26" s="22">
        <f t="shared" ca="1" si="19"/>
        <v>52.089999999999996</v>
      </c>
      <c r="BJ26" s="225">
        <f t="shared" ca="1" si="22"/>
        <v>2.9800000000000466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322.7000000000001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372.7000000000001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422.7000000000001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472.7000000000001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522.70000000000005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572.70000000000005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622.70000000000005</v>
      </c>
      <c r="AZ27" s="188">
        <f t="shared" si="14"/>
        <v>281.25</v>
      </c>
      <c r="BA27" s="21">
        <f t="shared" si="15"/>
        <v>1.1654185810609225E-2</v>
      </c>
      <c r="BB27" s="22">
        <f t="shared" si="20"/>
        <v>15</v>
      </c>
      <c r="BC27" s="22">
        <f t="shared" ca="1" si="16"/>
        <v>56.25</v>
      </c>
      <c r="BE27" s="224">
        <f t="shared" ca="1" si="17"/>
        <v>250</v>
      </c>
      <c r="BF27" s="21">
        <f t="shared" ca="1" si="18"/>
        <v>9.1244139388927028E-3</v>
      </c>
      <c r="BG27" s="22">
        <f t="shared" ca="1" si="21"/>
        <v>17</v>
      </c>
      <c r="BH27" s="22">
        <f t="shared" ca="1" si="19"/>
        <v>50</v>
      </c>
      <c r="BJ27" s="224">
        <f t="shared" ca="1" si="22"/>
        <v>-31.249999999999943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700</v>
      </c>
      <c r="U28" s="155">
        <f>SUM('05'!D180:F180)</f>
        <v>0</v>
      </c>
      <c r="V28" s="159">
        <f t="shared" si="6"/>
        <v>946.28000000000009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1146.2800000000002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1346.2800000000002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1546.2800000000002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1746.2800000000002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1946.2800000000002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2146.2800000000002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2346.2800000000002</v>
      </c>
      <c r="AZ28" s="182">
        <f t="shared" ref="AZ28:AZ45" si="23">E28+I28+M28+Q28+U28+Y28+AC28+AG28+AK28+AO28+AS28+AW28</f>
        <v>1992.81</v>
      </c>
      <c r="BA28" s="21">
        <f t="shared" si="15"/>
        <v>8.2576277423076161E-2</v>
      </c>
      <c r="BB28" s="22">
        <f t="shared" si="20"/>
        <v>4</v>
      </c>
      <c r="BC28" s="22">
        <f t="shared" ca="1" si="16"/>
        <v>398.56200000000001</v>
      </c>
      <c r="BE28" s="223">
        <f t="shared" ca="1" si="17"/>
        <v>2330.04</v>
      </c>
      <c r="BF28" s="21">
        <f t="shared" ca="1" si="18"/>
        <v>8.504099781671022E-2</v>
      </c>
      <c r="BG28" s="22">
        <f t="shared" ca="1" si="21"/>
        <v>5</v>
      </c>
      <c r="BH28" s="22">
        <f t="shared" ca="1" si="19"/>
        <v>466.00799999999998</v>
      </c>
      <c r="BJ28" s="223">
        <f t="shared" ca="1" si="22"/>
        <v>337.23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70</v>
      </c>
      <c r="U29" s="150">
        <f>SUM('05'!D200:F200)</f>
        <v>47.63</v>
      </c>
      <c r="V29" s="160">
        <f t="shared" si="6"/>
        <v>98.800000000000068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168.80000000000007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238.80000000000007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308.80000000000007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378.80000000000007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448.80000000000007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518.80000000000007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588.80000000000007</v>
      </c>
      <c r="AZ29" s="152">
        <f t="shared" si="23"/>
        <v>174.53</v>
      </c>
      <c r="BA29" s="21">
        <f t="shared" si="15"/>
        <v>7.2320179538689E-3</v>
      </c>
      <c r="BB29" s="22">
        <f t="shared" si="20"/>
        <v>18</v>
      </c>
      <c r="BC29" s="22">
        <f t="shared" ca="1" si="16"/>
        <v>34.905999999999999</v>
      </c>
      <c r="BE29" s="224">
        <f t="shared" ca="1" si="17"/>
        <v>320</v>
      </c>
      <c r="BF29" s="21">
        <f t="shared" ca="1" si="18"/>
        <v>1.167924984178266E-2</v>
      </c>
      <c r="BG29" s="22">
        <f t="shared" ca="1" si="21"/>
        <v>15</v>
      </c>
      <c r="BH29" s="22">
        <f t="shared" ca="1" si="19"/>
        <v>64</v>
      </c>
      <c r="BJ29" s="224">
        <f t="shared" ca="1" si="22"/>
        <v>145.47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35</v>
      </c>
      <c r="U30" s="155">
        <f>SUM('05'!D220:F220)</f>
        <v>27.56</v>
      </c>
      <c r="V30" s="161">
        <f t="shared" si="6"/>
        <v>42.089999999999975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77.089999999999975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112.08999999999997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147.08999999999997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182.08999999999997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217.08999999999997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252.08999999999997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287.08999999999997</v>
      </c>
      <c r="AZ30" s="157">
        <f t="shared" si="23"/>
        <v>131.07999999999998</v>
      </c>
      <c r="BA30" s="21">
        <f t="shared" si="15"/>
        <v>5.4315757370832253E-3</v>
      </c>
      <c r="BB30" s="22">
        <f t="shared" si="20"/>
        <v>20</v>
      </c>
      <c r="BC30" s="22">
        <f t="shared" ca="1" si="16"/>
        <v>26.215999999999998</v>
      </c>
      <c r="BE30" s="225">
        <f t="shared" ca="1" si="17"/>
        <v>200</v>
      </c>
      <c r="BF30" s="21">
        <f t="shared" ca="1" si="18"/>
        <v>7.2995311511141626E-3</v>
      </c>
      <c r="BG30" s="22">
        <f t="shared" ca="1" si="21"/>
        <v>19</v>
      </c>
      <c r="BH30" s="22">
        <f t="shared" ca="1" si="19"/>
        <v>40</v>
      </c>
      <c r="BJ30" s="225">
        <f t="shared" ca="1" si="22"/>
        <v>68.92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20.98</v>
      </c>
      <c r="V31" s="160">
        <f t="shared" si="6"/>
        <v>81.61999999999999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101.61999999999999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121.61999999999999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141.62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161.62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181.62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201.62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221.62</v>
      </c>
      <c r="AZ31" s="152">
        <f t="shared" si="23"/>
        <v>94.42</v>
      </c>
      <c r="BA31" s="21">
        <f t="shared" si="15"/>
        <v>3.9124914639563487E-3</v>
      </c>
      <c r="BB31" s="22">
        <f t="shared" si="20"/>
        <v>21</v>
      </c>
      <c r="BC31" s="22">
        <f t="shared" ca="1" si="16"/>
        <v>18.884</v>
      </c>
      <c r="BE31" s="224">
        <f t="shared" ca="1" si="17"/>
        <v>100</v>
      </c>
      <c r="BF31" s="21">
        <f t="shared" ca="1" si="18"/>
        <v>3.6497655755570813E-3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5.5799999999999841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644</v>
      </c>
      <c r="U32" s="155">
        <f>SUM('05'!D260:F260)</f>
        <v>58.57</v>
      </c>
      <c r="V32" s="161">
        <f t="shared" si="6"/>
        <v>999.27999999999986</v>
      </c>
      <c r="W32" s="143" t="s">
        <v>70</v>
      </c>
      <c r="X32" s="155">
        <f>'06'!B260</f>
        <v>100</v>
      </c>
      <c r="Y32" s="155">
        <f>SUM('06'!D260:F260)</f>
        <v>0</v>
      </c>
      <c r="Z32" s="161">
        <f t="shared" si="7"/>
        <v>1099.2799999999997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1149.2799999999997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1199.2799999999997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1249.2799999999997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1299.2799999999997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1349.2799999999997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1399.2799999999997</v>
      </c>
      <c r="AZ32" s="157">
        <f t="shared" si="23"/>
        <v>189.6</v>
      </c>
      <c r="BA32" s="21">
        <f t="shared" si="15"/>
        <v>7.8564751277920321E-3</v>
      </c>
      <c r="BB32" s="22">
        <f t="shared" si="20"/>
        <v>17</v>
      </c>
      <c r="BC32" s="22">
        <f t="shared" ca="1" si="16"/>
        <v>37.92</v>
      </c>
      <c r="BE32" s="225">
        <f t="shared" ca="1" si="17"/>
        <v>1203.1300000000001</v>
      </c>
      <c r="BF32" s="21">
        <f t="shared" ca="1" si="18"/>
        <v>4.3911424569199921E-2</v>
      </c>
      <c r="BG32" s="22">
        <f t="shared" ca="1" si="21"/>
        <v>8</v>
      </c>
      <c r="BH32" s="22">
        <f t="shared" ca="1" si="19"/>
        <v>240.62600000000003</v>
      </c>
      <c r="BJ32" s="225">
        <f t="shared" ca="1" si="22"/>
        <v>1013.5299999999999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537.59000000000026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587.59000000000026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637.59000000000026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687.59000000000026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737.59000000000026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787.59000000000026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837.59000000000026</v>
      </c>
      <c r="AZ33" s="152">
        <f t="shared" si="23"/>
        <v>4204.3500000000004</v>
      </c>
      <c r="BA33" s="21">
        <f t="shared" si="15"/>
        <v>0.17421609284563519</v>
      </c>
      <c r="BB33" s="22">
        <f t="shared" si="20"/>
        <v>2</v>
      </c>
      <c r="BC33" s="22">
        <f t="shared" ca="1" si="16"/>
        <v>840.87000000000012</v>
      </c>
      <c r="BE33" s="224">
        <f t="shared" ca="1" si="17"/>
        <v>4271.9400000000005</v>
      </c>
      <c r="BF33" s="21">
        <f t="shared" ca="1" si="18"/>
        <v>0.15591579552845319</v>
      </c>
      <c r="BG33" s="22">
        <f t="shared" ca="1" si="21"/>
        <v>2</v>
      </c>
      <c r="BH33" s="22">
        <f t="shared" ca="1" si="19"/>
        <v>854.38800000000015</v>
      </c>
      <c r="BJ33" s="224">
        <f t="shared" ca="1" si="22"/>
        <v>67.590000000000259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90</v>
      </c>
      <c r="U34" s="155">
        <f>SUM('05'!D300:F300)</f>
        <v>137.85</v>
      </c>
      <c r="V34" s="161">
        <f t="shared" si="6"/>
        <v>170.6999999999999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260.69999999999993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350.69999999999993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440.69999999999993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530.69999999999993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620.69999999999993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710.69999999999993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800.69999999999993</v>
      </c>
      <c r="AZ34" s="152">
        <f t="shared" si="23"/>
        <v>517.9</v>
      </c>
      <c r="BA34" s="21">
        <f t="shared" si="15"/>
        <v>2.1460276733562728E-2</v>
      </c>
      <c r="BB34" s="22">
        <f t="shared" si="20"/>
        <v>10</v>
      </c>
      <c r="BC34" s="22">
        <f t="shared" ca="1" si="16"/>
        <v>103.58</v>
      </c>
      <c r="BE34" s="225">
        <f t="shared" ca="1" si="17"/>
        <v>587</v>
      </c>
      <c r="BF34" s="21">
        <f t="shared" ca="1" si="18"/>
        <v>2.142412392852007E-2</v>
      </c>
      <c r="BG34" s="22">
        <f t="shared" ca="1" si="21"/>
        <v>12</v>
      </c>
      <c r="BH34" s="22">
        <f t="shared" ca="1" si="19"/>
        <v>117.4</v>
      </c>
      <c r="BJ34" s="225">
        <f t="shared" ca="1" si="22"/>
        <v>69.099999999999994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267.45</v>
      </c>
      <c r="U35" s="186">
        <f>SUM('05'!D320:F320)</f>
        <v>190.96</v>
      </c>
      <c r="V35" s="187">
        <f t="shared" si="6"/>
        <v>1703.0800000000004</v>
      </c>
      <c r="W35" s="185" t="s">
        <v>70</v>
      </c>
      <c r="X35" s="186">
        <f>'06'!B320</f>
        <v>130</v>
      </c>
      <c r="Y35" s="186">
        <f>SUM('06'!D320:F320)</f>
        <v>0</v>
      </c>
      <c r="Z35" s="187">
        <f t="shared" si="7"/>
        <v>1833.0800000000004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1948.0800000000004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2063.0800000000004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2178.0800000000004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2293.0800000000004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2408.0800000000004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2523.0800000000004</v>
      </c>
      <c r="AZ35" s="188">
        <f t="shared" si="23"/>
        <v>662.5</v>
      </c>
      <c r="BA35" s="21">
        <f t="shared" si="15"/>
        <v>2.7452082131657285E-2</v>
      </c>
      <c r="BB35" s="22">
        <f t="shared" si="20"/>
        <v>9</v>
      </c>
      <c r="BC35" s="22">
        <f t="shared" ca="1" si="16"/>
        <v>132.5</v>
      </c>
      <c r="BE35" s="224">
        <f t="shared" ca="1" si="17"/>
        <v>875.98</v>
      </c>
      <c r="BF35" s="21">
        <f t="shared" ca="1" si="18"/>
        <v>3.1971216488764921E-2</v>
      </c>
      <c r="BG35" s="22">
        <f t="shared" ca="1" si="21"/>
        <v>10</v>
      </c>
      <c r="BH35" s="22">
        <f t="shared" ca="1" si="19"/>
        <v>175.196</v>
      </c>
      <c r="BJ35" s="224">
        <f t="shared" ca="1" si="22"/>
        <v>213.48000000000002</v>
      </c>
    </row>
    <row r="36" spans="1:62" ht="15.75">
      <c r="A36" s="163" t="s">
        <v>572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301.92000000000007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391.92000000000007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481.92000000000007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571.92000000000007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661.92000000000007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751.92000000000007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841.92000000000007</v>
      </c>
      <c r="AZ36" s="182">
        <f t="shared" si="23"/>
        <v>449.09</v>
      </c>
      <c r="BA36" s="21">
        <f t="shared" si="15"/>
        <v>1.8608989531329768E-2</v>
      </c>
      <c r="BB36" s="22">
        <f t="shared" si="20"/>
        <v>12</v>
      </c>
      <c r="BC36" s="22">
        <f t="shared" ca="1" si="16"/>
        <v>89.817999999999998</v>
      </c>
      <c r="BE36" s="223">
        <f t="shared" ca="1" si="17"/>
        <v>560.02</v>
      </c>
      <c r="BF36" s="21">
        <f t="shared" ca="1" si="18"/>
        <v>2.0439417176234768E-2</v>
      </c>
      <c r="BG36" s="22">
        <f t="shared" ca="1" si="21"/>
        <v>13</v>
      </c>
      <c r="BH36" s="22">
        <f t="shared" ca="1" si="19"/>
        <v>112.00399999999999</v>
      </c>
      <c r="BJ36" s="223">
        <f t="shared" ca="1" si="22"/>
        <v>110.93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185.73000000000002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367.65</v>
      </c>
      <c r="BA37" s="21">
        <f t="shared" si="15"/>
        <v>1.5234351691628378E-2</v>
      </c>
      <c r="BB37" s="22">
        <f t="shared" si="20"/>
        <v>14</v>
      </c>
      <c r="BC37" s="22">
        <f t="shared" ca="1" si="16"/>
        <v>73.53</v>
      </c>
      <c r="BE37" s="224">
        <f t="shared" ca="1" si="17"/>
        <v>235</v>
      </c>
      <c r="BF37" s="21">
        <f t="shared" ca="1" si="18"/>
        <v>8.5769491025591421E-3</v>
      </c>
      <c r="BG37" s="22">
        <f t="shared" ca="1" si="21"/>
        <v>18</v>
      </c>
      <c r="BH37" s="22">
        <f t="shared" ca="1" si="19"/>
        <v>47</v>
      </c>
      <c r="BJ37" s="224">
        <f t="shared" ca="1" si="22"/>
        <v>-132.64999999999998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74.44</v>
      </c>
      <c r="V38" s="156">
        <f t="shared" si="6"/>
        <v>48.580000000000041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118.58000000000004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188.58000000000004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258.58000000000004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328.58000000000004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398.58000000000004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468.58000000000004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538.58000000000004</v>
      </c>
      <c r="AZ38" s="157">
        <f t="shared" si="23"/>
        <v>370.62</v>
      </c>
      <c r="BA38" s="21">
        <f t="shared" si="15"/>
        <v>1.5357419893788414E-2</v>
      </c>
      <c r="BB38" s="22">
        <f t="shared" si="20"/>
        <v>13</v>
      </c>
      <c r="BC38" s="22">
        <f t="shared" ca="1" si="16"/>
        <v>74.123999999999995</v>
      </c>
      <c r="BE38" s="225">
        <f t="shared" ca="1" si="17"/>
        <v>380</v>
      </c>
      <c r="BF38" s="21">
        <f t="shared" ca="1" si="18"/>
        <v>1.386910918711691E-2</v>
      </c>
      <c r="BG38" s="22">
        <f t="shared" ca="1" si="21"/>
        <v>14</v>
      </c>
      <c r="BH38" s="22">
        <f t="shared" ca="1" si="19"/>
        <v>76</v>
      </c>
      <c r="BJ38" s="225">
        <f t="shared" ca="1" si="22"/>
        <v>9.3800000000000097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15</v>
      </c>
      <c r="Y39" s="165">
        <f>SUM('06'!D400:F400)</f>
        <v>0</v>
      </c>
      <c r="Z39" s="151">
        <f t="shared" si="7"/>
        <v>31.259999999999991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51.259999999999991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71.259999999999991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91.259999999999991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111.25999999999999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131.26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151.26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-1163.74</v>
      </c>
      <c r="BF39" s="21">
        <f t="shared" ca="1" si="18"/>
        <v>-4.2473781908987977E-2</v>
      </c>
      <c r="BG39" s="22">
        <f t="shared" ca="1" si="21"/>
        <v>26</v>
      </c>
      <c r="BH39" s="22">
        <f t="shared" ca="1" si="19"/>
        <v>-232.74799999999999</v>
      </c>
      <c r="BJ39" s="224">
        <f t="shared" ca="1" si="22"/>
        <v>-1163.74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-969.11</v>
      </c>
      <c r="U40" s="166">
        <f>SUM('05'!D420:F420)</f>
        <v>46.75</v>
      </c>
      <c r="V40" s="156">
        <f t="shared" si="6"/>
        <v>15.960000000000605</v>
      </c>
      <c r="W40" s="143" t="s">
        <v>70</v>
      </c>
      <c r="X40" s="166">
        <f>'06'!B420</f>
        <v>50</v>
      </c>
      <c r="Y40" s="166">
        <f>SUM('06'!D420:F420)</f>
        <v>0</v>
      </c>
      <c r="Z40" s="156">
        <f t="shared" si="7"/>
        <v>65.960000000000605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85.960000000000605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105.9600000000006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125.9600000000006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145.9600000000006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165.9600000000006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185.9600000000006</v>
      </c>
      <c r="AZ40" s="157">
        <f t="shared" si="23"/>
        <v>155.08000000000001</v>
      </c>
      <c r="BA40" s="21">
        <f t="shared" si="15"/>
        <v>6.4260662595885471E-3</v>
      </c>
      <c r="BB40" s="22">
        <f t="shared" si="20"/>
        <v>19</v>
      </c>
      <c r="BC40" s="22">
        <f t="shared" ca="1" si="16"/>
        <v>31.016000000000002</v>
      </c>
      <c r="BE40" s="225">
        <f t="shared" ca="1" si="17"/>
        <v>-633.47</v>
      </c>
      <c r="BF40" s="21">
        <f t="shared" ca="1" si="18"/>
        <v>-2.3120169991481445E-2</v>
      </c>
      <c r="BG40" s="22">
        <f t="shared" ca="1" si="21"/>
        <v>25</v>
      </c>
      <c r="BH40" s="22">
        <f t="shared" ca="1" si="19"/>
        <v>-126.694</v>
      </c>
      <c r="BJ40" s="225">
        <f t="shared" ca="1" si="22"/>
        <v>-788.54999999999984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394.4300000000012</v>
      </c>
      <c r="U41" s="165">
        <f>SUM('05'!D440:F440)</f>
        <v>0</v>
      </c>
      <c r="V41" s="151">
        <f t="shared" si="6"/>
        <v>8395.27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4495.2700000000004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595.27000000000044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-3304.7299999999996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-7204.73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-11104.73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-15004.73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-18904.73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-154.72999999999854</v>
      </c>
      <c r="BF41" s="21">
        <f t="shared" ca="1" si="18"/>
        <v>-5.6472822750594188E-3</v>
      </c>
      <c r="BG41" s="22">
        <f t="shared" ca="1" si="21"/>
        <v>24</v>
      </c>
      <c r="BH41" s="22">
        <f t="shared" ca="1" si="19"/>
        <v>-30.945999999999707</v>
      </c>
      <c r="BJ41" s="224">
        <f t="shared" ca="1" si="22"/>
        <v>-154.72999999999774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0.14767827462442085</v>
      </c>
      <c r="BG42" s="22">
        <f t="shared" ca="1" si="21"/>
        <v>3</v>
      </c>
      <c r="BH42" s="22">
        <f t="shared" ca="1" si="19"/>
        <v>809.24800000000005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65</v>
      </c>
      <c r="Y43" s="149">
        <f>SUM('06'!D480:F480)</f>
        <v>0</v>
      </c>
      <c r="Z43" s="151">
        <f t="shared" si="7"/>
        <v>633.63000000000011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683.63000000000011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733.63000000000011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783.63000000000011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833.63000000000011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883.63000000000011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933.63000000000011</v>
      </c>
      <c r="AZ43" s="152">
        <f t="shared" si="23"/>
        <v>500</v>
      </c>
      <c r="BA43" s="21">
        <f t="shared" si="15"/>
        <v>2.0718552552194177E-2</v>
      </c>
      <c r="BB43" s="22">
        <f t="shared" si="20"/>
        <v>11</v>
      </c>
      <c r="BC43" s="22">
        <f t="shared" ca="1" si="16"/>
        <v>100</v>
      </c>
      <c r="BE43" s="224">
        <f t="shared" ca="1" si="17"/>
        <v>105.63000000000005</v>
      </c>
      <c r="BF43" s="21">
        <f t="shared" ca="1" si="18"/>
        <v>3.8552473774609471E-3</v>
      </c>
      <c r="BG43" s="22">
        <f t="shared" ca="1" si="21"/>
        <v>20</v>
      </c>
      <c r="BH43" s="22">
        <f t="shared" ca="1" si="19"/>
        <v>21.126000000000012</v>
      </c>
      <c r="BJ43" s="224">
        <f t="shared" ca="1" si="22"/>
        <v>-394.36999999999989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2.6760082476414001E-3</v>
      </c>
      <c r="BB45" s="22">
        <f t="shared" si="20"/>
        <v>22</v>
      </c>
      <c r="BC45" s="22">
        <f t="shared" ca="1" si="16"/>
        <v>12.916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22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5838.4700000000012</v>
      </c>
      <c r="U46" s="219">
        <f>SUM(U20:U45)</f>
        <v>3351.9599999999996</v>
      </c>
      <c r="V46" s="220">
        <f>SUM(V20:V45)</f>
        <v>29649.599999999999</v>
      </c>
      <c r="W46" s="218"/>
      <c r="X46" s="219">
        <f>SUM(X20:X45)</f>
        <v>0</v>
      </c>
      <c r="Y46" s="219">
        <f>SUM(Y20:Y45)</f>
        <v>0</v>
      </c>
      <c r="Z46" s="220">
        <f>SUM(Z20:Z45)</f>
        <v>29649.599999999999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29649.600000000002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29649.600000000002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29649.599999999995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29649.600000000002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29649.600000000002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29649.599999999995</v>
      </c>
      <c r="AZ46" s="227">
        <f>SUM(AZ20:AZ45)</f>
        <v>24132.959999999999</v>
      </c>
      <c r="BA46" s="1"/>
      <c r="BB46" s="1"/>
      <c r="BC46" s="124">
        <f ca="1">SUM(BC20:BC45)</f>
        <v>4826.5919999999996</v>
      </c>
      <c r="BE46" s="227">
        <f ca="1">SUM(BE20:BE45)</f>
        <v>27399.020000000004</v>
      </c>
      <c r="BF46" s="1"/>
      <c r="BG46" s="1"/>
      <c r="BH46" s="124">
        <f ca="1">SUM(BH20:BH45)</f>
        <v>5479.8040000000001</v>
      </c>
      <c r="BJ46" s="227">
        <f ca="1">SUM(BJ20:BJ45)</f>
        <v>3266.0600000000031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2486.5100000000016</v>
      </c>
      <c r="V47" s="125"/>
      <c r="W47" s="125">
        <f>W5-V46</f>
        <v>-11614.96</v>
      </c>
      <c r="X47" s="125">
        <f>W17-X46</f>
        <v>0</v>
      </c>
      <c r="Y47" s="125">
        <f>W17-Y46</f>
        <v>0</v>
      </c>
      <c r="Z47" s="125"/>
      <c r="AA47" s="125">
        <f>AA5-Z46</f>
        <v>-14547.709999999997</v>
      </c>
      <c r="AB47" s="125">
        <f>AA17-AB46</f>
        <v>0</v>
      </c>
      <c r="AC47" s="125">
        <f>AA17-AC46</f>
        <v>0</v>
      </c>
      <c r="AD47" s="125"/>
      <c r="AE47" s="125">
        <f>AE5-AD46</f>
        <v>-14547.710000000001</v>
      </c>
      <c r="AF47" s="125">
        <f>AE17-AF46</f>
        <v>0</v>
      </c>
      <c r="AG47" s="125">
        <f>AE17-AG46</f>
        <v>0</v>
      </c>
      <c r="AH47" s="125"/>
      <c r="AI47" s="125">
        <f>AI5-AH46</f>
        <v>-14547.710000000001</v>
      </c>
      <c r="AJ47" s="125">
        <f>AI17-AJ46</f>
        <v>0</v>
      </c>
      <c r="AK47" s="125">
        <f>AI17-AK46</f>
        <v>0</v>
      </c>
      <c r="AL47" s="125"/>
      <c r="AM47" s="125">
        <f>AM5-AL46</f>
        <v>-14547.709999999994</v>
      </c>
      <c r="AN47" s="125">
        <f>AM17-AN46</f>
        <v>0</v>
      </c>
      <c r="AO47" s="125">
        <f>AM17-AO46</f>
        <v>0</v>
      </c>
      <c r="AP47" s="125"/>
      <c r="AQ47" s="125">
        <f>AQ5-AP46</f>
        <v>-14547.710000000001</v>
      </c>
      <c r="AR47" s="125">
        <f>AQ17-AR46</f>
        <v>0</v>
      </c>
      <c r="AS47" s="125">
        <f>AQ17-AS46</f>
        <v>0</v>
      </c>
      <c r="AT47" s="140"/>
      <c r="AU47" s="125">
        <f>AU5-AT46</f>
        <v>-14547.710000000001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57919.103999999992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614</v>
      </c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.7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235</v>
      </c>
      <c r="E54" s="374"/>
      <c r="F54" s="98"/>
      <c r="G54" s="95">
        <v>43497</v>
      </c>
      <c r="H54" s="373" t="s">
        <v>270</v>
      </c>
      <c r="I54" s="374"/>
      <c r="J54" s="100">
        <v>500</v>
      </c>
      <c r="K54" s="95">
        <v>43539</v>
      </c>
      <c r="L54" s="379" t="s">
        <v>257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243</v>
      </c>
      <c r="U54" s="380"/>
      <c r="V54" s="103"/>
      <c r="W54" s="96"/>
      <c r="X54" s="394"/>
      <c r="Y54" s="395"/>
      <c r="Z54" s="104"/>
      <c r="AA54" s="95"/>
      <c r="AB54" s="386" t="s">
        <v>477</v>
      </c>
      <c r="AC54" s="387"/>
      <c r="AD54" s="239">
        <v>16</v>
      </c>
      <c r="AE54" s="95"/>
      <c r="AF54" s="398"/>
      <c r="AG54" s="399"/>
      <c r="AH54" s="100"/>
      <c r="AI54" s="95"/>
      <c r="AJ54" s="400"/>
      <c r="AK54" s="401"/>
      <c r="AL54" s="100"/>
      <c r="AM54" s="95"/>
      <c r="AN54" s="400"/>
      <c r="AO54" s="401"/>
      <c r="AP54" s="100"/>
      <c r="AQ54" s="95"/>
      <c r="AR54" s="384"/>
      <c r="AS54" s="385"/>
      <c r="AT54" s="100"/>
      <c r="AU54" s="95"/>
      <c r="AV54" s="373"/>
      <c r="AW54" s="374"/>
      <c r="AX54" s="100"/>
    </row>
    <row r="55" spans="1:62">
      <c r="C55" s="96"/>
      <c r="D55" s="377" t="s">
        <v>236</v>
      </c>
      <c r="E55" s="378"/>
      <c r="F55" s="98">
        <v>121.4</v>
      </c>
      <c r="G55" s="96">
        <v>43516</v>
      </c>
      <c r="H55" s="377" t="s">
        <v>311</v>
      </c>
      <c r="I55" s="378"/>
      <c r="J55" s="100"/>
      <c r="K55" s="96">
        <v>43553</v>
      </c>
      <c r="L55" s="377" t="s">
        <v>297</v>
      </c>
      <c r="M55" s="378"/>
      <c r="N55" s="100">
        <v>4421.9399999999996</v>
      </c>
      <c r="O55" s="96">
        <v>43565</v>
      </c>
      <c r="P55" s="377" t="s">
        <v>323</v>
      </c>
      <c r="Q55" s="378"/>
      <c r="R55" s="100">
        <v>10</v>
      </c>
      <c r="S55" s="96">
        <v>43607</v>
      </c>
      <c r="T55" s="377" t="s">
        <v>311</v>
      </c>
      <c r="U55" s="378"/>
      <c r="V55" s="100"/>
      <c r="W55" s="96"/>
      <c r="X55" s="394"/>
      <c r="Y55" s="395"/>
      <c r="Z55" s="100"/>
      <c r="AA55" s="96"/>
      <c r="AB55" s="377"/>
      <c r="AC55" s="378"/>
      <c r="AD55" s="100"/>
      <c r="AE55" s="96"/>
      <c r="AF55" s="394"/>
      <c r="AG55" s="395"/>
      <c r="AH55" s="100"/>
      <c r="AI55" s="96"/>
      <c r="AJ55" s="394"/>
      <c r="AK55" s="395"/>
      <c r="AL55" s="100"/>
      <c r="AM55" s="96"/>
      <c r="AN55" s="394"/>
      <c r="AO55" s="395"/>
      <c r="AP55" s="100"/>
      <c r="AQ55" s="96"/>
      <c r="AR55" s="377"/>
      <c r="AS55" s="378"/>
      <c r="AT55" s="100"/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323</v>
      </c>
      <c r="I56" s="378"/>
      <c r="J56" s="100">
        <v>10</v>
      </c>
      <c r="K56" s="96">
        <v>43529</v>
      </c>
      <c r="L56" s="377" t="s">
        <v>325</v>
      </c>
      <c r="M56" s="378"/>
      <c r="N56" s="100">
        <v>3362.6</v>
      </c>
      <c r="O56" s="96">
        <v>43576</v>
      </c>
      <c r="P56" s="386" t="s">
        <v>235</v>
      </c>
      <c r="Q56" s="387"/>
      <c r="R56" s="102"/>
      <c r="S56" s="96"/>
      <c r="T56" s="377"/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/>
      <c r="AF56" s="394"/>
      <c r="AG56" s="395"/>
      <c r="AH56" s="100"/>
      <c r="AI56" s="96"/>
      <c r="AJ56" s="388"/>
      <c r="AK56" s="389"/>
      <c r="AL56" s="100"/>
      <c r="AM56" s="96"/>
      <c r="AN56" s="388"/>
      <c r="AO56" s="389"/>
      <c r="AP56" s="100"/>
      <c r="AQ56" s="96"/>
      <c r="AR56" s="394"/>
      <c r="AS56" s="395"/>
      <c r="AT56" s="100"/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352</v>
      </c>
      <c r="I57" s="378"/>
      <c r="J57" s="100"/>
      <c r="K57" s="96">
        <v>43533</v>
      </c>
      <c r="L57" s="377" t="s">
        <v>235</v>
      </c>
      <c r="M57" s="378"/>
      <c r="N57" s="100"/>
      <c r="O57" s="96">
        <v>43578</v>
      </c>
      <c r="P57" s="381" t="s">
        <v>390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/>
      <c r="AJ57" s="390"/>
      <c r="AK57" s="391"/>
      <c r="AL57" s="100"/>
      <c r="AM57" s="96"/>
      <c r="AN57" s="388"/>
      <c r="AO57" s="389"/>
      <c r="AP57" s="100"/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243</v>
      </c>
      <c r="E58" s="378"/>
      <c r="F58" s="98"/>
      <c r="G58" s="96"/>
      <c r="H58" s="377"/>
      <c r="I58" s="378"/>
      <c r="J58" s="100"/>
      <c r="K58" s="96">
        <v>43536</v>
      </c>
      <c r="L58" s="377" t="s">
        <v>243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/>
      <c r="AN58" s="390"/>
      <c r="AO58" s="391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271</v>
      </c>
      <c r="E59" s="378"/>
      <c r="F59" s="98">
        <v>50</v>
      </c>
      <c r="G59" s="96"/>
      <c r="H59" s="377"/>
      <c r="I59" s="378"/>
      <c r="J59" s="100"/>
      <c r="K59" s="96"/>
      <c r="L59" s="377" t="s">
        <v>386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0"/>
      <c r="AO59" s="391"/>
      <c r="AP59" s="100"/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290</v>
      </c>
      <c r="E60" s="378"/>
      <c r="F60" s="98"/>
      <c r="G60" s="96"/>
      <c r="H60" s="377"/>
      <c r="I60" s="378"/>
      <c r="J60" s="100"/>
      <c r="K60" s="235">
        <v>43549</v>
      </c>
      <c r="L60" s="381" t="s">
        <v>390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292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567</v>
      </c>
      <c r="U70" s="378"/>
      <c r="V70" s="100">
        <v>3742.92</v>
      </c>
      <c r="W70" s="96"/>
      <c r="X70" s="377" t="s">
        <v>565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.7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568</v>
      </c>
      <c r="U71" s="393"/>
      <c r="V71" s="101">
        <v>1872.17</v>
      </c>
      <c r="W71" s="97"/>
      <c r="X71" s="392" t="s">
        <v>566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89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27</v>
      </c>
      <c r="D75">
        <f>C75*D74</f>
        <v>87.096774193548384</v>
      </c>
      <c r="Z75" s="111"/>
    </row>
    <row r="76" spans="1:50">
      <c r="D76">
        <f>D75-D73</f>
        <v>-1.9032258064516157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'08'!A6+(B6-SUM(D6:F6))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'08'!A7+(B7-SUM(D7:F7))</f>
        <v>313.39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'08'!A10+(B10-SUM(D10:F10))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'08'!A11+(B11-SUM(D11:F11))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'08'!A13+(B13-SUM(D13:F13))</f>
        <v>45.5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2813.7599999999998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'08'!A26+(B26-SUM(D26:F26))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'08'!A27+(B27-SUM(D27:F27))</f>
        <v>726.02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'08'!A29+(B29-SUM(D29:F29))</f>
        <v>73.430000000000007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4824.0300000000007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283.84000000000003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2594.1800000000012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1900.8200000000002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'08'!A467+(B467-SUM(D467:F467))</f>
        <v>485.22999999999996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'08'!A468+(B468-SUM(D468:F468))</f>
        <v>223.4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783.63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2410.52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'09'!A7+(B7-SUM(D7:F7))</f>
        <v>383.57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'09'!A10+(B10-SUM(D10:F10))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'09'!A11+(B11-SUM(D11:F11))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'09'!A13+(B13-SUM(D13:F13))</f>
        <v>52.5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3357.76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'09'!A26+(B26-SUM(D26:F26))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'09'!A27+(B27-SUM(D27:F27))</f>
        <v>896.02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'09'!A29+(B29-SUM(D29:F29))</f>
        <v>91.43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5952.0300000000007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354.84000000000003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2619.7100000000014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2280.29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100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505.22999999999996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228.4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833.63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'10'!A6+(B6-SUM(D6:F6))</f>
        <v>2810.11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'10'!A7+(B7-SUM(D7:F7))</f>
        <v>453.75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'10'!A10+(B10-SUM(D10:F10))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'10'!A11+(B11-SUM(D11:F11))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'10'!A13+(B13-SUM(D13:F13))</f>
        <v>59.5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3901.76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'10'!A26+(B26-SUM(D26:F26))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'10'!A27+(B27-SUM(D27:F27))</f>
        <v>1066.02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'10'!A29+(B29-SUM(D29:F29))</f>
        <v>109.43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7080.0300000000007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425.84000000000003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2645.2400000000016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2659.76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125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525.23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233.4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883.63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'11'!A6+(B6-SUM(D6:F6))</f>
        <v>3209.7000000000003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'11'!A7+(B7-SUM(D7:F7))</f>
        <v>523.93000000000006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'11'!A10+(B10-SUM(D10:F10))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'11'!A11+(B11-SUM(D11:F11))</f>
        <v>211.58999999999997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'11'!A13+(B13-SUM(D13:F13))</f>
        <v>66.5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4445.76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'11'!A26+(B26-SUM(D26:F26))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'11'!A27+(B27-SUM(D27:F27))</f>
        <v>1236.02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'11'!A29+(B29-SUM(D29:F29))</f>
        <v>127.43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8208.0300000000007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496.84000000000003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2670.7700000000018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3039.23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150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545.23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238.4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933.63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D26" sqref="D2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183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362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6" workbookViewId="0">
      <selection activeCell="G21" sqref="G2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N13" sqref="N13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I31" workbookViewId="0">
      <selection activeCell="R44" sqref="R44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503</v>
      </c>
      <c r="B1" s="240"/>
      <c r="C1" s="241"/>
      <c r="D1" s="320"/>
      <c r="E1" s="242"/>
      <c r="F1" s="243" t="s">
        <v>504</v>
      </c>
      <c r="G1" s="244"/>
      <c r="H1" s="244"/>
      <c r="I1" s="244"/>
      <c r="J1" s="244"/>
      <c r="K1" s="245" t="s">
        <v>505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506</v>
      </c>
      <c r="B2" s="252" t="s">
        <v>507</v>
      </c>
      <c r="C2" s="252" t="s">
        <v>508</v>
      </c>
      <c r="D2" s="321" t="s">
        <v>563</v>
      </c>
      <c r="E2" s="252" t="s">
        <v>509</v>
      </c>
      <c r="F2" s="253" t="s">
        <v>510</v>
      </c>
      <c r="G2" s="254" t="s">
        <v>511</v>
      </c>
      <c r="H2" s="254" t="s">
        <v>512</v>
      </c>
      <c r="I2" s="254" t="s">
        <v>513</v>
      </c>
      <c r="J2" s="254" t="s">
        <v>7</v>
      </c>
      <c r="K2" s="255" t="s">
        <v>510</v>
      </c>
      <c r="L2" s="256" t="s">
        <v>511</v>
      </c>
      <c r="M2" s="256" t="s">
        <v>513</v>
      </c>
      <c r="N2" s="257" t="s">
        <v>7</v>
      </c>
      <c r="O2" s="258" t="s">
        <v>7</v>
      </c>
      <c r="P2" s="259" t="s">
        <v>514</v>
      </c>
      <c r="Q2" s="259" t="s">
        <v>95</v>
      </c>
      <c r="R2" s="260" t="s">
        <v>515</v>
      </c>
      <c r="S2" s="261"/>
    </row>
    <row r="3" spans="1:26">
      <c r="A3" s="262" t="s">
        <v>516</v>
      </c>
      <c r="B3" s="262" t="s">
        <v>517</v>
      </c>
      <c r="C3" s="263">
        <v>5600</v>
      </c>
      <c r="D3" s="322">
        <f ca="1">_xlfn.DAYS(K3,F3)</f>
        <v>1404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43613</v>
      </c>
      <c r="L3" s="263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537</v>
      </c>
    </row>
    <row r="4" spans="1:26">
      <c r="A4" s="262" t="s">
        <v>518</v>
      </c>
      <c r="B4" s="262" t="s">
        <v>413</v>
      </c>
      <c r="C4" s="263">
        <v>4090</v>
      </c>
      <c r="D4" s="322">
        <f ca="1">_xlfn.DAYS(K4,F4)</f>
        <v>8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43613</v>
      </c>
      <c r="L4" s="263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537</v>
      </c>
    </row>
    <row r="5" spans="1:26">
      <c r="A5" s="262" t="s">
        <v>518</v>
      </c>
      <c r="B5" s="262" t="s">
        <v>519</v>
      </c>
      <c r="C5" s="263">
        <v>5100</v>
      </c>
      <c r="D5" s="322">
        <f ca="1">_xlfn.DAYS(K5,F5)</f>
        <v>459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43613</v>
      </c>
      <c r="L5" s="263">
        <v>30.27</v>
      </c>
      <c r="M5" s="264">
        <f>(H5*L5)</f>
        <v>5932.92</v>
      </c>
      <c r="N5" s="264">
        <f>-(IF((M5*0.0075)&lt;30,30,(M5*0.0075)) + (M5*0.0035))</f>
        <v>-65.262119999999996</v>
      </c>
      <c r="O5" s="272">
        <f>J5+N5</f>
        <v>-121.27499999999999</v>
      </c>
      <c r="P5" s="273">
        <f>M5-E5+N5</f>
        <v>719.56499999999994</v>
      </c>
      <c r="Q5" s="274">
        <f>P5/E5</f>
        <v>0.13977311924488819</v>
      </c>
      <c r="R5" s="275" t="s">
        <v>537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</row>
    <row r="11" spans="1:26">
      <c r="A11" s="446" t="s">
        <v>520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</row>
    <row r="12" spans="1:26">
      <c r="A12" s="290" t="s">
        <v>506</v>
      </c>
      <c r="B12" s="290" t="s">
        <v>507</v>
      </c>
      <c r="C12" s="290" t="s">
        <v>508</v>
      </c>
      <c r="D12" s="324" t="s">
        <v>563</v>
      </c>
      <c r="E12" s="290" t="s">
        <v>509</v>
      </c>
      <c r="F12" s="291" t="s">
        <v>510</v>
      </c>
      <c r="G12" s="292" t="s">
        <v>511</v>
      </c>
      <c r="H12" s="292" t="s">
        <v>512</v>
      </c>
      <c r="I12" s="292" t="s">
        <v>513</v>
      </c>
      <c r="J12" s="292" t="s">
        <v>7</v>
      </c>
      <c r="K12" s="293" t="s">
        <v>510</v>
      </c>
      <c r="L12" s="294" t="s">
        <v>511</v>
      </c>
      <c r="M12" s="294" t="s">
        <v>513</v>
      </c>
      <c r="N12" s="295" t="s">
        <v>7</v>
      </c>
      <c r="O12" s="296" t="s">
        <v>7</v>
      </c>
      <c r="P12" s="297" t="s">
        <v>514</v>
      </c>
      <c r="Q12" s="297" t="s">
        <v>95</v>
      </c>
      <c r="R12" s="298" t="s">
        <v>515</v>
      </c>
      <c r="S12" s="340" t="s">
        <v>607</v>
      </c>
      <c r="W12" s="330" t="s">
        <v>533</v>
      </c>
      <c r="X12" s="330" t="s">
        <v>534</v>
      </c>
      <c r="Y12" s="330" t="s">
        <v>535</v>
      </c>
      <c r="Z12" s="330" t="s">
        <v>536</v>
      </c>
    </row>
    <row r="13" spans="1:26">
      <c r="A13" s="262" t="s">
        <v>516</v>
      </c>
      <c r="B13" s="262" t="s">
        <v>521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521</v>
      </c>
      <c r="S13" s="59">
        <f>Q13+Q14</f>
        <v>-4.7120556421087471E-2</v>
      </c>
      <c r="W13" s="39">
        <f ca="1">D13/D$43</f>
        <v>4.028589993502274E-2</v>
      </c>
      <c r="X13" s="119">
        <f ca="1">W13*E13</f>
        <v>161.91986673164391</v>
      </c>
      <c r="Y13" s="38"/>
    </row>
    <row r="14" spans="1:26">
      <c r="A14" s="262" t="s">
        <v>516</v>
      </c>
      <c r="B14" s="262" t="s">
        <v>521</v>
      </c>
      <c r="C14" s="263"/>
      <c r="D14" s="322">
        <f t="shared" ref="D14:D35" si="0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522</v>
      </c>
      <c r="W14" s="39">
        <f t="shared" ref="W14:W41" ca="1" si="1">D14/D$43</f>
        <v>0</v>
      </c>
      <c r="X14" s="119">
        <f t="shared" ref="X14:X41" ca="1" si="2">W14*E14</f>
        <v>0</v>
      </c>
    </row>
    <row r="15" spans="1:26">
      <c r="A15" s="262" t="s">
        <v>516</v>
      </c>
      <c r="B15" s="262" t="s">
        <v>523</v>
      </c>
      <c r="C15" s="263"/>
      <c r="D15" s="322">
        <f t="shared" si="0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523</v>
      </c>
      <c r="W15" s="39">
        <f t="shared" ca="1" si="1"/>
        <v>3.5737491877842753E-2</v>
      </c>
      <c r="X15" s="119">
        <f t="shared" ca="1" si="2"/>
        <v>0</v>
      </c>
    </row>
    <row r="16" spans="1:26">
      <c r="A16" s="262" t="s">
        <v>516</v>
      </c>
      <c r="B16" s="262" t="s">
        <v>524</v>
      </c>
      <c r="C16" s="263"/>
      <c r="D16" s="322">
        <f t="shared" si="0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524</v>
      </c>
      <c r="W16" s="39">
        <f t="shared" ca="1" si="1"/>
        <v>9.0968161143599735E-3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0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525</v>
      </c>
      <c r="W17" s="39">
        <f t="shared" ca="1" si="1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0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526</v>
      </c>
      <c r="W18" s="39">
        <f t="shared" ca="1" si="1"/>
        <v>0</v>
      </c>
      <c r="X18" s="119">
        <f t="shared" ca="1" si="2"/>
        <v>0</v>
      </c>
    </row>
    <row r="19" spans="1:24">
      <c r="A19" s="262" t="s">
        <v>516</v>
      </c>
      <c r="B19" s="262" t="s">
        <v>524</v>
      </c>
      <c r="C19" s="263">
        <v>4400</v>
      </c>
      <c r="D19" s="322">
        <f t="shared" si="0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524</v>
      </c>
      <c r="S19" s="59">
        <f>Q19+Q21+Q24</f>
        <v>0.24013324659263452</v>
      </c>
      <c r="W19" s="39">
        <f t="shared" ca="1" si="1"/>
        <v>0.56465237166991555</v>
      </c>
      <c r="X19" s="119">
        <f t="shared" ca="1" si="2"/>
        <v>2497.6832556725153</v>
      </c>
    </row>
    <row r="20" spans="1:24">
      <c r="A20" s="262" t="s">
        <v>516</v>
      </c>
      <c r="B20" s="262" t="s">
        <v>524</v>
      </c>
      <c r="C20" s="263">
        <v>605</v>
      </c>
      <c r="D20" s="322">
        <f t="shared" si="0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564</v>
      </c>
      <c r="W20" s="39">
        <f t="shared" ca="1" si="1"/>
        <v>0.41065627030539309</v>
      </c>
      <c r="X20" s="119">
        <f t="shared" ca="1" si="2"/>
        <v>246.64015594541911</v>
      </c>
    </row>
    <row r="21" spans="1:24">
      <c r="A21" s="262" t="s">
        <v>516</v>
      </c>
      <c r="B21" s="262" t="s">
        <v>524</v>
      </c>
      <c r="C21" s="263"/>
      <c r="D21" s="322">
        <f t="shared" si="0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527</v>
      </c>
      <c r="W21" s="39">
        <f t="shared" ca="1" si="1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0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525</v>
      </c>
      <c r="W22" s="39">
        <f t="shared" ca="1" si="1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0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528</v>
      </c>
      <c r="W23" s="39">
        <f t="shared" ca="1" si="1"/>
        <v>0</v>
      </c>
      <c r="X23" s="119">
        <f t="shared" ca="1" si="2"/>
        <v>0</v>
      </c>
    </row>
    <row r="24" spans="1:24">
      <c r="A24" s="262" t="s">
        <v>516</v>
      </c>
      <c r="B24" s="262" t="s">
        <v>524</v>
      </c>
      <c r="C24" s="263"/>
      <c r="D24" s="322">
        <f t="shared" si="0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529</v>
      </c>
      <c r="W24" s="39">
        <f t="shared" ca="1" si="1"/>
        <v>0</v>
      </c>
      <c r="X24" s="119">
        <f t="shared" ca="1" si="2"/>
        <v>0</v>
      </c>
    </row>
    <row r="25" spans="1:24">
      <c r="A25" s="262" t="s">
        <v>516</v>
      </c>
      <c r="B25" s="262" t="s">
        <v>524</v>
      </c>
      <c r="C25" s="263">
        <v>600</v>
      </c>
      <c r="D25" s="322">
        <f t="shared" si="0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524</v>
      </c>
      <c r="W25" s="39">
        <f t="shared" ca="1" si="1"/>
        <v>0.1871345029239766</v>
      </c>
      <c r="X25" s="119">
        <f t="shared" ca="1" si="2"/>
        <v>113.77089609356725</v>
      </c>
    </row>
    <row r="26" spans="1:24">
      <c r="A26" s="262"/>
      <c r="B26" s="262"/>
      <c r="C26" s="263"/>
      <c r="D26" s="322">
        <f t="shared" si="0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530</v>
      </c>
      <c r="W26" s="39">
        <f t="shared" ca="1" si="1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0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530</v>
      </c>
      <c r="W27" s="39">
        <f t="shared" ca="1" si="1"/>
        <v>0</v>
      </c>
      <c r="X27" s="119">
        <f t="shared" ca="1" si="2"/>
        <v>0</v>
      </c>
    </row>
    <row r="28" spans="1:24">
      <c r="A28" s="262" t="s">
        <v>518</v>
      </c>
      <c r="B28" s="262" t="s">
        <v>519</v>
      </c>
      <c r="C28" s="263">
        <v>5100</v>
      </c>
      <c r="D28" s="322">
        <f t="shared" ca="1" si="0"/>
        <v>459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43613</v>
      </c>
      <c r="L28" s="302">
        <v>25</v>
      </c>
      <c r="M28" s="264">
        <f>(H28*L28)</f>
        <v>4900</v>
      </c>
      <c r="N28" s="264">
        <f>-(IF((M28*0.0075)&lt;30,30,(M28*0.0075)) + (M28*0.0035))</f>
        <v>-53.900000000000006</v>
      </c>
      <c r="O28" s="272">
        <f>J28+N28</f>
        <v>-109.91288</v>
      </c>
      <c r="P28" s="273">
        <f ca="1">IF(K28=0,0,M28-E28+N28)</f>
        <v>-301.99288000000013</v>
      </c>
      <c r="Q28" s="274">
        <f ca="1">P28/E28</f>
        <v>-5.8661117240759675E-2</v>
      </c>
      <c r="R28" s="275" t="s">
        <v>519</v>
      </c>
      <c r="S28" s="59">
        <f ca="1">Q28+Q29+Q30+Q34</f>
        <v>-3.4255963151931343E-2</v>
      </c>
      <c r="W28" s="39">
        <f t="shared" ca="1" si="1"/>
        <v>0.2982456140350877</v>
      </c>
      <c r="X28" s="119">
        <f t="shared" ca="1" si="2"/>
        <v>1535.3961221052632</v>
      </c>
    </row>
    <row r="29" spans="1:24">
      <c r="A29" s="262" t="s">
        <v>518</v>
      </c>
      <c r="B29" s="262" t="s">
        <v>519</v>
      </c>
      <c r="C29" s="263"/>
      <c r="D29" s="322">
        <f t="shared" si="0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473</v>
      </c>
      <c r="W29" s="39">
        <f t="shared" ca="1" si="1"/>
        <v>0</v>
      </c>
      <c r="X29" s="119">
        <f t="shared" ca="1" si="2"/>
        <v>0</v>
      </c>
    </row>
    <row r="30" spans="1:24">
      <c r="A30" s="262" t="s">
        <v>518</v>
      </c>
      <c r="B30" s="262" t="s">
        <v>519</v>
      </c>
      <c r="C30" s="263"/>
      <c r="D30" s="322">
        <f t="shared" si="0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473</v>
      </c>
      <c r="W30" s="39">
        <f t="shared" ca="1" si="1"/>
        <v>0</v>
      </c>
      <c r="X30" s="119">
        <f t="shared" ca="1" si="2"/>
        <v>0</v>
      </c>
    </row>
    <row r="31" spans="1:24">
      <c r="A31" s="262" t="s">
        <v>518</v>
      </c>
      <c r="B31" s="262"/>
      <c r="C31" s="263"/>
      <c r="D31" s="322">
        <f t="shared" si="0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531</v>
      </c>
      <c r="W31" s="39">
        <f t="shared" ca="1" si="1"/>
        <v>0</v>
      </c>
      <c r="X31" s="119">
        <f t="shared" ca="1" si="2"/>
        <v>0</v>
      </c>
    </row>
    <row r="32" spans="1:24">
      <c r="A32" s="262" t="s">
        <v>518</v>
      </c>
      <c r="B32" s="262"/>
      <c r="C32" s="263"/>
      <c r="D32" s="322">
        <f t="shared" si="0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</f>
        <v>-9.7999999999999989</v>
      </c>
      <c r="Q32" s="274"/>
      <c r="R32" s="275" t="s">
        <v>532</v>
      </c>
      <c r="W32" s="39">
        <f t="shared" ca="1" si="1"/>
        <v>0</v>
      </c>
      <c r="X32" s="119">
        <f t="shared" ca="1" si="2"/>
        <v>0</v>
      </c>
    </row>
    <row r="33" spans="1:26">
      <c r="A33" s="262" t="s">
        <v>518</v>
      </c>
      <c r="B33" s="262" t="s">
        <v>413</v>
      </c>
      <c r="C33" s="263">
        <v>4090</v>
      </c>
      <c r="D33" s="322">
        <f t="shared" si="0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413</v>
      </c>
      <c r="W33" s="39">
        <f t="shared" ca="1" si="1"/>
        <v>1.4294996751137101E-2</v>
      </c>
      <c r="X33" s="119">
        <f t="shared" ca="1" si="2"/>
        <v>59.025845614035077</v>
      </c>
    </row>
    <row r="34" spans="1:26">
      <c r="A34" s="262" t="s">
        <v>518</v>
      </c>
      <c r="B34" s="262" t="s">
        <v>519</v>
      </c>
      <c r="C34" s="263"/>
      <c r="D34" s="322">
        <f t="shared" si="0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473</v>
      </c>
      <c r="W34" s="39">
        <f t="shared" ca="1" si="1"/>
        <v>0</v>
      </c>
      <c r="X34" s="119">
        <f t="shared" ca="1" si="2"/>
        <v>0</v>
      </c>
    </row>
    <row r="35" spans="1:26">
      <c r="A35" s="262" t="s">
        <v>518</v>
      </c>
      <c r="B35" s="262" t="s">
        <v>413</v>
      </c>
      <c r="C35" s="263">
        <v>4090</v>
      </c>
      <c r="D35" s="322">
        <f t="shared" ca="1" si="0"/>
        <v>8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43613</v>
      </c>
      <c r="L35" s="302">
        <v>63.75</v>
      </c>
      <c r="M35" s="264">
        <f>(H35*L35)</f>
        <v>3952.5</v>
      </c>
      <c r="N35" s="264">
        <f>-(IF((M35*0.0075)&lt;30,30,(M35*0.0075)) + (M35*0.0035))</f>
        <v>-43.833750000000002</v>
      </c>
      <c r="O35" s="272">
        <f>J35+N35</f>
        <v>-88.320610000000002</v>
      </c>
      <c r="P35" s="273">
        <f ca="1">IF(K35=0,0,M35-E35+N35)</f>
        <v>-180.08061000000021</v>
      </c>
      <c r="Q35" s="274">
        <f ca="1">P35/E35</f>
        <v>-4.4042983379998291E-2</v>
      </c>
      <c r="R35" s="275" t="s">
        <v>413</v>
      </c>
      <c r="W35" s="39">
        <f t="shared" ca="1" si="1"/>
        <v>5.1981806367771277E-3</v>
      </c>
      <c r="X35" s="119">
        <f t="shared" ca="1" si="2"/>
        <v>21.254044756335283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1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1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1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1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1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1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2409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-368.31500900000003</v>
      </c>
      <c r="O42" s="315">
        <f>SUM(O13:O41)</f>
        <v>-554.513147</v>
      </c>
      <c r="P42" s="315">
        <f ca="1">SUM(P13:P41)</f>
        <v>3178.7852329999996</v>
      </c>
      <c r="Q42" s="326">
        <f ca="1">SUM(Q13:Q41)</f>
        <v>3.820661605540312</v>
      </c>
      <c r="R42" s="317"/>
      <c r="W42" s="327">
        <f ca="1">SUM(W13:W41)</f>
        <v>1.5653021442495128</v>
      </c>
      <c r="X42" s="328">
        <f ca="1">SUM(X13:X41)</f>
        <v>4635.6901869187795</v>
      </c>
      <c r="Y42" s="329">
        <f ca="1">P42/X42</f>
        <v>0.68571994780195911</v>
      </c>
      <c r="Z42" s="329">
        <f ca="1">Y42/(D$43/365)</f>
        <v>0.162630137068041</v>
      </c>
    </row>
    <row r="43" spans="1:26">
      <c r="C43" s="119" t="s">
        <v>571</v>
      </c>
      <c r="D43" s="46">
        <f ca="1">_xlfn.DAYS(TODAY(),F13)</f>
        <v>1539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538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539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540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541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542</v>
      </c>
      <c r="T62" s="41" t="s">
        <v>543</v>
      </c>
      <c r="U62" s="38"/>
    </row>
    <row r="63" spans="3:28" ht="15.75">
      <c r="G63" s="38"/>
      <c r="R63" t="s">
        <v>544</v>
      </c>
      <c r="S63" s="309" t="s">
        <v>545</v>
      </c>
      <c r="T63" s="310"/>
      <c r="U63" s="38"/>
    </row>
    <row r="64" spans="3:28">
      <c r="F64" s="38"/>
      <c r="G64" s="38"/>
      <c r="R64" t="s">
        <v>546</v>
      </c>
      <c r="S64" s="309" t="s">
        <v>547</v>
      </c>
      <c r="T64" t="s">
        <v>548</v>
      </c>
    </row>
    <row r="65" spans="6:21">
      <c r="F65" s="38"/>
      <c r="G65" s="38"/>
      <c r="H65" s="38"/>
      <c r="K65" t="s">
        <v>549</v>
      </c>
      <c r="S65" s="38"/>
      <c r="T65" t="s">
        <v>550</v>
      </c>
      <c r="U65" s="38"/>
    </row>
    <row r="66" spans="6:21">
      <c r="K66" s="311">
        <v>43587</v>
      </c>
      <c r="S66" s="306"/>
    </row>
    <row r="67" spans="6:21">
      <c r="K67" t="s">
        <v>551</v>
      </c>
      <c r="S67" s="312"/>
    </row>
    <row r="68" spans="6:21">
      <c r="K68" t="s">
        <v>552</v>
      </c>
      <c r="M68" t="s">
        <v>148</v>
      </c>
      <c r="S68" s="309"/>
      <c r="T68">
        <f>5000/12</f>
        <v>416.66666666666669</v>
      </c>
    </row>
    <row r="69" spans="6:21">
      <c r="K69" t="s">
        <v>553</v>
      </c>
      <c r="T69">
        <f>2.2/T68</f>
        <v>5.28E-3</v>
      </c>
    </row>
    <row r="70" spans="6:21">
      <c r="K70" t="s">
        <v>554</v>
      </c>
      <c r="T70">
        <f>100*T69</f>
        <v>0.52800000000000002</v>
      </c>
    </row>
    <row r="71" spans="6:21">
      <c r="K71" t="s">
        <v>555</v>
      </c>
      <c r="T71">
        <f>2.2*12</f>
        <v>26.400000000000002</v>
      </c>
    </row>
    <row r="72" spans="6:21">
      <c r="K72" t="s">
        <v>556</v>
      </c>
    </row>
    <row r="73" spans="6:21">
      <c r="K73" t="s">
        <v>557</v>
      </c>
    </row>
    <row r="74" spans="6:21">
      <c r="K74" t="s">
        <v>558</v>
      </c>
    </row>
    <row r="75" spans="6:21">
      <c r="K75" t="s">
        <v>559</v>
      </c>
    </row>
    <row r="76" spans="6:21">
      <c r="K76" t="s">
        <v>560</v>
      </c>
    </row>
    <row r="77" spans="6:21">
      <c r="K77" t="s">
        <v>561</v>
      </c>
    </row>
    <row r="78" spans="6:21">
      <c r="K78" t="s">
        <v>562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D8" sqref="D8"/>
    </sheetView>
  </sheetViews>
  <sheetFormatPr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577</v>
      </c>
      <c r="B1" s="448"/>
      <c r="C1" s="448"/>
      <c r="D1" s="448"/>
      <c r="E1" s="448"/>
    </row>
    <row r="2" spans="1:5">
      <c r="A2" s="332" t="s">
        <v>573</v>
      </c>
      <c r="B2" s="333" t="s">
        <v>88</v>
      </c>
      <c r="C2" s="333" t="s">
        <v>574</v>
      </c>
      <c r="D2" s="333" t="s">
        <v>575</v>
      </c>
      <c r="E2" s="270"/>
    </row>
    <row r="3" spans="1:5">
      <c r="A3" s="334" t="s">
        <v>52</v>
      </c>
      <c r="B3" s="335">
        <f>1094.26</f>
        <v>1094.26</v>
      </c>
      <c r="C3" s="305">
        <f>B3/B$7</f>
        <v>0.27057113044166298</v>
      </c>
      <c r="D3" s="335">
        <f>D$7*C3</f>
        <v>-53.031941566565941</v>
      </c>
      <c r="E3" s="275"/>
    </row>
    <row r="4" spans="1:5">
      <c r="A4" s="334" t="s">
        <v>26</v>
      </c>
      <c r="B4" s="335">
        <v>1350</v>
      </c>
      <c r="C4" s="305">
        <f t="shared" ref="C4:C6" si="0">B4/B$7</f>
        <v>0.33380643183178133</v>
      </c>
      <c r="D4" s="335">
        <f t="shared" ref="D4:D6" si="1">D$7*C4</f>
        <v>-65.426060639029146</v>
      </c>
      <c r="E4" s="275"/>
    </row>
    <row r="5" spans="1:5">
      <c r="A5" s="334" t="s">
        <v>171</v>
      </c>
      <c r="B5" s="335">
        <v>550</v>
      </c>
      <c r="C5" s="305">
        <f t="shared" si="0"/>
        <v>0.1359952129685035</v>
      </c>
      <c r="D5" s="335">
        <f t="shared" si="1"/>
        <v>-26.655061741826685</v>
      </c>
      <c r="E5" s="275"/>
    </row>
    <row r="6" spans="1:5">
      <c r="A6" s="334" t="s">
        <v>50</v>
      </c>
      <c r="B6" s="335">
        <v>1050</v>
      </c>
      <c r="C6" s="305">
        <f t="shared" si="0"/>
        <v>0.25962722475805217</v>
      </c>
      <c r="D6" s="335">
        <f t="shared" si="1"/>
        <v>-50.886936052578221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1</v>
      </c>
      <c r="D7" s="336">
        <v>-196</v>
      </c>
      <c r="E7" s="275" t="s">
        <v>576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6" t="s">
        <v>606</v>
      </c>
      <c r="B15" s="446"/>
      <c r="C15" s="446"/>
      <c r="D15" s="446"/>
      <c r="E15" s="446"/>
    </row>
    <row r="17" spans="1:4">
      <c r="A17" s="331" t="s">
        <v>578</v>
      </c>
    </row>
    <row r="19" spans="1:4">
      <c r="A19" t="s">
        <v>579</v>
      </c>
    </row>
    <row r="20" spans="1:4">
      <c r="A20" t="s">
        <v>580</v>
      </c>
    </row>
    <row r="21" spans="1:4">
      <c r="A21" t="s">
        <v>581</v>
      </c>
    </row>
    <row r="22" spans="1:4">
      <c r="A22" t="s">
        <v>582</v>
      </c>
    </row>
    <row r="23" spans="1:4">
      <c r="A23" t="s">
        <v>583</v>
      </c>
    </row>
    <row r="24" spans="1:4">
      <c r="A24" t="s">
        <v>584</v>
      </c>
    </row>
    <row r="25" spans="1:4">
      <c r="A25" t="s">
        <v>585</v>
      </c>
    </row>
    <row r="30" spans="1:4">
      <c r="A30" s="331" t="s">
        <v>586</v>
      </c>
      <c r="B30" s="331" t="s">
        <v>587</v>
      </c>
      <c r="C30" s="331" t="s">
        <v>588</v>
      </c>
      <c r="D30" s="331" t="s">
        <v>589</v>
      </c>
    </row>
    <row r="32" spans="1:4">
      <c r="A32" t="s">
        <v>590</v>
      </c>
      <c r="B32" t="s">
        <v>591</v>
      </c>
      <c r="C32" t="s">
        <v>592</v>
      </c>
      <c r="D32" t="s">
        <v>593</v>
      </c>
    </row>
    <row r="33" spans="1:4">
      <c r="A33" t="s">
        <v>594</v>
      </c>
      <c r="B33" t="s">
        <v>595</v>
      </c>
      <c r="C33" t="s">
        <v>596</v>
      </c>
      <c r="D33" t="s">
        <v>591</v>
      </c>
    </row>
    <row r="34" spans="1:4">
      <c r="A34" t="s">
        <v>597</v>
      </c>
      <c r="B34" t="s">
        <v>598</v>
      </c>
      <c r="C34" t="s">
        <v>599</v>
      </c>
      <c r="D34" t="s">
        <v>593</v>
      </c>
    </row>
    <row r="35" spans="1:4">
      <c r="A35" t="s">
        <v>600</v>
      </c>
      <c r="B35" t="s">
        <v>591</v>
      </c>
      <c r="C35" t="s">
        <v>596</v>
      </c>
      <c r="D35" t="s">
        <v>601</v>
      </c>
    </row>
    <row r="36" spans="1:4">
      <c r="A36" t="s">
        <v>425</v>
      </c>
      <c r="B36" t="s">
        <v>591</v>
      </c>
      <c r="C36" t="s">
        <v>592</v>
      </c>
      <c r="D36" t="s">
        <v>601</v>
      </c>
    </row>
    <row r="37" spans="1:4">
      <c r="A37" t="s">
        <v>602</v>
      </c>
      <c r="B37" t="s">
        <v>593</v>
      </c>
      <c r="C37" t="s">
        <v>599</v>
      </c>
      <c r="D37" t="s">
        <v>598</v>
      </c>
    </row>
    <row r="38" spans="1:4">
      <c r="A38" t="s">
        <v>603</v>
      </c>
      <c r="B38" t="s">
        <v>591</v>
      </c>
      <c r="C38" t="s">
        <v>599</v>
      </c>
      <c r="D38" t="s">
        <v>591</v>
      </c>
    </row>
    <row r="39" spans="1:4">
      <c r="A39" t="s">
        <v>604</v>
      </c>
      <c r="B39" t="s">
        <v>593</v>
      </c>
      <c r="C39" t="s">
        <v>592</v>
      </c>
      <c r="D39" t="s">
        <v>591</v>
      </c>
    </row>
    <row r="40" spans="1:4">
      <c r="A40" t="s">
        <v>605</v>
      </c>
      <c r="B40" t="s">
        <v>593</v>
      </c>
      <c r="C40" t="s">
        <v>592</v>
      </c>
      <c r="D40" t="s">
        <v>598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>
        <v>2018</v>
      </c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2">
        <v>2901.68</v>
      </c>
      <c r="L5" s="433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6">
        <v>620.05999999999995</v>
      </c>
      <c r="L6" s="417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6">
        <v>8035.29</v>
      </c>
      <c r="L7" s="417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6">
        <v>659.39</v>
      </c>
      <c r="L9" s="417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6">
        <f>240+35</f>
        <v>275</v>
      </c>
      <c r="L11" s="417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8">
        <f>SUM(K5:K18)</f>
        <v>26383.54</v>
      </c>
      <c r="L19" s="419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12"/>
      <c r="I22" s="420" t="s">
        <v>6</v>
      </c>
      <c r="J22" s="411"/>
      <c r="K22" s="411"/>
      <c r="L22" s="412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12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12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21" t="str">
        <f>AÑO!A8</f>
        <v>Manolo Salario</v>
      </c>
      <c r="J25" s="424" t="s">
        <v>291</v>
      </c>
      <c r="K25" s="425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2"/>
      <c r="J26" s="426"/>
      <c r="K26" s="427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2"/>
      <c r="J27" s="426"/>
      <c r="K27" s="427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2"/>
      <c r="J28" s="426"/>
      <c r="K28" s="427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3"/>
      <c r="J29" s="428"/>
      <c r="K29" s="429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21" t="str">
        <f>AÑO!A9</f>
        <v>Rocío Salario</v>
      </c>
      <c r="J30" s="424" t="s">
        <v>238</v>
      </c>
      <c r="K30" s="425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2"/>
      <c r="J31" s="426" t="s">
        <v>256</v>
      </c>
      <c r="K31" s="427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2"/>
      <c r="J32" s="434" t="s">
        <v>267</v>
      </c>
      <c r="K32" s="427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1" t="s">
        <v>218</v>
      </c>
      <c r="J35" s="424" t="s">
        <v>306</v>
      </c>
      <c r="K35" s="425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21" t="str">
        <f>AÑO!A11</f>
        <v>Finanazas</v>
      </c>
      <c r="J40" s="424" t="s">
        <v>239</v>
      </c>
      <c r="K40" s="425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2"/>
      <c r="J41" s="426" t="s">
        <v>240</v>
      </c>
      <c r="K41" s="427"/>
      <c r="L41" s="229">
        <v>1.87</v>
      </c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12"/>
      <c r="I42" s="422"/>
      <c r="J42" s="426" t="s">
        <v>269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12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12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21" t="str">
        <f>AÑO!A12</f>
        <v>Regalos</v>
      </c>
      <c r="J45" s="424" t="s">
        <v>299</v>
      </c>
      <c r="K45" s="425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22"/>
      <c r="J46" s="426"/>
      <c r="K46" s="42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23"/>
      <c r="J49" s="428"/>
      <c r="K49" s="429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21" t="str">
        <f>AÑO!A13</f>
        <v>Gubernamental</v>
      </c>
      <c r="J50" s="424" t="s">
        <v>259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23"/>
      <c r="J54" s="428"/>
      <c r="K54" s="429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3"/>
      <c r="J59" s="428"/>
      <c r="K59" s="429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21" t="str">
        <f>AÑO!A15</f>
        <v>Alquiler Cartama</v>
      </c>
      <c r="J60" s="424"/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12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12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12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21" t="str">
        <f>AÑO!A16</f>
        <v>Otros</v>
      </c>
      <c r="J65" s="424" t="s">
        <v>296</v>
      </c>
      <c r="K65" s="425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22"/>
      <c r="J66" s="426"/>
      <c r="K66" s="427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2"/>
      <c r="J67" s="426"/>
      <c r="K67" s="427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22"/>
      <c r="J68" s="426"/>
      <c r="K68" s="42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7"/>
      <c r="J69" s="438"/>
      <c r="K69" s="439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12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12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12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12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12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12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12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12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  <c r="H202" s="112"/>
    </row>
    <row r="203" spans="2:12" ht="15" customHeight="1" thickBot="1">
      <c r="B203" s="413"/>
      <c r="C203" s="414"/>
      <c r="D203" s="414"/>
      <c r="E203" s="414"/>
      <c r="F203" s="414"/>
      <c r="G203" s="415"/>
      <c r="H203" s="112"/>
    </row>
    <row r="204" spans="2:12" ht="15.75">
      <c r="B204" s="402" t="s">
        <v>8</v>
      </c>
      <c r="C204" s="403"/>
      <c r="D204" s="410" t="s">
        <v>9</v>
      </c>
      <c r="E204" s="410"/>
      <c r="F204" s="410"/>
      <c r="G204" s="403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4" t="str">
        <f>AÑO!A31</f>
        <v>Deportes</v>
      </c>
      <c r="C222" s="411"/>
      <c r="D222" s="411"/>
      <c r="E222" s="411"/>
      <c r="F222" s="411"/>
      <c r="G222" s="412"/>
      <c r="H222" s="112"/>
    </row>
    <row r="223" spans="2:8" ht="15" customHeight="1" thickBot="1">
      <c r="B223" s="413"/>
      <c r="C223" s="414"/>
      <c r="D223" s="414"/>
      <c r="E223" s="414"/>
      <c r="F223" s="414"/>
      <c r="G223" s="415"/>
      <c r="H223" s="112"/>
    </row>
    <row r="224" spans="2:8" ht="15.75">
      <c r="B224" s="402" t="s">
        <v>8</v>
      </c>
      <c r="C224" s="403"/>
      <c r="D224" s="410" t="s">
        <v>9</v>
      </c>
      <c r="E224" s="410"/>
      <c r="F224" s="410"/>
      <c r="G224" s="403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4" t="str">
        <f>AÑO!A32</f>
        <v>Hogar</v>
      </c>
      <c r="C242" s="411"/>
      <c r="D242" s="411"/>
      <c r="E242" s="411"/>
      <c r="F242" s="411"/>
      <c r="G242" s="412"/>
      <c r="H242" s="112"/>
    </row>
    <row r="243" spans="2:8" ht="15" customHeight="1" thickBot="1">
      <c r="B243" s="413"/>
      <c r="C243" s="414"/>
      <c r="D243" s="414"/>
      <c r="E243" s="414"/>
      <c r="F243" s="414"/>
      <c r="G243" s="415"/>
      <c r="H243" s="112"/>
    </row>
    <row r="244" spans="2:8" ht="15" customHeight="1">
      <c r="B244" s="402" t="s">
        <v>8</v>
      </c>
      <c r="C244" s="403"/>
      <c r="D244" s="410" t="s">
        <v>9</v>
      </c>
      <c r="E244" s="410"/>
      <c r="F244" s="410"/>
      <c r="G244" s="403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4" t="str">
        <f>AÑO!A33</f>
        <v>Formación</v>
      </c>
      <c r="C262" s="411"/>
      <c r="D262" s="411"/>
      <c r="E262" s="411"/>
      <c r="F262" s="411"/>
      <c r="G262" s="412"/>
      <c r="H262" s="112"/>
    </row>
    <row r="263" spans="2:8" ht="15" customHeight="1" thickBot="1">
      <c r="B263" s="413"/>
      <c r="C263" s="414"/>
      <c r="D263" s="414"/>
      <c r="E263" s="414"/>
      <c r="F263" s="414"/>
      <c r="G263" s="415"/>
      <c r="H263" s="112"/>
    </row>
    <row r="264" spans="2:8" ht="15.75">
      <c r="B264" s="402" t="s">
        <v>8</v>
      </c>
      <c r="C264" s="403"/>
      <c r="D264" s="410" t="s">
        <v>9</v>
      </c>
      <c r="E264" s="410"/>
      <c r="F264" s="410"/>
      <c r="G264" s="403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  <c r="H282" s="112"/>
    </row>
    <row r="283" spans="2:8" ht="15" customHeight="1" thickBot="1">
      <c r="B283" s="413"/>
      <c r="C283" s="414"/>
      <c r="D283" s="414"/>
      <c r="E283" s="414"/>
      <c r="F283" s="414"/>
      <c r="G283" s="415"/>
      <c r="H283" s="112"/>
    </row>
    <row r="284" spans="2:8" ht="15.75">
      <c r="B284" s="402" t="s">
        <v>8</v>
      </c>
      <c r="C284" s="403"/>
      <c r="D284" s="410" t="s">
        <v>9</v>
      </c>
      <c r="E284" s="410"/>
      <c r="F284" s="410"/>
      <c r="G284" s="403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  <c r="H302" s="112"/>
    </row>
    <row r="303" spans="2:8" ht="15" customHeight="1" thickBot="1">
      <c r="B303" s="413"/>
      <c r="C303" s="414"/>
      <c r="D303" s="414"/>
      <c r="E303" s="414"/>
      <c r="F303" s="414"/>
      <c r="G303" s="415"/>
      <c r="H303" s="112"/>
    </row>
    <row r="304" spans="2:8" ht="15.75">
      <c r="B304" s="402" t="s">
        <v>8</v>
      </c>
      <c r="C304" s="403"/>
      <c r="D304" s="410" t="s">
        <v>9</v>
      </c>
      <c r="E304" s="410"/>
      <c r="F304" s="410"/>
      <c r="G304" s="403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4" t="str">
        <f>AÑO!A36</f>
        <v>Nenas</v>
      </c>
      <c r="C322" s="411"/>
      <c r="D322" s="411"/>
      <c r="E322" s="411"/>
      <c r="F322" s="411"/>
      <c r="G322" s="412"/>
      <c r="H322" s="112"/>
    </row>
    <row r="323" spans="2:8" ht="15" customHeight="1" thickBot="1">
      <c r="B323" s="413"/>
      <c r="C323" s="414"/>
      <c r="D323" s="414"/>
      <c r="E323" s="414"/>
      <c r="F323" s="414"/>
      <c r="G323" s="415"/>
      <c r="H323" s="112"/>
    </row>
    <row r="324" spans="2:8" ht="15.75">
      <c r="B324" s="402" t="s">
        <v>8</v>
      </c>
      <c r="C324" s="403"/>
      <c r="D324" s="410" t="s">
        <v>9</v>
      </c>
      <c r="E324" s="410"/>
      <c r="F324" s="410"/>
      <c r="G324" s="403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4" t="str">
        <f>AÑO!A37</f>
        <v>Impuestos</v>
      </c>
      <c r="C342" s="411"/>
      <c r="D342" s="411"/>
      <c r="E342" s="411"/>
      <c r="F342" s="411"/>
      <c r="G342" s="412"/>
      <c r="H342" s="112"/>
    </row>
    <row r="343" spans="2:8" ht="15" customHeight="1" thickBot="1">
      <c r="B343" s="413"/>
      <c r="C343" s="414"/>
      <c r="D343" s="414"/>
      <c r="E343" s="414"/>
      <c r="F343" s="414"/>
      <c r="G343" s="415"/>
      <c r="H343" s="112"/>
    </row>
    <row r="344" spans="2:8" ht="15.75">
      <c r="B344" s="402" t="s">
        <v>8</v>
      </c>
      <c r="C344" s="403"/>
      <c r="D344" s="410" t="s">
        <v>9</v>
      </c>
      <c r="E344" s="410"/>
      <c r="F344" s="410"/>
      <c r="G344" s="403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4" t="str">
        <f>AÑO!A38</f>
        <v>Gastos Curros</v>
      </c>
      <c r="C362" s="411"/>
      <c r="D362" s="411"/>
      <c r="E362" s="411"/>
      <c r="F362" s="411"/>
      <c r="G362" s="412"/>
      <c r="H362" s="112"/>
    </row>
    <row r="363" spans="2:8" ht="15" customHeight="1" thickBot="1">
      <c r="B363" s="413"/>
      <c r="C363" s="414"/>
      <c r="D363" s="414"/>
      <c r="E363" s="414"/>
      <c r="F363" s="414"/>
      <c r="G363" s="415"/>
      <c r="H363" s="112"/>
    </row>
    <row r="364" spans="2:8" ht="15.75">
      <c r="B364" s="402" t="s">
        <v>8</v>
      </c>
      <c r="C364" s="403"/>
      <c r="D364" s="410" t="s">
        <v>9</v>
      </c>
      <c r="E364" s="410"/>
      <c r="F364" s="410"/>
      <c r="G364" s="403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4" t="str">
        <f>AÑO!A39</f>
        <v>Dreamed Holidays</v>
      </c>
      <c r="C382" s="411"/>
      <c r="D382" s="411"/>
      <c r="E382" s="411"/>
      <c r="F382" s="411"/>
      <c r="G382" s="412"/>
      <c r="H382" s="112"/>
    </row>
    <row r="383" spans="2:8" ht="15" customHeight="1" thickBot="1">
      <c r="B383" s="413"/>
      <c r="C383" s="414"/>
      <c r="D383" s="414"/>
      <c r="E383" s="414"/>
      <c r="F383" s="414"/>
      <c r="G383" s="415"/>
      <c r="H383" s="112"/>
    </row>
    <row r="384" spans="2:8" ht="15.75">
      <c r="B384" s="402" t="s">
        <v>8</v>
      </c>
      <c r="C384" s="403"/>
      <c r="D384" s="410" t="s">
        <v>9</v>
      </c>
      <c r="E384" s="410"/>
      <c r="F384" s="410"/>
      <c r="G384" s="403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4" t="str">
        <f>AÑO!A40</f>
        <v>Financieros</v>
      </c>
      <c r="C402" s="411"/>
      <c r="D402" s="411"/>
      <c r="E402" s="411"/>
      <c r="F402" s="411"/>
      <c r="G402" s="412"/>
      <c r="H402" s="112"/>
    </row>
    <row r="403" spans="2:8" ht="15" customHeight="1" thickBot="1">
      <c r="B403" s="413"/>
      <c r="C403" s="414"/>
      <c r="D403" s="414"/>
      <c r="E403" s="414"/>
      <c r="F403" s="414"/>
      <c r="G403" s="415"/>
      <c r="H403" s="112"/>
    </row>
    <row r="404" spans="2:8" ht="15.75">
      <c r="B404" s="402" t="s">
        <v>8</v>
      </c>
      <c r="C404" s="403"/>
      <c r="D404" s="410" t="s">
        <v>9</v>
      </c>
      <c r="E404" s="410"/>
      <c r="F404" s="410"/>
      <c r="G404" s="403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  <c r="H422" s="112"/>
    </row>
    <row r="423" spans="1:8" ht="15" customHeight="1" thickBot="1">
      <c r="B423" s="407"/>
      <c r="C423" s="408"/>
      <c r="D423" s="408"/>
      <c r="E423" s="408"/>
      <c r="F423" s="408"/>
      <c r="G423" s="409"/>
      <c r="H423" s="112"/>
    </row>
    <row r="424" spans="1:8" ht="15.75">
      <c r="B424" s="402" t="s">
        <v>8</v>
      </c>
      <c r="C424" s="403"/>
      <c r="D424" s="410" t="s">
        <v>9</v>
      </c>
      <c r="E424" s="410"/>
      <c r="F424" s="410"/>
      <c r="G424" s="403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4" t="str">
        <f>AÑO!A42</f>
        <v>Dinero Bloqueado</v>
      </c>
      <c r="C442" s="405"/>
      <c r="D442" s="405"/>
      <c r="E442" s="405"/>
      <c r="F442" s="405"/>
      <c r="G442" s="406"/>
      <c r="H442" s="112"/>
    </row>
    <row r="443" spans="2:8" ht="15" customHeight="1" thickBot="1">
      <c r="B443" s="407"/>
      <c r="C443" s="408"/>
      <c r="D443" s="408"/>
      <c r="E443" s="408"/>
      <c r="F443" s="408"/>
      <c r="G443" s="409"/>
      <c r="H443" s="112"/>
    </row>
    <row r="444" spans="2:8" ht="15.75">
      <c r="B444" s="402" t="s">
        <v>8</v>
      </c>
      <c r="C444" s="403"/>
      <c r="D444" s="410" t="s">
        <v>9</v>
      </c>
      <c r="E444" s="410"/>
      <c r="F444" s="410"/>
      <c r="G444" s="403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4" t="str">
        <f>AÑO!A43</f>
        <v>Cartama Finanazas</v>
      </c>
      <c r="C462" s="405"/>
      <c r="D462" s="405"/>
      <c r="E462" s="405"/>
      <c r="F462" s="405"/>
      <c r="G462" s="406"/>
      <c r="H462" s="112"/>
    </row>
    <row r="463" spans="2:8" ht="15" customHeight="1" thickBot="1">
      <c r="B463" s="407"/>
      <c r="C463" s="408"/>
      <c r="D463" s="408"/>
      <c r="E463" s="408"/>
      <c r="F463" s="408"/>
      <c r="G463" s="409"/>
      <c r="H463" s="112"/>
    </row>
    <row r="464" spans="2:8" ht="15.75">
      <c r="B464" s="402" t="s">
        <v>8</v>
      </c>
      <c r="C464" s="403"/>
      <c r="D464" s="410" t="s">
        <v>9</v>
      </c>
      <c r="E464" s="410"/>
      <c r="F464" s="410"/>
      <c r="G464" s="403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4" t="str">
        <f>AÑO!A44</f>
        <v>NULO</v>
      </c>
      <c r="C482" s="405"/>
      <c r="D482" s="405"/>
      <c r="E482" s="405"/>
      <c r="F482" s="405"/>
      <c r="G482" s="406"/>
      <c r="H482" s="112"/>
    </row>
    <row r="483" spans="2:8" ht="15" customHeight="1" thickBot="1">
      <c r="B483" s="407"/>
      <c r="C483" s="408"/>
      <c r="D483" s="408"/>
      <c r="E483" s="408"/>
      <c r="F483" s="408"/>
      <c r="G483" s="409"/>
      <c r="H483" s="112"/>
    </row>
    <row r="484" spans="2:8" ht="15.75">
      <c r="B484" s="402" t="s">
        <v>8</v>
      </c>
      <c r="C484" s="403"/>
      <c r="D484" s="410" t="s">
        <v>9</v>
      </c>
      <c r="E484" s="410"/>
      <c r="F484" s="410"/>
      <c r="G484" s="403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4" t="str">
        <f>AÑO!A45</f>
        <v>OTROS</v>
      </c>
      <c r="C502" s="405"/>
      <c r="D502" s="405"/>
      <c r="E502" s="405"/>
      <c r="F502" s="405"/>
      <c r="G502" s="406"/>
      <c r="H502" s="112"/>
    </row>
    <row r="503" spans="2:8" ht="15" customHeight="1" thickBot="1">
      <c r="B503" s="407"/>
      <c r="C503" s="408"/>
      <c r="D503" s="408"/>
      <c r="E503" s="408"/>
      <c r="F503" s="408"/>
      <c r="G503" s="409"/>
      <c r="H503" s="112"/>
    </row>
    <row r="504" spans="2:8" ht="15.75">
      <c r="B504" s="402" t="s">
        <v>8</v>
      </c>
      <c r="C504" s="403"/>
      <c r="D504" s="410" t="s">
        <v>9</v>
      </c>
      <c r="E504" s="410"/>
      <c r="F504" s="410"/>
      <c r="G504" s="403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f>2397.48-4.45</f>
        <v>2393.0300000000002</v>
      </c>
      <c r="L5" s="433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>
        <f>7340.23-4.45</f>
        <v>7335.78</v>
      </c>
      <c r="L7" s="417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6">
        <v>7001.87</v>
      </c>
      <c r="L8" s="41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669.52</v>
      </c>
      <c r="L9" s="417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f>160+155</f>
        <v>315</v>
      </c>
      <c r="L11" s="417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25229.379999999997</v>
      </c>
      <c r="L19" s="419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314</v>
      </c>
      <c r="K30" s="425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319</v>
      </c>
      <c r="K31" s="427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 t="s">
        <v>314</v>
      </c>
      <c r="K33" s="427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 t="s">
        <v>359</v>
      </c>
      <c r="K35" s="425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 t="s">
        <v>160</v>
      </c>
      <c r="K45" s="425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21" t="str">
        <f>AÑO!A13</f>
        <v>Gubernamental</v>
      </c>
      <c r="J50" s="424" t="s">
        <v>259</v>
      </c>
      <c r="K50" s="425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21" t="str">
        <f>AÑO!A15</f>
        <v>Alquiler Cartama</v>
      </c>
      <c r="J60" s="424" t="s">
        <v>315</v>
      </c>
      <c r="K60" s="425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22"/>
      <c r="J66" s="426"/>
      <c r="K66" s="427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22"/>
      <c r="J67" s="426"/>
      <c r="K67" s="427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22"/>
      <c r="J68" s="426"/>
      <c r="K68" s="427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7"/>
      <c r="J69" s="438"/>
      <c r="K69" s="439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10" t="s">
        <v>9</v>
      </c>
      <c r="E424" s="410"/>
      <c r="F424" s="410"/>
      <c r="G424" s="403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2" workbookViewId="0">
      <selection activeCell="C407" sqref="C4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1559.34</v>
      </c>
      <c r="L5" s="433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6">
        <v>8577.0300000000007</v>
      </c>
      <c r="L7" s="417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3501.87</v>
      </c>
      <c r="L8" s="41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6">
        <v>4167.34</v>
      </c>
      <c r="L9" s="417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v>255</v>
      </c>
      <c r="L11" s="417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25574.760000000002</v>
      </c>
      <c r="L19" s="419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363</v>
      </c>
      <c r="K30" s="42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238</v>
      </c>
      <c r="K31" s="42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 t="s">
        <v>380</v>
      </c>
      <c r="K45" s="42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364</v>
      </c>
      <c r="H46" s="1"/>
      <c r="I46" s="422"/>
      <c r="J46" s="426" t="s">
        <v>160</v>
      </c>
      <c r="K46" s="42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365</v>
      </c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372</v>
      </c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376</v>
      </c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375</v>
      </c>
      <c r="H50" s="1"/>
      <c r="I50" s="421" t="str">
        <f>AÑO!A13</f>
        <v>Gubernamental</v>
      </c>
      <c r="J50" s="424" t="s">
        <v>259</v>
      </c>
      <c r="K50" s="42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382</v>
      </c>
      <c r="H51" s="1"/>
      <c r="I51" s="422"/>
      <c r="J51" s="426" t="s">
        <v>418</v>
      </c>
      <c r="K51" s="42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387</v>
      </c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388</v>
      </c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408</v>
      </c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422</v>
      </c>
      <c r="H55" s="1"/>
      <c r="I55" s="421" t="str">
        <f>AÑO!A14</f>
        <v>Mutualite/DKV</v>
      </c>
      <c r="J55" s="440" t="str">
        <f>G306</f>
        <v>12/03 Chirec</v>
      </c>
      <c r="K55" s="42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 t="s">
        <v>367</v>
      </c>
      <c r="K60" s="42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366</v>
      </c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374</v>
      </c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378</v>
      </c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389</v>
      </c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391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421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368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393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394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395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409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8" ht="15" customHeight="1" thickBot="1">
      <c r="B243" s="413"/>
      <c r="C243" s="414"/>
      <c r="D243" s="414"/>
      <c r="E243" s="414"/>
      <c r="F243" s="414"/>
      <c r="G243" s="415"/>
    </row>
    <row r="244" spans="1:8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400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410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406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405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10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369</v>
      </c>
    </row>
    <row r="267" spans="1:7">
      <c r="B267" s="134">
        <v>4021.94</v>
      </c>
      <c r="C267" s="16" t="s">
        <v>418</v>
      </c>
      <c r="D267" s="137"/>
      <c r="E267" s="138"/>
      <c r="F267" s="138">
        <v>15</v>
      </c>
      <c r="G267" s="16" t="s">
        <v>424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396</v>
      </c>
    </row>
    <row r="308" spans="2:7">
      <c r="B308" s="134">
        <f>L55</f>
        <v>9.44</v>
      </c>
      <c r="C308" s="27" t="s">
        <v>407</v>
      </c>
      <c r="D308" s="137">
        <v>8.27</v>
      </c>
      <c r="E308" s="138"/>
      <c r="F308" s="138"/>
      <c r="G308" s="16" t="s">
        <v>397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417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392</v>
      </c>
    </row>
    <row r="327" spans="2:7">
      <c r="B327" s="134">
        <v>100</v>
      </c>
      <c r="C327" s="16" t="s">
        <v>380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370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371</v>
      </c>
    </row>
    <row r="348" spans="2:7">
      <c r="B348" s="134"/>
      <c r="C348" s="16"/>
      <c r="D348" s="137">
        <v>16</v>
      </c>
      <c r="E348" s="138"/>
      <c r="F348" s="138"/>
      <c r="G348" s="16" t="s">
        <v>384</v>
      </c>
    </row>
    <row r="349" spans="2:7">
      <c r="B349" s="134"/>
      <c r="C349" s="16"/>
      <c r="D349" s="137">
        <v>10</v>
      </c>
      <c r="E349" s="138"/>
      <c r="F349" s="138"/>
      <c r="G349" s="16" t="s">
        <v>385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413</v>
      </c>
      <c r="D407" s="137">
        <v>44.93</v>
      </c>
      <c r="E407" s="138"/>
      <c r="F407" s="138"/>
      <c r="G407" s="16" t="s">
        <v>412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414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6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861.84</v>
      </c>
      <c r="L5" s="433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v>10075.709999999999</v>
      </c>
      <c r="L7" s="417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6">
        <v>3501.87</v>
      </c>
      <c r="L8" s="41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35.96</v>
      </c>
      <c r="L9" s="417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v>370</v>
      </c>
      <c r="L11" s="417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f>5092.08+4084.2</f>
        <v>9176.2799999999988</v>
      </c>
      <c r="L12" s="417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363</v>
      </c>
      <c r="K30" s="42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431</v>
      </c>
      <c r="K31" s="42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 t="s">
        <v>425</v>
      </c>
      <c r="K40" s="42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445</v>
      </c>
      <c r="K41" s="427"/>
      <c r="L41" s="229">
        <v>352.82</v>
      </c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 t="s">
        <v>60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446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452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>
        <v>40</v>
      </c>
      <c r="C48" s="16" t="s">
        <v>430</v>
      </c>
      <c r="D48" s="137">
        <v>5.35</v>
      </c>
      <c r="E48" s="138"/>
      <c r="F48" s="138"/>
      <c r="G48" s="16" t="s">
        <v>457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 t="s">
        <v>462</v>
      </c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>
        <v>-146</v>
      </c>
      <c r="C50" s="16" t="s">
        <v>465</v>
      </c>
      <c r="D50" s="137"/>
      <c r="E50" s="138"/>
      <c r="F50" s="138"/>
      <c r="G50" s="16"/>
      <c r="H50" s="1"/>
      <c r="I50" s="421" t="str">
        <f>AÑO!A13</f>
        <v>Gubernamental</v>
      </c>
      <c r="J50" s="424" t="s">
        <v>434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40" t="str">
        <f>'03'!G307</f>
        <v>22/03 Chirec</v>
      </c>
      <c r="K55" s="42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43" t="str">
        <f>'03'!G309</f>
        <v>26/03 Ginecologa</v>
      </c>
      <c r="K56" s="42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 t="s">
        <v>449</v>
      </c>
      <c r="K57" s="42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453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-50</v>
      </c>
      <c r="C67" s="16" t="s">
        <v>465</v>
      </c>
      <c r="D67" s="137">
        <v>41</v>
      </c>
      <c r="E67" s="138"/>
      <c r="F67" s="138"/>
      <c r="G67" s="31" t="s">
        <v>459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460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455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456</v>
      </c>
      <c r="D109" s="137">
        <v>11</v>
      </c>
      <c r="E109" s="138"/>
      <c r="F109" s="138">
        <v>3</v>
      </c>
      <c r="G109" s="31" t="s">
        <v>461</v>
      </c>
      <c r="H109" s="1"/>
      <c r="M109" s="1"/>
      <c r="R109" s="3"/>
    </row>
    <row r="110" spans="1:18" ht="15.75">
      <c r="B110" s="134">
        <v>1370</v>
      </c>
      <c r="C110" s="18" t="s">
        <v>444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429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02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433</v>
      </c>
    </row>
    <row r="287" spans="2:8">
      <c r="B287" s="134"/>
      <c r="C287" s="16"/>
      <c r="D287" s="137">
        <v>9.65</v>
      </c>
      <c r="E287" s="138"/>
      <c r="F287" s="138"/>
      <c r="G287" s="16" t="s">
        <v>439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463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442</v>
      </c>
    </row>
    <row r="308" spans="2:7">
      <c r="B308" s="134">
        <f>L55+L56+L57</f>
        <v>37.980000000000004</v>
      </c>
      <c r="C308" s="27" t="s">
        <v>467</v>
      </c>
      <c r="D308" s="137"/>
      <c r="E308" s="138"/>
      <c r="F308" s="138">
        <v>50</v>
      </c>
      <c r="G308" s="16" t="s">
        <v>449</v>
      </c>
    </row>
    <row r="309" spans="2:7">
      <c r="B309" s="134"/>
      <c r="C309" s="16"/>
      <c r="D309" s="137">
        <v>63.9</v>
      </c>
      <c r="E309" s="138"/>
      <c r="F309" s="138"/>
      <c r="G309" s="16" t="s">
        <v>469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444</v>
      </c>
      <c r="D387" s="137"/>
      <c r="E387" s="138"/>
      <c r="F387" s="138"/>
      <c r="G387" s="16"/>
    </row>
    <row r="388" spans="2:7">
      <c r="B388" s="134">
        <v>106.26</v>
      </c>
      <c r="C388" s="27" t="s">
        <v>445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426</v>
      </c>
    </row>
    <row r="407" spans="2:7">
      <c r="B407" s="134">
        <v>3.75</v>
      </c>
      <c r="C407" s="16" t="s">
        <v>425</v>
      </c>
      <c r="D407" s="137"/>
      <c r="E407" s="138">
        <f>10+10</f>
        <v>20</v>
      </c>
      <c r="F407" s="138"/>
      <c r="G407" s="16" t="s">
        <v>450</v>
      </c>
    </row>
    <row r="408" spans="2:7">
      <c r="B408" s="134">
        <v>984.2</v>
      </c>
      <c r="C408" s="18" t="s">
        <v>444</v>
      </c>
      <c r="D408" s="137"/>
      <c r="E408" s="138"/>
      <c r="F408" s="138"/>
      <c r="G408" s="16"/>
    </row>
    <row r="409" spans="2:7">
      <c r="B409" s="134">
        <v>85.02</v>
      </c>
      <c r="C409" s="27" t="s">
        <v>445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468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444</v>
      </c>
      <c r="D469" s="137"/>
      <c r="E469" s="138"/>
      <c r="F469" s="138"/>
      <c r="G469" s="16"/>
    </row>
    <row r="470" spans="1:7">
      <c r="B470" s="134">
        <v>43.19</v>
      </c>
      <c r="C470" s="27" t="s">
        <v>445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231" workbookViewId="0">
      <selection activeCell="I246" sqref="I246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1773.93</v>
      </c>
      <c r="L5" s="433"/>
      <c r="M5" s="1"/>
      <c r="N5" s="1"/>
      <c r="R5" s="3"/>
    </row>
    <row r="6" spans="1:22" ht="15.75">
      <c r="A6" s="112">
        <f>'04'!A6+(B6-SUM(D6:F6))</f>
        <v>409.08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620.1</v>
      </c>
      <c r="L6" s="417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v>7144.52</v>
      </c>
      <c r="L7" s="417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10005.620000000001</v>
      </c>
      <c r="L8" s="41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514.82000000000005</v>
      </c>
      <c r="L9" s="417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f>210</f>
        <v>210</v>
      </c>
      <c r="L11" s="417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6.5" thickBot="1">
      <c r="A20" s="112">
        <f>SUM(A6:A15)</f>
        <v>637.76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431</v>
      </c>
      <c r="K30" s="42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363</v>
      </c>
      <c r="K31" s="42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 t="s">
        <v>473</v>
      </c>
      <c r="K40" s="42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472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475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458</v>
      </c>
      <c r="D48" s="137">
        <v>27.34</v>
      </c>
      <c r="E48" s="138"/>
      <c r="F48" s="138"/>
      <c r="G48" s="16" t="s">
        <v>482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483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491</v>
      </c>
      <c r="H50" s="1"/>
      <c r="I50" s="421" t="str">
        <f>AÑO!A13</f>
        <v>Gubernamental</v>
      </c>
      <c r="J50" s="424" t="s">
        <v>484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492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496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499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609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610</v>
      </c>
      <c r="H55" s="1"/>
      <c r="I55" s="421" t="str">
        <f>AÑO!A14</f>
        <v>Mutualite/DKV</v>
      </c>
      <c r="J55" s="424" t="s">
        <v>478</v>
      </c>
      <c r="K55" s="42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471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480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481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489</v>
      </c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490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611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476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493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502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612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2450.0600000000004</v>
      </c>
      <c r="B109" s="134">
        <f>67.53+100</f>
        <v>167.53</v>
      </c>
      <c r="C109" s="18" t="s">
        <v>570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-505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475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500</v>
      </c>
      <c r="C167" s="16" t="s">
        <v>569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700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403</v>
      </c>
      <c r="D246" s="137">
        <v>15</v>
      </c>
      <c r="E246" s="138"/>
      <c r="F246" s="138"/>
      <c r="G246" s="16" t="s">
        <v>492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500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'04'!A257+(B257-SUM(D257:F257))</f>
        <v>808.13</v>
      </c>
      <c r="B257" s="134">
        <f>40+499</f>
        <v>539</v>
      </c>
      <c r="C257" s="16" t="s">
        <v>432</v>
      </c>
      <c r="D257" s="137"/>
      <c r="E257" s="138"/>
      <c r="F257" s="138"/>
      <c r="G257" s="16"/>
    </row>
    <row r="258" spans="1:8" ht="15.75">
      <c r="A258" s="112">
        <f>'04'!A258+(B258-SUM(D258:F258))</f>
        <v>75</v>
      </c>
      <c r="B258" s="134">
        <v>50</v>
      </c>
      <c r="C258" s="16" t="s">
        <v>404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8" ht="16.5" thickBot="1">
      <c r="A260" s="112">
        <f>SUM(A246:A255)</f>
        <v>76.150000000000006</v>
      </c>
      <c r="B260" s="135">
        <f>SUM(B246:B259)</f>
        <v>644</v>
      </c>
      <c r="C260" s="17" t="s">
        <v>53</v>
      </c>
      <c r="D260" s="135">
        <f>SUM(D246:D259)</f>
        <v>58.57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487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137.85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470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478</v>
      </c>
    </row>
    <row r="308" spans="2:7">
      <c r="B308" s="134">
        <v>17.45</v>
      </c>
      <c r="C308" s="27" t="s">
        <v>488</v>
      </c>
      <c r="D308" s="137">
        <f>51.89+44.67</f>
        <v>96.56</v>
      </c>
      <c r="E308" s="138"/>
      <c r="F308" s="138"/>
      <c r="G308" s="16" t="s">
        <v>608</v>
      </c>
    </row>
    <row r="309" spans="2:7">
      <c r="B309" s="134">
        <v>120</v>
      </c>
      <c r="C309" s="16" t="s">
        <v>569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267.45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</f>
        <v>26.099999999999998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613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26.099999999999998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474</v>
      </c>
    </row>
    <row r="407" spans="2:7">
      <c r="B407" s="134">
        <v>45.86</v>
      </c>
      <c r="C407" s="16" t="s">
        <v>473</v>
      </c>
      <c r="D407" s="137"/>
      <c r="E407" s="138"/>
      <c r="F407" s="138"/>
      <c r="G407" s="16"/>
    </row>
    <row r="408" spans="2:7">
      <c r="B408" s="134">
        <v>-1094.26</v>
      </c>
      <c r="C408" s="16" t="s">
        <v>413</v>
      </c>
      <c r="D408" s="137">
        <v>44.48</v>
      </c>
      <c r="E408" s="138"/>
      <c r="F408" s="138"/>
      <c r="G408" s="16" t="s">
        <v>501</v>
      </c>
    </row>
    <row r="409" spans="2:7">
      <c r="B409" s="134">
        <v>29.29</v>
      </c>
      <c r="C409" s="16" t="s">
        <v>569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-969.11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02" t="s">
        <v>9</v>
      </c>
      <c r="E424" s="410"/>
      <c r="F424" s="410"/>
      <c r="G424" s="403"/>
    </row>
    <row r="425" spans="1:8">
      <c r="A425" s="113">
        <f>AÑO!S17</f>
        <v>5838.4700000000012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394.4300000000012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</f>
        <v>1378.29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B431" s="134"/>
      <c r="C431" s="16"/>
      <c r="D431" s="137"/>
      <c r="E431" s="138"/>
      <c r="F431" s="138"/>
      <c r="G431" s="16"/>
      <c r="H431" s="113">
        <f>H430-A430</f>
        <v>500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394.4300000000012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414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35" workbookViewId="0">
      <selection activeCell="B2" sqref="B2:G2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'05'!A6+(B6-SUM(D6:F6))</f>
        <v>812.16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620.1</v>
      </c>
      <c r="L6" s="417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10005.620000000001</v>
      </c>
      <c r="L8" s="417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514.82000000000005</v>
      </c>
      <c r="L9" s="417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'05'!A11+(B11-SUM(D11:F11))</f>
        <v>30.210000000000004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18034.64</v>
      </c>
      <c r="L19" s="442"/>
      <c r="M19" s="1"/>
      <c r="N19" s="1"/>
      <c r="R19" s="3"/>
    </row>
    <row r="20" spans="1:18" ht="16.5" thickBot="1">
      <c r="A20" s="112">
        <f>SUM(A6:A15)</f>
        <v>1181.76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11140.539999999999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231"/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'05'!A27+(B27-SUM(D27:F27))</f>
        <v>216.01999999999998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'05'!A29+(B29-SUM(D29:F29))</f>
        <v>19.430000000000003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1440.03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/>
      <c r="E46" s="138"/>
      <c r="F46" s="138"/>
      <c r="G46" s="30"/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486</v>
      </c>
      <c r="D48" s="137"/>
      <c r="E48" s="138"/>
      <c r="F48" s="138"/>
      <c r="G48" s="16"/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'05'!A66+(B66-SUM(D66:F78))</f>
        <v>169.33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249.33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70.840000000000032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2517.5900000000006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762.41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35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8.02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121.15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'05'!A256+(B256-SUM(D256:F265))</f>
        <v>25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'05'!A257+(B257-SUM(D257:F266))</f>
        <v>828.13</v>
      </c>
      <c r="B257" s="134">
        <v>20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'05'!A258+(B258-SUM(D258:F267))</f>
        <v>100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>'05'!A259+(B259-SUM(D259:F268))</f>
        <v>25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5" thickBot="1">
      <c r="A260" s="112">
        <f>SUM(A246:A255)</f>
        <v>121.15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02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'05'!A468+(B468-SUM(D468:F468))</f>
        <v>208.4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633.63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70" workbookViewId="0">
      <selection activeCell="F15" sqref="F15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'06'!A6+(B6-SUM(D6:F6))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'06'!A7+(B7-SUM(D7:F7))</f>
        <v>173.02999999999997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'06'!A10+(B10-SUM(D10:F10))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'06'!A11+(B11-SUM(D11:F11))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'06'!A13+(B13-SUM(D13:F13))</f>
        <v>31.5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1725.76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'06'!A26+(B26-SUM(D26:F26))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'06'!A27+(B27-SUM(D27:F27))</f>
        <v>386.02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'06'!A29+(B29-SUM(D29:F29))</f>
        <v>37.430000000000007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2568.0299999999997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141.84000000000003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2543.1200000000008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1141.8800000000001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'06'!A467+(B467-SUM(D467:F467))</f>
        <v>445.22999999999996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'06'!A468+(B468-SUM(D468:F468))</f>
        <v>213.4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683.63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'07'!A6+(B6-SUM(D6:F6))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'07'!A7+(B7-SUM(D7:F7))</f>
        <v>243.20999999999998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'07'!A10+(B10-SUM(D10:F10))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'07'!A11+(B11-SUM(D11:F11))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'07'!A13+(B13-SUM(D13:F13))</f>
        <v>38.5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2269.7600000000002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'07'!A26+(B26-SUM(D26:F26))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'07'!A27+(B27-SUM(D27:F27))</f>
        <v>556.02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'07'!A29+(B29-SUM(D29:F29))</f>
        <v>55.430000000000007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3696.0299999999997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212.84000000000003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2568.650000000001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1521.35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'07'!A467+(B467-SUM(D467:F467))</f>
        <v>465.22999999999996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'07'!A468+(B468-SUM(D468:F468))</f>
        <v>218.4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733.63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2019-05-28T12:40:26Z</dcterms:modified>
</cp:coreProperties>
</file>