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 defaultThemeVersion="124226"/>
  <xr:revisionPtr revIDLastSave="0" documentId="10_ncr:100000_{4D9BAAA4-1CC2-499A-9B37-8B37561CF6C6}" xr6:coauthVersionLast="31" xr6:coauthVersionMax="31" xr10:uidLastSave="{00000000-0000-0000-0000-000000000000}"/>
  <bookViews>
    <workbookView xWindow="240" yWindow="105" windowWidth="14805" windowHeight="7785" xr2:uid="{00000000-000D-0000-FFFF-FFFF00000000}"/>
  </bookViews>
  <sheets>
    <sheet name="2018" sheetId="1" r:id="rId1"/>
    <sheet name="01" sheetId="2" r:id="rId2"/>
    <sheet name="02" sheetId="3" r:id="rId3"/>
    <sheet name="03" sheetId="4" r:id="rId4"/>
    <sheet name="04" sheetId="5" r:id="rId5"/>
    <sheet name="05" sheetId="6" r:id="rId6"/>
    <sheet name="06" sheetId="7" r:id="rId7"/>
    <sheet name="07" sheetId="8" r:id="rId8"/>
    <sheet name="08" sheetId="9" r:id="rId9"/>
    <sheet name="09" sheetId="10" r:id="rId10"/>
    <sheet name="10" sheetId="11" r:id="rId11"/>
    <sheet name="11" sheetId="12" r:id="rId12"/>
    <sheet name="12" sheetId="13" r:id="rId13"/>
    <sheet name="Hipoteca" sheetId="14" r:id="rId14"/>
    <sheet name="Coche" sheetId="17" r:id="rId15"/>
    <sheet name="Historico" sheetId="15" r:id="rId16"/>
    <sheet name="NOTAS" sheetId="16" r:id="rId17"/>
  </sheets>
  <calcPr calcId="179017"/>
</workbook>
</file>

<file path=xl/calcChain.xml><?xml version="1.0" encoding="utf-8"?>
<calcChain xmlns="http://schemas.openxmlformats.org/spreadsheetml/2006/main">
  <c r="D51" i="10" l="1"/>
  <c r="A120" i="10" l="1"/>
  <c r="A108" i="12"/>
  <c r="F366" i="10"/>
  <c r="A109" i="11"/>
  <c r="A109" i="12" s="1"/>
  <c r="A108" i="10"/>
  <c r="A467" i="11" l="1"/>
  <c r="A468" i="11"/>
  <c r="D108" i="10"/>
  <c r="A108" i="11" l="1"/>
  <c r="A107" i="11"/>
  <c r="A107" i="12" s="1"/>
  <c r="A106" i="11"/>
  <c r="A466" i="12"/>
  <c r="A466" i="11"/>
  <c r="A480" i="11" s="1"/>
  <c r="A480" i="10"/>
  <c r="A30" i="11"/>
  <c r="A30" i="12" s="1"/>
  <c r="A30" i="10"/>
  <c r="A28" i="10"/>
  <c r="A28" i="11"/>
  <c r="A28" i="12" s="1"/>
  <c r="A29" i="11"/>
  <c r="A29" i="12" s="1"/>
  <c r="A26" i="11"/>
  <c r="A26" i="12" s="1"/>
  <c r="A29" i="10"/>
  <c r="A27" i="10"/>
  <c r="A27" i="11" s="1"/>
  <c r="A27" i="12" s="1"/>
  <c r="A8" i="11"/>
  <c r="A8" i="12" s="1"/>
  <c r="A9" i="11"/>
  <c r="A9" i="12" s="1"/>
  <c r="A13" i="12"/>
  <c r="A13" i="10"/>
  <c r="A13" i="11" s="1"/>
  <c r="A12" i="10"/>
  <c r="A12" i="11" s="1"/>
  <c r="A12" i="12" s="1"/>
  <c r="A7" i="10"/>
  <c r="A15" i="10"/>
  <c r="A14" i="10"/>
  <c r="A9" i="10"/>
  <c r="A106" i="12" l="1"/>
  <c r="A120" i="11"/>
  <c r="A120" i="12"/>
  <c r="A40" i="11"/>
  <c r="A40" i="12"/>
  <c r="A40" i="10"/>
  <c r="A468" i="12"/>
  <c r="A467" i="12"/>
  <c r="D67" i="10" l="1"/>
  <c r="B5" i="14" l="1"/>
  <c r="B3" i="14"/>
  <c r="D47" i="10" l="1"/>
  <c r="D46" i="10"/>
  <c r="F520" i="12" l="1"/>
  <c r="E520" i="12"/>
  <c r="D520" i="12"/>
  <c r="B520" i="12"/>
  <c r="B502" i="12"/>
  <c r="F500" i="12"/>
  <c r="E500" i="12"/>
  <c r="D500" i="12"/>
  <c r="B500" i="12"/>
  <c r="B482" i="12"/>
  <c r="F480" i="12"/>
  <c r="E480" i="12"/>
  <c r="D480" i="12"/>
  <c r="B480" i="12"/>
  <c r="B462" i="12"/>
  <c r="F460" i="12"/>
  <c r="E460" i="12"/>
  <c r="D460" i="12"/>
  <c r="B460" i="12"/>
  <c r="B442" i="12"/>
  <c r="F440" i="12"/>
  <c r="E440" i="12"/>
  <c r="D440" i="12"/>
  <c r="B440" i="12"/>
  <c r="B426" i="12"/>
  <c r="B422" i="12"/>
  <c r="F420" i="12"/>
  <c r="E420" i="12"/>
  <c r="D420" i="12"/>
  <c r="B420" i="12"/>
  <c r="B402" i="12"/>
  <c r="F400" i="12"/>
  <c r="E400" i="12"/>
  <c r="D400" i="12"/>
  <c r="B400" i="12"/>
  <c r="B382" i="12"/>
  <c r="F380" i="12"/>
  <c r="E380" i="12"/>
  <c r="D380" i="12"/>
  <c r="B380" i="12"/>
  <c r="B362" i="12"/>
  <c r="F360" i="12"/>
  <c r="E360" i="12"/>
  <c r="D360" i="12"/>
  <c r="B360" i="12"/>
  <c r="B342" i="12"/>
  <c r="F340" i="12"/>
  <c r="E340" i="12"/>
  <c r="D340" i="12"/>
  <c r="B340" i="12"/>
  <c r="B322" i="12"/>
  <c r="F320" i="12"/>
  <c r="E320" i="12"/>
  <c r="D320" i="12"/>
  <c r="B320" i="12"/>
  <c r="B302" i="12"/>
  <c r="F300" i="12"/>
  <c r="E300" i="12"/>
  <c r="D300" i="12"/>
  <c r="B300" i="12"/>
  <c r="B282" i="12"/>
  <c r="F280" i="12"/>
  <c r="E280" i="12"/>
  <c r="D280" i="12"/>
  <c r="B280" i="12"/>
  <c r="B262" i="12"/>
  <c r="F260" i="12"/>
  <c r="E260" i="12"/>
  <c r="D260" i="12"/>
  <c r="B260" i="12"/>
  <c r="B242" i="12"/>
  <c r="F240" i="12"/>
  <c r="E240" i="12"/>
  <c r="D240" i="12"/>
  <c r="B240" i="12"/>
  <c r="B222" i="12"/>
  <c r="F220" i="12"/>
  <c r="E220" i="12"/>
  <c r="D220" i="12"/>
  <c r="B220" i="12"/>
  <c r="B202" i="12"/>
  <c r="F200" i="12"/>
  <c r="E200" i="12"/>
  <c r="D200" i="12"/>
  <c r="B200" i="12"/>
  <c r="B182" i="12"/>
  <c r="F180" i="12"/>
  <c r="E180" i="12"/>
  <c r="D180" i="12"/>
  <c r="B180" i="12"/>
  <c r="B162" i="12"/>
  <c r="F160" i="12"/>
  <c r="E160" i="12"/>
  <c r="D160" i="12"/>
  <c r="B160" i="12"/>
  <c r="B142" i="12"/>
  <c r="F140" i="12"/>
  <c r="E140" i="12"/>
  <c r="D140" i="12"/>
  <c r="B140" i="12"/>
  <c r="B122" i="12"/>
  <c r="F120" i="12"/>
  <c r="E120" i="12"/>
  <c r="D120" i="12"/>
  <c r="B120" i="12"/>
  <c r="B102" i="12"/>
  <c r="F100" i="12"/>
  <c r="E100" i="12"/>
  <c r="D100" i="12"/>
  <c r="B100" i="12"/>
  <c r="B82" i="12"/>
  <c r="F80" i="12"/>
  <c r="E80" i="12"/>
  <c r="D80" i="12"/>
  <c r="B80" i="12"/>
  <c r="B62" i="12"/>
  <c r="F60" i="12"/>
  <c r="E60" i="12"/>
  <c r="D60" i="12"/>
  <c r="B60" i="12"/>
  <c r="B42" i="12"/>
  <c r="F40" i="12"/>
  <c r="E40" i="12"/>
  <c r="D40" i="12"/>
  <c r="B40" i="12"/>
  <c r="B22" i="12"/>
  <c r="F20" i="12"/>
  <c r="E20" i="12"/>
  <c r="D20" i="12"/>
  <c r="B20" i="12"/>
  <c r="K19" i="12"/>
  <c r="L20" i="12" s="1"/>
  <c r="B2" i="12"/>
  <c r="J22" i="15" l="1"/>
  <c r="I82" i="15" l="1"/>
  <c r="A82" i="15"/>
  <c r="B4" i="14"/>
  <c r="J23" i="15"/>
  <c r="B426" i="11" l="1"/>
  <c r="M27" i="10"/>
  <c r="D226" i="10" l="1"/>
  <c r="F166" i="10"/>
  <c r="E6" i="10"/>
  <c r="D58" i="9" l="1"/>
  <c r="F366" i="9"/>
  <c r="K11" i="10" l="1"/>
  <c r="D57" i="9" l="1"/>
  <c r="D71" i="9" l="1"/>
  <c r="D56" i="9"/>
  <c r="D55" i="9"/>
  <c r="E166" i="9" l="1"/>
  <c r="D53" i="9" l="1"/>
  <c r="D51" i="9" l="1"/>
  <c r="D247" i="9"/>
  <c r="F520" i="11" l="1"/>
  <c r="E520" i="11"/>
  <c r="D520" i="11"/>
  <c r="B520" i="11"/>
  <c r="B502" i="11"/>
  <c r="F500" i="11"/>
  <c r="E500" i="11"/>
  <c r="D500" i="11"/>
  <c r="B500" i="11"/>
  <c r="B482" i="11"/>
  <c r="F480" i="11"/>
  <c r="E480" i="11"/>
  <c r="D480" i="11"/>
  <c r="B480" i="11"/>
  <c r="B462" i="11"/>
  <c r="F460" i="11"/>
  <c r="E460" i="11"/>
  <c r="D460" i="11"/>
  <c r="B460" i="11"/>
  <c r="B442" i="11"/>
  <c r="F440" i="11"/>
  <c r="E440" i="11"/>
  <c r="D440" i="11"/>
  <c r="B422" i="11"/>
  <c r="F420" i="11"/>
  <c r="E420" i="11"/>
  <c r="D420" i="11"/>
  <c r="B420" i="11"/>
  <c r="B402" i="11"/>
  <c r="F400" i="11"/>
  <c r="E400" i="11"/>
  <c r="D400" i="11"/>
  <c r="B400" i="11"/>
  <c r="B382" i="11"/>
  <c r="F380" i="11"/>
  <c r="E380" i="11"/>
  <c r="D380" i="11"/>
  <c r="B380" i="11"/>
  <c r="B362" i="11"/>
  <c r="F360" i="11"/>
  <c r="E360" i="11"/>
  <c r="D360" i="11"/>
  <c r="B360" i="11"/>
  <c r="B342" i="11"/>
  <c r="F340" i="11"/>
  <c r="E340" i="11"/>
  <c r="D340" i="11"/>
  <c r="B340" i="11"/>
  <c r="B322" i="11"/>
  <c r="F320" i="11"/>
  <c r="E320" i="11"/>
  <c r="D320" i="11"/>
  <c r="B320" i="11"/>
  <c r="B302" i="11"/>
  <c r="F300" i="11"/>
  <c r="E300" i="11"/>
  <c r="D300" i="11"/>
  <c r="B300" i="11"/>
  <c r="B282" i="11"/>
  <c r="F280" i="11"/>
  <c r="E280" i="11"/>
  <c r="D280" i="11"/>
  <c r="B280" i="11"/>
  <c r="B262" i="11"/>
  <c r="F260" i="11"/>
  <c r="E260" i="11"/>
  <c r="D260" i="11"/>
  <c r="B260" i="11"/>
  <c r="B242" i="11"/>
  <c r="F240" i="11"/>
  <c r="E240" i="11"/>
  <c r="D240" i="11"/>
  <c r="B240" i="11"/>
  <c r="B222" i="11"/>
  <c r="F220" i="11"/>
  <c r="E220" i="11"/>
  <c r="D220" i="11"/>
  <c r="B220" i="11"/>
  <c r="B202" i="11"/>
  <c r="F200" i="11"/>
  <c r="E200" i="11"/>
  <c r="D200" i="11"/>
  <c r="B200" i="11"/>
  <c r="B182" i="11"/>
  <c r="F180" i="11"/>
  <c r="E180" i="11"/>
  <c r="D180" i="11"/>
  <c r="B180" i="11"/>
  <c r="B162" i="11"/>
  <c r="F160" i="11"/>
  <c r="E160" i="11"/>
  <c r="D160" i="11"/>
  <c r="B160" i="11"/>
  <c r="B142" i="11"/>
  <c r="F140" i="11"/>
  <c r="E140" i="11"/>
  <c r="D140" i="11"/>
  <c r="B140" i="11"/>
  <c r="B122" i="11"/>
  <c r="F120" i="11"/>
  <c r="E120" i="11"/>
  <c r="D120" i="11"/>
  <c r="B120" i="11"/>
  <c r="B102" i="11"/>
  <c r="F100" i="11"/>
  <c r="E100" i="11"/>
  <c r="D100" i="11"/>
  <c r="B100" i="11"/>
  <c r="B82" i="11"/>
  <c r="F80" i="11"/>
  <c r="E80" i="11"/>
  <c r="D80" i="11"/>
  <c r="B80" i="11"/>
  <c r="B62" i="11"/>
  <c r="F60" i="11"/>
  <c r="E60" i="11"/>
  <c r="D60" i="11"/>
  <c r="B60" i="11"/>
  <c r="B42" i="11"/>
  <c r="F40" i="11"/>
  <c r="E40" i="11"/>
  <c r="D40" i="11"/>
  <c r="B40" i="11"/>
  <c r="B22" i="11"/>
  <c r="F20" i="11"/>
  <c r="E20" i="11"/>
  <c r="D20" i="11"/>
  <c r="B20" i="11"/>
  <c r="K19" i="11"/>
  <c r="L20" i="11" s="1"/>
  <c r="B2" i="11"/>
  <c r="D48" i="9" l="1"/>
  <c r="D47" i="9"/>
  <c r="D67" i="9"/>
  <c r="D46" i="9" l="1"/>
  <c r="AE9" i="1" l="1"/>
  <c r="A14" i="9" l="1"/>
  <c r="A15" i="9"/>
  <c r="A6" i="9"/>
  <c r="A7" i="9"/>
  <c r="A8" i="9"/>
  <c r="A9" i="9"/>
  <c r="A10" i="9"/>
  <c r="A11" i="9"/>
  <c r="A20" i="9" s="1"/>
  <c r="K5" i="9" l="1"/>
  <c r="K11" i="9"/>
  <c r="G41" i="14"/>
  <c r="G42" i="14"/>
  <c r="G43" i="14"/>
  <c r="D86" i="8" l="1"/>
  <c r="D289" i="8" l="1"/>
  <c r="D248" i="8" s="1"/>
  <c r="D290" i="8" l="1"/>
  <c r="D190" i="8" s="1"/>
  <c r="AA12" i="1"/>
  <c r="D51" i="8" l="1"/>
  <c r="F366" i="8" s="1"/>
  <c r="D206" i="8" l="1"/>
  <c r="E368" i="8"/>
  <c r="F520" i="10" l="1"/>
  <c r="E520" i="10"/>
  <c r="D520" i="10"/>
  <c r="B520" i="10"/>
  <c r="B502" i="10"/>
  <c r="F500" i="10"/>
  <c r="E500" i="10"/>
  <c r="D500" i="10"/>
  <c r="B500" i="10"/>
  <c r="B482" i="10"/>
  <c r="F480" i="10"/>
  <c r="E480" i="10"/>
  <c r="D480" i="10"/>
  <c r="B480" i="10"/>
  <c r="B462" i="10"/>
  <c r="F460" i="10"/>
  <c r="E460" i="10"/>
  <c r="D460" i="10"/>
  <c r="B460" i="10"/>
  <c r="B442" i="10"/>
  <c r="F440" i="10"/>
  <c r="E440" i="10"/>
  <c r="D440" i="10"/>
  <c r="B422" i="10"/>
  <c r="F420" i="10"/>
  <c r="E420" i="10"/>
  <c r="D420" i="10"/>
  <c r="B420" i="10"/>
  <c r="B402" i="10"/>
  <c r="F400" i="10"/>
  <c r="E400" i="10"/>
  <c r="D400" i="10"/>
  <c r="B400" i="10"/>
  <c r="B382" i="10"/>
  <c r="F380" i="10"/>
  <c r="E380" i="10"/>
  <c r="D380" i="10"/>
  <c r="B380" i="10"/>
  <c r="B362" i="10"/>
  <c r="F360" i="10"/>
  <c r="E360" i="10"/>
  <c r="D360" i="10"/>
  <c r="B360" i="10"/>
  <c r="B342" i="10"/>
  <c r="F340" i="10"/>
  <c r="E340" i="10"/>
  <c r="D340" i="10"/>
  <c r="B340" i="10"/>
  <c r="B322" i="10"/>
  <c r="F320" i="10"/>
  <c r="E320" i="10"/>
  <c r="D320" i="10"/>
  <c r="B320" i="10"/>
  <c r="B302" i="10"/>
  <c r="F300" i="10"/>
  <c r="E300" i="10"/>
  <c r="D300" i="10"/>
  <c r="B300" i="10"/>
  <c r="B282" i="10"/>
  <c r="F280" i="10"/>
  <c r="E280" i="10"/>
  <c r="D280" i="10"/>
  <c r="B280" i="10"/>
  <c r="B262" i="10"/>
  <c r="F260" i="10"/>
  <c r="E260" i="10"/>
  <c r="D260" i="10"/>
  <c r="B260" i="10"/>
  <c r="B242" i="10"/>
  <c r="F240" i="10"/>
  <c r="E240" i="10"/>
  <c r="D240" i="10"/>
  <c r="B240" i="10"/>
  <c r="B222" i="10"/>
  <c r="F220" i="10"/>
  <c r="E220" i="10"/>
  <c r="D220" i="10"/>
  <c r="B220" i="10"/>
  <c r="B202" i="10"/>
  <c r="F200" i="10"/>
  <c r="E200" i="10"/>
  <c r="D200" i="10"/>
  <c r="B200" i="10"/>
  <c r="B182" i="10"/>
  <c r="F180" i="10"/>
  <c r="E180" i="10"/>
  <c r="D180" i="10"/>
  <c r="B180" i="10"/>
  <c r="B162" i="10"/>
  <c r="F160" i="10"/>
  <c r="E160" i="10"/>
  <c r="D160" i="10"/>
  <c r="B160" i="10"/>
  <c r="B142" i="10"/>
  <c r="F140" i="10"/>
  <c r="E140" i="10"/>
  <c r="D140" i="10"/>
  <c r="B140" i="10"/>
  <c r="B122" i="10"/>
  <c r="F120" i="10"/>
  <c r="E120" i="10"/>
  <c r="D120" i="10"/>
  <c r="B120" i="10"/>
  <c r="B102" i="10"/>
  <c r="F100" i="10"/>
  <c r="E100" i="10"/>
  <c r="D100" i="10"/>
  <c r="B100" i="10"/>
  <c r="B82" i="10"/>
  <c r="F80" i="10"/>
  <c r="E80" i="10"/>
  <c r="D80" i="10"/>
  <c r="B80" i="10"/>
  <c r="B62" i="10"/>
  <c r="F60" i="10"/>
  <c r="E60" i="10"/>
  <c r="D60" i="10"/>
  <c r="B60" i="10"/>
  <c r="B42" i="10"/>
  <c r="F40" i="10"/>
  <c r="E40" i="10"/>
  <c r="D40" i="10"/>
  <c r="B40" i="10"/>
  <c r="B22" i="10"/>
  <c r="F20" i="10"/>
  <c r="E20" i="10"/>
  <c r="D20" i="10"/>
  <c r="B20" i="10"/>
  <c r="K19" i="10"/>
  <c r="L20" i="10" s="1"/>
  <c r="B2" i="10"/>
  <c r="F70" i="8" l="1"/>
  <c r="D247" i="8" l="1"/>
  <c r="F520" i="13" l="1"/>
  <c r="E520" i="13"/>
  <c r="D520" i="13"/>
  <c r="B520" i="13"/>
  <c r="B502" i="13"/>
  <c r="F500" i="13"/>
  <c r="E500" i="13"/>
  <c r="D500" i="13"/>
  <c r="B500" i="13"/>
  <c r="B482" i="13"/>
  <c r="F480" i="13"/>
  <c r="E480" i="13"/>
  <c r="D480" i="13"/>
  <c r="B480" i="13"/>
  <c r="B462" i="13"/>
  <c r="F460" i="13"/>
  <c r="E460" i="13"/>
  <c r="D460" i="13"/>
  <c r="B460" i="13"/>
  <c r="B442" i="13"/>
  <c r="F440" i="13"/>
  <c r="E440" i="13"/>
  <c r="D440" i="13"/>
  <c r="B422" i="13"/>
  <c r="F420" i="13"/>
  <c r="E420" i="13"/>
  <c r="D420" i="13"/>
  <c r="B420" i="13"/>
  <c r="B402" i="13"/>
  <c r="F400" i="13"/>
  <c r="E400" i="13"/>
  <c r="D400" i="13"/>
  <c r="B400" i="13"/>
  <c r="B382" i="13"/>
  <c r="F380" i="13"/>
  <c r="E380" i="13"/>
  <c r="D380" i="13"/>
  <c r="B380" i="13"/>
  <c r="B362" i="13"/>
  <c r="F360" i="13"/>
  <c r="E360" i="13"/>
  <c r="D360" i="13"/>
  <c r="B360" i="13"/>
  <c r="B342" i="13"/>
  <c r="F340" i="13"/>
  <c r="E340" i="13"/>
  <c r="D340" i="13"/>
  <c r="B340" i="13"/>
  <c r="B322" i="13"/>
  <c r="F320" i="13"/>
  <c r="E320" i="13"/>
  <c r="D320" i="13"/>
  <c r="B320" i="13"/>
  <c r="B302" i="13"/>
  <c r="F300" i="13"/>
  <c r="E300" i="13"/>
  <c r="D300" i="13"/>
  <c r="B300" i="13"/>
  <c r="B282" i="13"/>
  <c r="F280" i="13"/>
  <c r="E280" i="13"/>
  <c r="D280" i="13"/>
  <c r="B280" i="13"/>
  <c r="B262" i="13"/>
  <c r="F260" i="13"/>
  <c r="E260" i="13"/>
  <c r="D260" i="13"/>
  <c r="B260" i="13"/>
  <c r="B242" i="13"/>
  <c r="F240" i="13"/>
  <c r="E240" i="13"/>
  <c r="D240" i="13"/>
  <c r="B240" i="13"/>
  <c r="B222" i="13"/>
  <c r="F220" i="13"/>
  <c r="E220" i="13"/>
  <c r="D220" i="13"/>
  <c r="B220" i="13"/>
  <c r="B202" i="13"/>
  <c r="F200" i="13"/>
  <c r="E200" i="13"/>
  <c r="D200" i="13"/>
  <c r="B200" i="13"/>
  <c r="B182" i="13"/>
  <c r="F180" i="13"/>
  <c r="E180" i="13"/>
  <c r="D180" i="13"/>
  <c r="B180" i="13"/>
  <c r="B162" i="13"/>
  <c r="F160" i="13"/>
  <c r="E160" i="13"/>
  <c r="D160" i="13"/>
  <c r="B160" i="13"/>
  <c r="B142" i="13"/>
  <c r="F140" i="13"/>
  <c r="E140" i="13"/>
  <c r="D140" i="13"/>
  <c r="B140" i="13"/>
  <c r="B122" i="13"/>
  <c r="F120" i="13"/>
  <c r="E120" i="13"/>
  <c r="D120" i="13"/>
  <c r="B120" i="13"/>
  <c r="B102" i="13"/>
  <c r="F100" i="13"/>
  <c r="E100" i="13"/>
  <c r="D100" i="13"/>
  <c r="B100" i="13"/>
  <c r="B82" i="13"/>
  <c r="F80" i="13"/>
  <c r="E80" i="13"/>
  <c r="D80" i="13"/>
  <c r="B80" i="13"/>
  <c r="B62" i="13"/>
  <c r="F60" i="13"/>
  <c r="E60" i="13"/>
  <c r="D60" i="13"/>
  <c r="B60" i="13"/>
  <c r="B42" i="13"/>
  <c r="F40" i="13"/>
  <c r="E40" i="13"/>
  <c r="D40" i="13"/>
  <c r="B40" i="13"/>
  <c r="B22" i="13"/>
  <c r="F20" i="13"/>
  <c r="E20" i="13"/>
  <c r="D20" i="13"/>
  <c r="B20" i="13"/>
  <c r="K19" i="13"/>
  <c r="L20" i="13" s="1"/>
  <c r="B2" i="13"/>
  <c r="AA9" i="1" l="1"/>
  <c r="AD71" i="1" l="1"/>
  <c r="AA11" i="1" l="1"/>
  <c r="D68" i="8" l="1"/>
  <c r="F68" i="8"/>
  <c r="D47" i="8"/>
  <c r="D46" i="8"/>
  <c r="F366" i="7" l="1"/>
  <c r="AD59" i="1" l="1"/>
  <c r="D67" i="8" l="1"/>
  <c r="B16" i="8"/>
  <c r="B12" i="8"/>
  <c r="D48" i="8"/>
  <c r="D307" i="8"/>
  <c r="D306" i="8"/>
  <c r="AA13" i="1" l="1"/>
  <c r="D286" i="8" l="1"/>
  <c r="D49" i="7"/>
  <c r="F520" i="9" l="1"/>
  <c r="E520" i="9"/>
  <c r="D520" i="9"/>
  <c r="B520" i="9"/>
  <c r="B502" i="9"/>
  <c r="F500" i="9"/>
  <c r="E500" i="9"/>
  <c r="D500" i="9"/>
  <c r="B500" i="9"/>
  <c r="B482" i="9"/>
  <c r="F480" i="9"/>
  <c r="E480" i="9"/>
  <c r="D480" i="9"/>
  <c r="B480" i="9"/>
  <c r="B462" i="9"/>
  <c r="F460" i="9"/>
  <c r="E460" i="9"/>
  <c r="D460" i="9"/>
  <c r="B460" i="9"/>
  <c r="B442" i="9"/>
  <c r="F440" i="9"/>
  <c r="E440" i="9"/>
  <c r="D440" i="9"/>
  <c r="B422" i="9"/>
  <c r="F420" i="9"/>
  <c r="E420" i="9"/>
  <c r="D420" i="9"/>
  <c r="B420" i="9"/>
  <c r="B402" i="9"/>
  <c r="F400" i="9"/>
  <c r="E400" i="9"/>
  <c r="D400" i="9"/>
  <c r="B400" i="9"/>
  <c r="B382" i="9"/>
  <c r="F380" i="9"/>
  <c r="E380" i="9"/>
  <c r="D380" i="9"/>
  <c r="B380" i="9"/>
  <c r="B362" i="9"/>
  <c r="F360" i="9"/>
  <c r="E360" i="9"/>
  <c r="D360" i="9"/>
  <c r="B360" i="9"/>
  <c r="B342" i="9"/>
  <c r="F340" i="9"/>
  <c r="E340" i="9"/>
  <c r="D340" i="9"/>
  <c r="B340" i="9"/>
  <c r="B322" i="9"/>
  <c r="F320" i="9"/>
  <c r="E320" i="9"/>
  <c r="D320" i="9"/>
  <c r="B320" i="9"/>
  <c r="B302" i="9"/>
  <c r="F300" i="9"/>
  <c r="E300" i="9"/>
  <c r="D300" i="9"/>
  <c r="B300" i="9"/>
  <c r="B282" i="9"/>
  <c r="F280" i="9"/>
  <c r="E280" i="9"/>
  <c r="D280" i="9"/>
  <c r="B280" i="9"/>
  <c r="B262" i="9"/>
  <c r="F260" i="9"/>
  <c r="E260" i="9"/>
  <c r="D260" i="9"/>
  <c r="B260" i="9"/>
  <c r="B242" i="9"/>
  <c r="F240" i="9"/>
  <c r="E240" i="9"/>
  <c r="D240" i="9"/>
  <c r="B240" i="9"/>
  <c r="B222" i="9"/>
  <c r="F220" i="9"/>
  <c r="E220" i="9"/>
  <c r="D220" i="9"/>
  <c r="B220" i="9"/>
  <c r="B202" i="9"/>
  <c r="F200" i="9"/>
  <c r="E200" i="9"/>
  <c r="D200" i="9"/>
  <c r="B200" i="9"/>
  <c r="B182" i="9"/>
  <c r="F180" i="9"/>
  <c r="E180" i="9"/>
  <c r="D180" i="9"/>
  <c r="B180" i="9"/>
  <c r="B162" i="9"/>
  <c r="F160" i="9"/>
  <c r="E160" i="9"/>
  <c r="D160" i="9"/>
  <c r="B160" i="9"/>
  <c r="B142" i="9"/>
  <c r="F140" i="9"/>
  <c r="E140" i="9"/>
  <c r="D140" i="9"/>
  <c r="B140" i="9"/>
  <c r="B122" i="9"/>
  <c r="F120" i="9"/>
  <c r="E120" i="9"/>
  <c r="D120" i="9"/>
  <c r="B120" i="9"/>
  <c r="B102" i="9"/>
  <c r="F100" i="9"/>
  <c r="E100" i="9"/>
  <c r="D100" i="9"/>
  <c r="B100" i="9"/>
  <c r="B82" i="9"/>
  <c r="F80" i="9"/>
  <c r="E80" i="9"/>
  <c r="D80" i="9"/>
  <c r="B80" i="9"/>
  <c r="B62" i="9"/>
  <c r="F60" i="9"/>
  <c r="E60" i="9"/>
  <c r="D60" i="9"/>
  <c r="B60" i="9"/>
  <c r="B42" i="9"/>
  <c r="F40" i="9"/>
  <c r="E40" i="9"/>
  <c r="D40" i="9"/>
  <c r="B40" i="9"/>
  <c r="B22" i="9"/>
  <c r="F20" i="9"/>
  <c r="E20" i="9"/>
  <c r="D20" i="9"/>
  <c r="K19" i="9"/>
  <c r="L20" i="9" s="1"/>
  <c r="B20" i="9"/>
  <c r="B2" i="9"/>
  <c r="Z60" i="1" l="1"/>
  <c r="D56" i="7" l="1"/>
  <c r="D246" i="7" l="1"/>
  <c r="D368" i="7"/>
  <c r="D72" i="7" l="1"/>
  <c r="D288" i="7"/>
  <c r="Z70" i="1" l="1"/>
  <c r="Z71" i="1" s="1"/>
  <c r="Z72" i="1" s="1"/>
  <c r="D70" i="7"/>
  <c r="F287" i="7"/>
  <c r="W12" i="1"/>
  <c r="D55" i="7" l="1"/>
  <c r="W14" i="1"/>
  <c r="F69" i="7" l="1"/>
  <c r="D47" i="7" l="1"/>
  <c r="D52" i="7" l="1"/>
  <c r="W13" i="1" l="1"/>
  <c r="D50" i="7" l="1"/>
  <c r="W9" i="1" l="1"/>
  <c r="D48" i="7" l="1"/>
  <c r="D46" i="7"/>
  <c r="S10" i="1" l="1"/>
  <c r="F520" i="8"/>
  <c r="E520" i="8"/>
  <c r="D520" i="8"/>
  <c r="B520" i="8"/>
  <c r="B502" i="8"/>
  <c r="F500" i="8"/>
  <c r="E500" i="8"/>
  <c r="D500" i="8"/>
  <c r="B500" i="8"/>
  <c r="B482" i="8"/>
  <c r="F480" i="8"/>
  <c r="E480" i="8"/>
  <c r="D480" i="8"/>
  <c r="B480" i="8"/>
  <c r="B462" i="8"/>
  <c r="F460" i="8"/>
  <c r="E460" i="8"/>
  <c r="D460" i="8"/>
  <c r="B460" i="8"/>
  <c r="B442" i="8"/>
  <c r="F440" i="8"/>
  <c r="E440" i="8"/>
  <c r="D440" i="8"/>
  <c r="B422" i="8"/>
  <c r="F420" i="8"/>
  <c r="E420" i="8"/>
  <c r="D420" i="8"/>
  <c r="B420" i="8"/>
  <c r="B402" i="8"/>
  <c r="F400" i="8"/>
  <c r="E400" i="8"/>
  <c r="D400" i="8"/>
  <c r="B400" i="8"/>
  <c r="B382" i="8"/>
  <c r="F380" i="8"/>
  <c r="E380" i="8"/>
  <c r="D380" i="8"/>
  <c r="B380" i="8"/>
  <c r="B362" i="8"/>
  <c r="F360" i="8"/>
  <c r="E360" i="8"/>
  <c r="D360" i="8"/>
  <c r="B360" i="8"/>
  <c r="B342" i="8"/>
  <c r="F340" i="8"/>
  <c r="E340" i="8"/>
  <c r="D340" i="8"/>
  <c r="B340" i="8"/>
  <c r="B322" i="8"/>
  <c r="F320" i="8"/>
  <c r="E320" i="8"/>
  <c r="D320" i="8"/>
  <c r="B320" i="8"/>
  <c r="B302" i="8"/>
  <c r="F300" i="8"/>
  <c r="E300" i="8"/>
  <c r="D300" i="8"/>
  <c r="B300" i="8"/>
  <c r="B282" i="8"/>
  <c r="F280" i="8"/>
  <c r="E280" i="8"/>
  <c r="D280" i="8"/>
  <c r="B280" i="8"/>
  <c r="B262" i="8"/>
  <c r="F260" i="8"/>
  <c r="E260" i="8"/>
  <c r="D260" i="8"/>
  <c r="B260" i="8"/>
  <c r="B242" i="8"/>
  <c r="F240" i="8"/>
  <c r="E240" i="8"/>
  <c r="D240" i="8"/>
  <c r="B240" i="8"/>
  <c r="B222" i="8"/>
  <c r="F220" i="8"/>
  <c r="E220" i="8"/>
  <c r="D220" i="8"/>
  <c r="B220" i="8"/>
  <c r="B202" i="8"/>
  <c r="F200" i="8"/>
  <c r="E200" i="8"/>
  <c r="D200" i="8"/>
  <c r="B200" i="8"/>
  <c r="B182" i="8"/>
  <c r="F180" i="8"/>
  <c r="E180" i="8"/>
  <c r="D180" i="8"/>
  <c r="B180" i="8"/>
  <c r="B162" i="8"/>
  <c r="F160" i="8"/>
  <c r="E160" i="8"/>
  <c r="D160" i="8"/>
  <c r="B160" i="8"/>
  <c r="B142" i="8"/>
  <c r="F140" i="8"/>
  <c r="E140" i="8"/>
  <c r="D140" i="8"/>
  <c r="B140" i="8"/>
  <c r="B122" i="8"/>
  <c r="F120" i="8"/>
  <c r="E120" i="8"/>
  <c r="D120" i="8"/>
  <c r="B120" i="8"/>
  <c r="B102" i="8"/>
  <c r="F100" i="8"/>
  <c r="E100" i="8"/>
  <c r="D100" i="8"/>
  <c r="B100" i="8"/>
  <c r="B82" i="8"/>
  <c r="F80" i="8"/>
  <c r="E80" i="8"/>
  <c r="D80" i="8"/>
  <c r="B80" i="8"/>
  <c r="B62" i="8"/>
  <c r="F60" i="8"/>
  <c r="E60" i="8"/>
  <c r="D60" i="8"/>
  <c r="B60" i="8"/>
  <c r="B42" i="8"/>
  <c r="F40" i="8"/>
  <c r="E40" i="8"/>
  <c r="D40" i="8"/>
  <c r="B40" i="8"/>
  <c r="B22" i="8"/>
  <c r="F20" i="8"/>
  <c r="E20" i="8"/>
  <c r="D20" i="8"/>
  <c r="B20" i="8"/>
  <c r="K19" i="8"/>
  <c r="L20" i="8" s="1"/>
  <c r="B2" i="8"/>
  <c r="F366" i="6"/>
  <c r="H80" i="8" l="1"/>
  <c r="O10" i="1"/>
  <c r="D251" i="6"/>
  <c r="K11" i="7"/>
  <c r="S9" i="1"/>
  <c r="D86" i="6" l="1"/>
  <c r="D48" i="6" l="1"/>
  <c r="D49" i="6" l="1"/>
  <c r="D52" i="6" l="1"/>
  <c r="E368" i="6" l="1"/>
  <c r="D51" i="6" l="1"/>
  <c r="F71" i="6" l="1"/>
  <c r="F70" i="6" l="1"/>
  <c r="D366" i="6" l="1"/>
  <c r="D66" i="6" l="1"/>
  <c r="D53" i="6"/>
  <c r="S14" i="1" l="1"/>
  <c r="AD55" i="1" l="1"/>
  <c r="AD54" i="1"/>
  <c r="AD56" i="1" l="1"/>
  <c r="D47" i="6"/>
  <c r="D68" i="6" l="1"/>
  <c r="B68" i="6" l="1"/>
  <c r="F68" i="6" l="1"/>
  <c r="D287" i="6"/>
  <c r="D247" i="6" l="1"/>
  <c r="D69" i="6"/>
  <c r="S13" i="1" l="1"/>
  <c r="F187" i="6" l="1"/>
  <c r="F367" i="6" l="1"/>
  <c r="F67" i="6"/>
  <c r="D307" i="6" l="1"/>
  <c r="D286" i="6" l="1"/>
  <c r="D186" i="6" s="1"/>
  <c r="E12" i="6" l="1"/>
  <c r="S11" i="1" l="1"/>
  <c r="D53" i="5" l="1"/>
  <c r="F520" i="7"/>
  <c r="E520" i="7"/>
  <c r="D520" i="7"/>
  <c r="B520" i="7"/>
  <c r="B502" i="7"/>
  <c r="F500" i="7"/>
  <c r="E500" i="7"/>
  <c r="D500" i="7"/>
  <c r="B500" i="7"/>
  <c r="B482" i="7"/>
  <c r="F480" i="7"/>
  <c r="E480" i="7"/>
  <c r="D480" i="7"/>
  <c r="B480" i="7"/>
  <c r="B462" i="7"/>
  <c r="F460" i="7"/>
  <c r="E460" i="7"/>
  <c r="D460" i="7"/>
  <c r="B460" i="7"/>
  <c r="B442" i="7"/>
  <c r="F440" i="7"/>
  <c r="E440" i="7"/>
  <c r="D440" i="7"/>
  <c r="B422" i="7"/>
  <c r="F420" i="7"/>
  <c r="E420" i="7"/>
  <c r="D420" i="7"/>
  <c r="B420" i="7"/>
  <c r="B402" i="7"/>
  <c r="F400" i="7"/>
  <c r="E400" i="7"/>
  <c r="D400" i="7"/>
  <c r="B400" i="7"/>
  <c r="B382" i="7"/>
  <c r="F380" i="7"/>
  <c r="E380" i="7"/>
  <c r="D380" i="7"/>
  <c r="B380" i="7"/>
  <c r="B362" i="7"/>
  <c r="F360" i="7"/>
  <c r="E360" i="7"/>
  <c r="D360" i="7"/>
  <c r="B360" i="7"/>
  <c r="B342" i="7"/>
  <c r="F340" i="7"/>
  <c r="E340" i="7"/>
  <c r="D340" i="7"/>
  <c r="B340" i="7"/>
  <c r="B322" i="7"/>
  <c r="F320" i="7"/>
  <c r="E320" i="7"/>
  <c r="D320" i="7"/>
  <c r="B320" i="7"/>
  <c r="B302" i="7"/>
  <c r="F300" i="7"/>
  <c r="E300" i="7"/>
  <c r="D300" i="7"/>
  <c r="B300" i="7"/>
  <c r="B282" i="7"/>
  <c r="F280" i="7"/>
  <c r="E280" i="7"/>
  <c r="D280" i="7"/>
  <c r="B280" i="7"/>
  <c r="B262" i="7"/>
  <c r="F260" i="7"/>
  <c r="E260" i="7"/>
  <c r="D260" i="7"/>
  <c r="B260" i="7"/>
  <c r="B242" i="7"/>
  <c r="F240" i="7"/>
  <c r="E240" i="7"/>
  <c r="D240" i="7"/>
  <c r="B240" i="7"/>
  <c r="B222" i="7"/>
  <c r="F220" i="7"/>
  <c r="E220" i="7"/>
  <c r="D220" i="7"/>
  <c r="B220" i="7"/>
  <c r="B202" i="7"/>
  <c r="F200" i="7"/>
  <c r="E200" i="7"/>
  <c r="D200" i="7"/>
  <c r="B200" i="7"/>
  <c r="B182" i="7"/>
  <c r="F180" i="7"/>
  <c r="E180" i="7"/>
  <c r="D180" i="7"/>
  <c r="B180" i="7"/>
  <c r="B162" i="7"/>
  <c r="F160" i="7"/>
  <c r="E160" i="7"/>
  <c r="D160" i="7"/>
  <c r="B160" i="7"/>
  <c r="B142" i="7"/>
  <c r="F140" i="7"/>
  <c r="E140" i="7"/>
  <c r="D140" i="7"/>
  <c r="B140" i="7"/>
  <c r="B122" i="7"/>
  <c r="F120" i="7"/>
  <c r="E120" i="7"/>
  <c r="D120" i="7"/>
  <c r="B120" i="7"/>
  <c r="B102" i="7"/>
  <c r="F100" i="7"/>
  <c r="E100" i="7"/>
  <c r="D100" i="7"/>
  <c r="B100" i="7"/>
  <c r="B82" i="7"/>
  <c r="F80" i="7"/>
  <c r="E80" i="7"/>
  <c r="D80" i="7"/>
  <c r="B80" i="7"/>
  <c r="B62" i="7"/>
  <c r="F60" i="7"/>
  <c r="E60" i="7"/>
  <c r="D60" i="7"/>
  <c r="B60" i="7"/>
  <c r="B42" i="7"/>
  <c r="F40" i="7"/>
  <c r="E40" i="7"/>
  <c r="D40" i="7"/>
  <c r="B40" i="7"/>
  <c r="B22" i="7"/>
  <c r="F20" i="7"/>
  <c r="E20" i="7"/>
  <c r="D20" i="7"/>
  <c r="B20" i="7"/>
  <c r="K19" i="7"/>
  <c r="L20" i="7" s="1"/>
  <c r="B2" i="7"/>
  <c r="K11" i="6"/>
  <c r="D51" i="5"/>
  <c r="D48" i="5"/>
  <c r="O9" i="1"/>
  <c r="D366" i="5" l="1"/>
  <c r="O12" i="1" l="1"/>
  <c r="O13" i="1" l="1"/>
  <c r="D49" i="5" l="1"/>
  <c r="D86" i="5" l="1"/>
  <c r="D46" i="5" l="1"/>
  <c r="D251" i="5"/>
  <c r="D127" i="5" l="1"/>
  <c r="D69" i="5"/>
  <c r="D68" i="5" l="1"/>
  <c r="D27" i="5"/>
  <c r="D247" i="5" l="1"/>
  <c r="D147" i="5"/>
  <c r="D146" i="5" l="1"/>
  <c r="D47" i="5" s="1"/>
  <c r="D367" i="5"/>
  <c r="F307" i="5"/>
  <c r="D307" i="5"/>
  <c r="D66" i="5"/>
  <c r="F308" i="5"/>
  <c r="E167" i="5" l="1"/>
  <c r="D306" i="5" l="1"/>
  <c r="O14" i="1" l="1"/>
  <c r="O15" i="1" l="1"/>
  <c r="D166" i="5" l="1"/>
  <c r="F520" i="6" l="1"/>
  <c r="E520" i="6"/>
  <c r="D520" i="6"/>
  <c r="B520" i="6"/>
  <c r="B502" i="6"/>
  <c r="F500" i="6"/>
  <c r="E500" i="6"/>
  <c r="D500" i="6"/>
  <c r="B500" i="6"/>
  <c r="B482" i="6"/>
  <c r="F480" i="6"/>
  <c r="E480" i="6"/>
  <c r="D480" i="6"/>
  <c r="B480" i="6"/>
  <c r="B462" i="6"/>
  <c r="F460" i="6"/>
  <c r="E460" i="6"/>
  <c r="D460" i="6"/>
  <c r="B460" i="6"/>
  <c r="B442" i="6"/>
  <c r="F440" i="6"/>
  <c r="E440" i="6"/>
  <c r="D440" i="6"/>
  <c r="B440" i="6"/>
  <c r="B422" i="6"/>
  <c r="F420" i="6"/>
  <c r="E420" i="6"/>
  <c r="D420" i="6"/>
  <c r="B420" i="6"/>
  <c r="B402" i="6"/>
  <c r="F400" i="6"/>
  <c r="E400" i="6"/>
  <c r="D400" i="6"/>
  <c r="B400" i="6"/>
  <c r="B382" i="6"/>
  <c r="F380" i="6"/>
  <c r="E380" i="6"/>
  <c r="D380" i="6"/>
  <c r="B380" i="6"/>
  <c r="B362" i="6"/>
  <c r="F360" i="6"/>
  <c r="E360" i="6"/>
  <c r="D360" i="6"/>
  <c r="B360" i="6"/>
  <c r="B342" i="6"/>
  <c r="F340" i="6"/>
  <c r="E340" i="6"/>
  <c r="D340" i="6"/>
  <c r="B340" i="6"/>
  <c r="B322" i="6"/>
  <c r="F320" i="6"/>
  <c r="E320" i="6"/>
  <c r="D320" i="6"/>
  <c r="B320" i="6"/>
  <c r="B302" i="6"/>
  <c r="F300" i="6"/>
  <c r="E300" i="6"/>
  <c r="D300" i="6"/>
  <c r="B300" i="6"/>
  <c r="B282" i="6"/>
  <c r="F280" i="6"/>
  <c r="E280" i="6"/>
  <c r="D280" i="6"/>
  <c r="B280" i="6"/>
  <c r="B262" i="6"/>
  <c r="F260" i="6"/>
  <c r="E260" i="6"/>
  <c r="D260" i="6"/>
  <c r="B260" i="6"/>
  <c r="B242" i="6"/>
  <c r="F240" i="6"/>
  <c r="E240" i="6"/>
  <c r="D240" i="6"/>
  <c r="B240" i="6"/>
  <c r="B222" i="6"/>
  <c r="F220" i="6"/>
  <c r="E220" i="6"/>
  <c r="D220" i="6"/>
  <c r="B220" i="6"/>
  <c r="B202" i="6"/>
  <c r="F200" i="6"/>
  <c r="E200" i="6"/>
  <c r="D200" i="6"/>
  <c r="B200" i="6"/>
  <c r="B182" i="6"/>
  <c r="F180" i="6"/>
  <c r="E180" i="6"/>
  <c r="D180" i="6"/>
  <c r="B180" i="6"/>
  <c r="B162" i="6"/>
  <c r="F160" i="6"/>
  <c r="E160" i="6"/>
  <c r="D160" i="6"/>
  <c r="B160" i="6"/>
  <c r="B142" i="6"/>
  <c r="F140" i="6"/>
  <c r="E140" i="6"/>
  <c r="D140" i="6"/>
  <c r="B140" i="6"/>
  <c r="B122" i="6"/>
  <c r="F120" i="6"/>
  <c r="E120" i="6"/>
  <c r="D120" i="6"/>
  <c r="B120" i="6"/>
  <c r="B102" i="6"/>
  <c r="F100" i="6"/>
  <c r="E100" i="6"/>
  <c r="D100" i="6"/>
  <c r="B100" i="6"/>
  <c r="B82" i="6"/>
  <c r="F80" i="6"/>
  <c r="E80" i="6"/>
  <c r="D80" i="6"/>
  <c r="B80" i="6"/>
  <c r="B62" i="6"/>
  <c r="F60" i="6"/>
  <c r="E60" i="6"/>
  <c r="D60" i="6"/>
  <c r="B60" i="6"/>
  <c r="B42" i="6"/>
  <c r="F40" i="6"/>
  <c r="E40" i="6"/>
  <c r="D40" i="6"/>
  <c r="B40" i="6"/>
  <c r="B22" i="6"/>
  <c r="F20" i="6"/>
  <c r="E20" i="6"/>
  <c r="D20" i="6"/>
  <c r="B20" i="6"/>
  <c r="K19" i="6"/>
  <c r="L20" i="6" s="1"/>
  <c r="B2" i="6"/>
  <c r="D54" i="5"/>
  <c r="D286" i="5"/>
  <c r="K7" i="5"/>
  <c r="D66" i="4"/>
  <c r="K11" i="5"/>
  <c r="F90" i="4" l="1"/>
  <c r="D167" i="4" l="1"/>
  <c r="D247" i="4" s="1"/>
  <c r="D188" i="4"/>
  <c r="D86" i="4"/>
  <c r="F69" i="4"/>
  <c r="E7" i="4" l="1"/>
  <c r="F366" i="4" l="1"/>
  <c r="K9" i="1" l="1"/>
  <c r="D187" i="4" l="1"/>
  <c r="D267" i="4" l="1"/>
  <c r="D308" i="4"/>
  <c r="D48" i="4" l="1"/>
  <c r="F67" i="4" l="1"/>
  <c r="E326" i="4" l="1"/>
  <c r="D127" i="4" l="1"/>
  <c r="E166" i="4" l="1"/>
  <c r="K13" i="1" l="1"/>
  <c r="D307" i="4" l="1"/>
  <c r="D250" i="4" l="1"/>
  <c r="D53" i="4" s="1"/>
  <c r="D186" i="4"/>
  <c r="D46" i="4" s="1"/>
  <c r="D47" i="4" l="1"/>
  <c r="G10" i="1" l="1"/>
  <c r="F366" i="3"/>
  <c r="K11" i="4"/>
  <c r="F520" i="5"/>
  <c r="E520" i="5"/>
  <c r="D520" i="5"/>
  <c r="B520" i="5"/>
  <c r="B502" i="5"/>
  <c r="F500" i="5"/>
  <c r="E500" i="5"/>
  <c r="D500" i="5"/>
  <c r="B500" i="5"/>
  <c r="B482" i="5"/>
  <c r="F480" i="5"/>
  <c r="E480" i="5"/>
  <c r="D480" i="5"/>
  <c r="B480" i="5"/>
  <c r="B462" i="5"/>
  <c r="F460" i="5"/>
  <c r="E460" i="5"/>
  <c r="D460" i="5"/>
  <c r="B460" i="5"/>
  <c r="B442" i="5"/>
  <c r="F440" i="5"/>
  <c r="E440" i="5"/>
  <c r="D440" i="5"/>
  <c r="B440" i="5"/>
  <c r="B422" i="5"/>
  <c r="F420" i="5"/>
  <c r="E420" i="5"/>
  <c r="D420" i="5"/>
  <c r="B420" i="5"/>
  <c r="B402" i="5"/>
  <c r="F400" i="5"/>
  <c r="E400" i="5"/>
  <c r="D400" i="5"/>
  <c r="B400" i="5"/>
  <c r="B382" i="5"/>
  <c r="F380" i="5"/>
  <c r="E380" i="5"/>
  <c r="D380" i="5"/>
  <c r="B380" i="5"/>
  <c r="B362" i="5"/>
  <c r="F360" i="5"/>
  <c r="E360" i="5"/>
  <c r="D360" i="5"/>
  <c r="B360" i="5"/>
  <c r="B342" i="5"/>
  <c r="F340" i="5"/>
  <c r="E340" i="5"/>
  <c r="D340" i="5"/>
  <c r="B340" i="5"/>
  <c r="B322" i="5"/>
  <c r="F320" i="5"/>
  <c r="E320" i="5"/>
  <c r="D320" i="5"/>
  <c r="B320" i="5"/>
  <c r="B302" i="5"/>
  <c r="F300" i="5"/>
  <c r="E300" i="5"/>
  <c r="D300" i="5"/>
  <c r="B300" i="5"/>
  <c r="B282" i="5"/>
  <c r="F280" i="5"/>
  <c r="E280" i="5"/>
  <c r="D280" i="5"/>
  <c r="B280" i="5"/>
  <c r="B262" i="5"/>
  <c r="F260" i="5"/>
  <c r="E260" i="5"/>
  <c r="D260" i="5"/>
  <c r="B260" i="5"/>
  <c r="B242" i="5"/>
  <c r="F240" i="5"/>
  <c r="E240" i="5"/>
  <c r="D240" i="5"/>
  <c r="B240" i="5"/>
  <c r="B222" i="5"/>
  <c r="F220" i="5"/>
  <c r="E220" i="5"/>
  <c r="D220" i="5"/>
  <c r="B220" i="5"/>
  <c r="B202" i="5"/>
  <c r="F200" i="5"/>
  <c r="E200" i="5"/>
  <c r="D200" i="5"/>
  <c r="B200" i="5"/>
  <c r="B182" i="5"/>
  <c r="F180" i="5"/>
  <c r="E180" i="5"/>
  <c r="D180" i="5"/>
  <c r="B180" i="5"/>
  <c r="B162" i="5"/>
  <c r="F160" i="5"/>
  <c r="E160" i="5"/>
  <c r="D160" i="5"/>
  <c r="B160" i="5"/>
  <c r="B142" i="5"/>
  <c r="F140" i="5"/>
  <c r="E140" i="5"/>
  <c r="D140" i="5"/>
  <c r="B140" i="5"/>
  <c r="B122" i="5"/>
  <c r="F120" i="5"/>
  <c r="E120" i="5"/>
  <c r="D120" i="5"/>
  <c r="B120" i="5"/>
  <c r="B102" i="5"/>
  <c r="F100" i="5"/>
  <c r="E100" i="5"/>
  <c r="D100" i="5"/>
  <c r="B100" i="5"/>
  <c r="B82" i="5"/>
  <c r="F80" i="5"/>
  <c r="E80" i="5"/>
  <c r="D80" i="5"/>
  <c r="B80" i="5"/>
  <c r="B62" i="5"/>
  <c r="F60" i="5"/>
  <c r="E60" i="5"/>
  <c r="D60" i="5"/>
  <c r="B60" i="5"/>
  <c r="B42" i="5"/>
  <c r="F40" i="5"/>
  <c r="E40" i="5"/>
  <c r="D40" i="5"/>
  <c r="B40" i="5"/>
  <c r="B22" i="5"/>
  <c r="F20" i="5"/>
  <c r="E20" i="5"/>
  <c r="D20" i="5"/>
  <c r="B20" i="5"/>
  <c r="K19" i="5"/>
  <c r="L20" i="5" s="1"/>
  <c r="B2" i="5"/>
  <c r="D86" i="3" l="1"/>
  <c r="D48" i="3" l="1"/>
  <c r="G8" i="1" l="1"/>
  <c r="H7" i="4" l="1"/>
  <c r="K19" i="4"/>
  <c r="L20" i="4" s="1"/>
  <c r="E368" i="3" l="1"/>
  <c r="D368" i="3"/>
  <c r="F310" i="3" l="1"/>
  <c r="F309" i="3"/>
  <c r="D51" i="3" l="1"/>
  <c r="D46" i="3" l="1"/>
  <c r="D68" i="3" l="1"/>
  <c r="G14" i="1"/>
  <c r="D53" i="3" l="1"/>
  <c r="E166" i="3" l="1"/>
  <c r="H166" i="3" s="1"/>
  <c r="D54" i="3" l="1"/>
  <c r="D288" i="3"/>
  <c r="D286" i="3" l="1"/>
  <c r="D186" i="3" s="1"/>
  <c r="D247" i="3"/>
  <c r="G13" i="1" l="1"/>
  <c r="D127" i="3"/>
  <c r="D308" i="3" l="1"/>
  <c r="F67" i="3" l="1"/>
  <c r="F66" i="3"/>
  <c r="G16" i="1" l="1"/>
  <c r="F366" i="2" l="1"/>
  <c r="G9" i="1"/>
  <c r="B426" i="2" l="1"/>
  <c r="K11" i="3"/>
  <c r="F520" i="4" l="1"/>
  <c r="E520" i="4"/>
  <c r="D520" i="4"/>
  <c r="B520" i="4"/>
  <c r="B502" i="4"/>
  <c r="F500" i="4"/>
  <c r="E500" i="4"/>
  <c r="D500" i="4"/>
  <c r="B500" i="4"/>
  <c r="B482" i="4"/>
  <c r="F480" i="4"/>
  <c r="E480" i="4"/>
  <c r="D480" i="4"/>
  <c r="B480" i="4"/>
  <c r="B462" i="4"/>
  <c r="F460" i="4"/>
  <c r="E460" i="4"/>
  <c r="D460" i="4"/>
  <c r="B460" i="4"/>
  <c r="B442" i="4"/>
  <c r="F440" i="4"/>
  <c r="E440" i="4"/>
  <c r="D440" i="4"/>
  <c r="B440" i="4"/>
  <c r="B422" i="4"/>
  <c r="F420" i="4"/>
  <c r="E420" i="4"/>
  <c r="D420" i="4"/>
  <c r="B420" i="4"/>
  <c r="B402" i="4"/>
  <c r="F400" i="4"/>
  <c r="E400" i="4"/>
  <c r="D400" i="4"/>
  <c r="B400" i="4"/>
  <c r="B382" i="4"/>
  <c r="F380" i="4"/>
  <c r="E380" i="4"/>
  <c r="D380" i="4"/>
  <c r="B380" i="4"/>
  <c r="B362" i="4"/>
  <c r="F360" i="4"/>
  <c r="E360" i="4"/>
  <c r="D360" i="4"/>
  <c r="B360" i="4"/>
  <c r="B342" i="4"/>
  <c r="F340" i="4"/>
  <c r="E340" i="4"/>
  <c r="D340" i="4"/>
  <c r="B340" i="4"/>
  <c r="B322" i="4"/>
  <c r="F320" i="4"/>
  <c r="E320" i="4"/>
  <c r="D320" i="4"/>
  <c r="B320" i="4"/>
  <c r="B302" i="4"/>
  <c r="F300" i="4"/>
  <c r="E300" i="4"/>
  <c r="D300" i="4"/>
  <c r="B300" i="4"/>
  <c r="B282" i="4"/>
  <c r="F280" i="4"/>
  <c r="E280" i="4"/>
  <c r="D280" i="4"/>
  <c r="B280" i="4"/>
  <c r="B262" i="4"/>
  <c r="F260" i="4"/>
  <c r="E260" i="4"/>
  <c r="D260" i="4"/>
  <c r="B260" i="4"/>
  <c r="B242" i="4"/>
  <c r="F240" i="4"/>
  <c r="E240" i="4"/>
  <c r="D240" i="4"/>
  <c r="B240" i="4"/>
  <c r="B222" i="4"/>
  <c r="F220" i="4"/>
  <c r="E220" i="4"/>
  <c r="D220" i="4"/>
  <c r="B220" i="4"/>
  <c r="B202" i="4"/>
  <c r="F200" i="4"/>
  <c r="E200" i="4"/>
  <c r="D200" i="4"/>
  <c r="B200" i="4"/>
  <c r="B182" i="4"/>
  <c r="F180" i="4"/>
  <c r="E180" i="4"/>
  <c r="D180" i="4"/>
  <c r="B180" i="4"/>
  <c r="B162" i="4"/>
  <c r="F160" i="4"/>
  <c r="E160" i="4"/>
  <c r="D160" i="4"/>
  <c r="B160" i="4"/>
  <c r="B142" i="4"/>
  <c r="F140" i="4"/>
  <c r="E140" i="4"/>
  <c r="D140" i="4"/>
  <c r="B140" i="4"/>
  <c r="B122" i="4"/>
  <c r="F120" i="4"/>
  <c r="E120" i="4"/>
  <c r="D120" i="4"/>
  <c r="B120" i="4"/>
  <c r="B102" i="4"/>
  <c r="F100" i="4"/>
  <c r="E100" i="4"/>
  <c r="D100" i="4"/>
  <c r="B100" i="4"/>
  <c r="B82" i="4"/>
  <c r="F80" i="4"/>
  <c r="E80" i="4"/>
  <c r="D80" i="4"/>
  <c r="B80" i="4"/>
  <c r="B62" i="4"/>
  <c r="F60" i="4"/>
  <c r="E60" i="4"/>
  <c r="D60" i="4"/>
  <c r="B60" i="4"/>
  <c r="B42" i="4"/>
  <c r="F40" i="4"/>
  <c r="E40" i="4"/>
  <c r="D40" i="4"/>
  <c r="B40" i="4"/>
  <c r="B22" i="4"/>
  <c r="F20" i="4"/>
  <c r="E20" i="4"/>
  <c r="D20" i="4"/>
  <c r="B20" i="4"/>
  <c r="B2" i="4"/>
  <c r="C16" i="1" l="1"/>
  <c r="D66" i="2"/>
  <c r="C9" i="1"/>
  <c r="C12" i="1"/>
  <c r="H296" i="2"/>
  <c r="D307" i="2" l="1"/>
  <c r="E287" i="2"/>
  <c r="B127" i="3" l="1"/>
  <c r="F310" i="2" l="1"/>
  <c r="D68" i="2"/>
  <c r="E172" i="2" l="1"/>
  <c r="D287" i="2"/>
  <c r="K19" i="3" l="1"/>
  <c r="L20" i="3" s="1"/>
  <c r="D48" i="2" l="1"/>
  <c r="D292" i="2" l="1"/>
  <c r="C11" i="1" l="1"/>
  <c r="D52" i="2"/>
  <c r="D86" i="2"/>
  <c r="F520" i="3" l="1"/>
  <c r="E520" i="3"/>
  <c r="D520" i="3"/>
  <c r="B520" i="3"/>
  <c r="D208" i="2" l="1"/>
  <c r="D169" i="2"/>
  <c r="D27" i="2"/>
  <c r="D295" i="2"/>
  <c r="D55" i="2" s="1"/>
  <c r="F167" i="2"/>
  <c r="H292" i="2" l="1"/>
  <c r="F309" i="2" l="1"/>
  <c r="D61" i="2" l="1"/>
  <c r="D46" i="2" l="1"/>
  <c r="D293" i="2"/>
  <c r="D250" i="2"/>
  <c r="D406" i="2" l="1"/>
  <c r="D291" i="2"/>
  <c r="D191" i="2"/>
  <c r="D53" i="2" l="1"/>
  <c r="D249" i="2"/>
  <c r="D290" i="2" l="1"/>
  <c r="D190" i="2"/>
  <c r="D186" i="2"/>
  <c r="D206" i="2"/>
  <c r="D147" i="2"/>
  <c r="D51" i="2"/>
  <c r="D289" i="2" l="1"/>
  <c r="D127" i="2"/>
  <c r="D146" i="2" l="1"/>
  <c r="D47" i="2" s="1"/>
  <c r="H287" i="2"/>
  <c r="E189" i="2" l="1"/>
  <c r="E286" i="2" l="1"/>
  <c r="D308" i="2"/>
  <c r="D288" i="2" l="1"/>
  <c r="C13" i="1"/>
  <c r="D306" i="2" l="1"/>
  <c r="E90" i="2" l="1"/>
  <c r="B407" i="2" l="1"/>
  <c r="B520" i="2" l="1"/>
  <c r="H45" i="1"/>
  <c r="L45" i="1"/>
  <c r="P45" i="1"/>
  <c r="B20" i="1" l="1"/>
  <c r="K13" i="2"/>
  <c r="AY16" i="1" l="1"/>
  <c r="AY8" i="1"/>
  <c r="AY15" i="1"/>
  <c r="AY14" i="1"/>
  <c r="AY13" i="1"/>
  <c r="AY12" i="1"/>
  <c r="AY11" i="1"/>
  <c r="AY10" i="1"/>
  <c r="AY9" i="1"/>
  <c r="B17" i="1"/>
  <c r="AY17" i="1" l="1"/>
  <c r="AU5" i="1" l="1"/>
  <c r="AQ5" i="1"/>
  <c r="AM5" i="1"/>
  <c r="AI5" i="1"/>
  <c r="AE5" i="1"/>
  <c r="AA5" i="1"/>
  <c r="W5" i="1"/>
  <c r="S5" i="1"/>
  <c r="O5" i="1"/>
  <c r="K5" i="1"/>
  <c r="B502" i="3" l="1"/>
  <c r="F500" i="3"/>
  <c r="E500" i="3"/>
  <c r="D500" i="3"/>
  <c r="B500" i="3"/>
  <c r="B482" i="3"/>
  <c r="F480" i="3"/>
  <c r="E480" i="3"/>
  <c r="D480" i="3"/>
  <c r="B480" i="3"/>
  <c r="B462" i="3"/>
  <c r="F460" i="3"/>
  <c r="E460" i="3"/>
  <c r="D460" i="3"/>
  <c r="B460" i="3"/>
  <c r="B442" i="3"/>
  <c r="F440" i="3"/>
  <c r="E440" i="3"/>
  <c r="D440" i="3"/>
  <c r="B440" i="3"/>
  <c r="B422" i="3"/>
  <c r="F420" i="3"/>
  <c r="E420" i="3"/>
  <c r="D420" i="3"/>
  <c r="B420" i="3"/>
  <c r="B402" i="3"/>
  <c r="F400" i="3"/>
  <c r="E400" i="3"/>
  <c r="D400" i="3"/>
  <c r="B400" i="3"/>
  <c r="B382" i="3"/>
  <c r="F380" i="3"/>
  <c r="E380" i="3"/>
  <c r="D380" i="3"/>
  <c r="B380" i="3"/>
  <c r="B362" i="3"/>
  <c r="F360" i="3"/>
  <c r="E360" i="3"/>
  <c r="D360" i="3"/>
  <c r="B360" i="3"/>
  <c r="B342" i="3"/>
  <c r="F340" i="3"/>
  <c r="E340" i="3"/>
  <c r="D340" i="3"/>
  <c r="B340" i="3"/>
  <c r="B322" i="3"/>
  <c r="F320" i="3"/>
  <c r="E320" i="3"/>
  <c r="D320" i="3"/>
  <c r="B320" i="3"/>
  <c r="B302" i="3"/>
  <c r="F300" i="3"/>
  <c r="E300" i="3"/>
  <c r="D300" i="3"/>
  <c r="B300" i="3"/>
  <c r="B282" i="3"/>
  <c r="F280" i="3"/>
  <c r="E280" i="3"/>
  <c r="D280" i="3"/>
  <c r="B280" i="3"/>
  <c r="B262" i="3"/>
  <c r="F260" i="3"/>
  <c r="E260" i="3"/>
  <c r="D260" i="3"/>
  <c r="B260" i="3"/>
  <c r="B242" i="3"/>
  <c r="F240" i="3"/>
  <c r="E240" i="3"/>
  <c r="D240" i="3"/>
  <c r="B240" i="3"/>
  <c r="B222" i="3"/>
  <c r="F220" i="3"/>
  <c r="E220" i="3"/>
  <c r="D220" i="3"/>
  <c r="B220" i="3"/>
  <c r="B202" i="3"/>
  <c r="F200" i="3"/>
  <c r="E200" i="3"/>
  <c r="D200" i="3"/>
  <c r="B200" i="3"/>
  <c r="B182" i="3"/>
  <c r="F180" i="3"/>
  <c r="E180" i="3"/>
  <c r="D180" i="3"/>
  <c r="B180" i="3"/>
  <c r="B162" i="3"/>
  <c r="F160" i="3"/>
  <c r="E160" i="3"/>
  <c r="D160" i="3"/>
  <c r="B160" i="3"/>
  <c r="B142" i="3"/>
  <c r="F140" i="3"/>
  <c r="E140" i="3"/>
  <c r="D140" i="3"/>
  <c r="B140" i="3"/>
  <c r="B122" i="3"/>
  <c r="F120" i="3"/>
  <c r="E120" i="3"/>
  <c r="D120" i="3"/>
  <c r="B120" i="3"/>
  <c r="B102" i="3"/>
  <c r="F100" i="3"/>
  <c r="E100" i="3"/>
  <c r="D100" i="3"/>
  <c r="B100" i="3"/>
  <c r="B82" i="3"/>
  <c r="F80" i="3"/>
  <c r="E80" i="3"/>
  <c r="D80" i="3"/>
  <c r="B80" i="3"/>
  <c r="B62" i="3"/>
  <c r="F60" i="3"/>
  <c r="E60" i="3"/>
  <c r="D60" i="3"/>
  <c r="B60" i="3"/>
  <c r="B42" i="3"/>
  <c r="F40" i="3"/>
  <c r="E40" i="3"/>
  <c r="D40" i="3"/>
  <c r="B40" i="3"/>
  <c r="B22" i="3"/>
  <c r="F20" i="3"/>
  <c r="E20" i="3"/>
  <c r="D20" i="3"/>
  <c r="G5" i="1"/>
  <c r="B20" i="3"/>
  <c r="B2" i="3"/>
  <c r="BB17" i="1" l="1"/>
  <c r="AZ17" i="1" l="1"/>
  <c r="AZ10" i="1"/>
  <c r="AZ11" i="1"/>
  <c r="AZ12" i="1"/>
  <c r="AZ13" i="1"/>
  <c r="AZ14" i="1"/>
  <c r="AZ15" i="1"/>
  <c r="AZ8" i="1"/>
  <c r="AZ16" i="1"/>
  <c r="AZ9" i="1"/>
  <c r="AY18" i="1"/>
  <c r="K10" i="2" l="1"/>
  <c r="B4" i="17" l="1"/>
  <c r="B5" i="17" s="1"/>
  <c r="B6" i="17" s="1"/>
  <c r="B7" i="17" s="1"/>
  <c r="B8" i="17" s="1"/>
  <c r="B9" i="17" s="1"/>
  <c r="B10" i="17" s="1"/>
  <c r="B11" i="17" s="1"/>
  <c r="B12" i="17" s="1"/>
  <c r="B13" i="17" s="1"/>
  <c r="B14" i="17" s="1"/>
  <c r="B15" i="17" s="1"/>
  <c r="B16" i="17" s="1"/>
  <c r="B17" i="17" s="1"/>
  <c r="B18" i="17" s="1"/>
  <c r="B19" i="17" s="1"/>
  <c r="B20" i="17" s="1"/>
  <c r="B21" i="17" s="1"/>
  <c r="B22" i="17" s="1"/>
  <c r="B23" i="17" s="1"/>
  <c r="B24" i="17" s="1"/>
  <c r="B25" i="17" s="1"/>
  <c r="B26" i="17" s="1"/>
  <c r="B27" i="17" s="1"/>
  <c r="B28" i="17" s="1"/>
  <c r="B29" i="17" s="1"/>
  <c r="B30" i="17" s="1"/>
  <c r="B31" i="17" s="1"/>
  <c r="B32" i="17" s="1"/>
  <c r="B33" i="17" s="1"/>
  <c r="B34" i="17" s="1"/>
  <c r="B35" i="17" s="1"/>
  <c r="B36" i="17" s="1"/>
  <c r="B37" i="17" s="1"/>
  <c r="B38" i="17" s="1"/>
  <c r="B39" i="17" s="1"/>
  <c r="B40" i="17" s="1"/>
  <c r="B41" i="17" s="1"/>
  <c r="B42" i="17" s="1"/>
  <c r="B43" i="17" s="1"/>
  <c r="B44" i="17" s="1"/>
  <c r="B45" i="17" s="1"/>
  <c r="B46" i="17" s="1"/>
  <c r="B47" i="17" s="1"/>
  <c r="B48" i="17" s="1"/>
  <c r="B49" i="17" s="1"/>
  <c r="B50" i="17" s="1"/>
  <c r="B51" i="17" s="1"/>
  <c r="B52" i="17" s="1"/>
  <c r="B53" i="17" s="1"/>
  <c r="B54" i="17" s="1"/>
  <c r="B55" i="17" s="1"/>
  <c r="B56" i="17" s="1"/>
  <c r="B57" i="17" s="1"/>
  <c r="B58" i="17" s="1"/>
  <c r="B59" i="17" s="1"/>
  <c r="B60" i="17" s="1"/>
  <c r="B61" i="17" s="1"/>
  <c r="B62" i="17" s="1"/>
  <c r="B63" i="17" s="1"/>
  <c r="D4" i="17"/>
  <c r="D5" i="17" s="1"/>
  <c r="D6" i="17" s="1"/>
  <c r="C4" i="17"/>
  <c r="C5" i="17" s="1"/>
  <c r="C6" i="17" s="1"/>
  <c r="C7" i="17" s="1"/>
  <c r="C8" i="17" s="1"/>
  <c r="C9" i="17" s="1"/>
  <c r="C10" i="17" s="1"/>
  <c r="C11" i="17" s="1"/>
  <c r="C12" i="17" s="1"/>
  <c r="C13" i="17" s="1"/>
  <c r="C14" i="17" s="1"/>
  <c r="C15" i="17" s="1"/>
  <c r="C16" i="17" s="1"/>
  <c r="C17" i="17" s="1"/>
  <c r="C18" i="17" s="1"/>
  <c r="C19" i="17" s="1"/>
  <c r="C20" i="17" s="1"/>
  <c r="C21" i="17" s="1"/>
  <c r="C22" i="17" s="1"/>
  <c r="C23" i="17" s="1"/>
  <c r="C24" i="17" s="1"/>
  <c r="C25" i="17" s="1"/>
  <c r="C26" i="17" s="1"/>
  <c r="C27" i="17" s="1"/>
  <c r="C28" i="17" s="1"/>
  <c r="C29" i="17" s="1"/>
  <c r="C30" i="17" s="1"/>
  <c r="C31" i="17" s="1"/>
  <c r="C32" i="17" s="1"/>
  <c r="C33" i="17" s="1"/>
  <c r="C34" i="17" s="1"/>
  <c r="C35" i="17" s="1"/>
  <c r="C36" i="17" s="1"/>
  <c r="C37" i="17" s="1"/>
  <c r="C38" i="17" s="1"/>
  <c r="C39" i="17" s="1"/>
  <c r="C40" i="17" s="1"/>
  <c r="C41" i="17" s="1"/>
  <c r="C42" i="17" s="1"/>
  <c r="C43" i="17" s="1"/>
  <c r="C44" i="17" s="1"/>
  <c r="C45" i="17" s="1"/>
  <c r="C46" i="17" s="1"/>
  <c r="C47" i="17" s="1"/>
  <c r="C48" i="17" s="1"/>
  <c r="C49" i="17" s="1"/>
  <c r="C50" i="17" s="1"/>
  <c r="C51" i="17" s="1"/>
  <c r="C52" i="17" s="1"/>
  <c r="C53" i="17" s="1"/>
  <c r="C54" i="17" s="1"/>
  <c r="C55" i="17" s="1"/>
  <c r="C56" i="17" s="1"/>
  <c r="C57" i="17" s="1"/>
  <c r="C58" i="17" s="1"/>
  <c r="C59" i="17" s="1"/>
  <c r="C60" i="17" s="1"/>
  <c r="C61" i="17" s="1"/>
  <c r="C62" i="17" s="1"/>
  <c r="C63" i="17" s="1"/>
  <c r="D7" i="17" l="1"/>
  <c r="D8" i="17" s="1"/>
  <c r="D9" i="17" s="1"/>
  <c r="D10" i="17" s="1"/>
  <c r="D11" i="17" s="1"/>
  <c r="D12" i="17" s="1"/>
  <c r="L22" i="15"/>
  <c r="H13" i="16"/>
  <c r="F13" i="16"/>
  <c r="C5" i="16"/>
  <c r="E5" i="16" s="1"/>
  <c r="G5" i="16" s="1"/>
  <c r="E3" i="16"/>
  <c r="G3" i="16" s="1"/>
  <c r="E2" i="16"/>
  <c r="F2" i="16" s="1"/>
  <c r="G104" i="15"/>
  <c r="G105" i="15" s="1"/>
  <c r="K21" i="15"/>
  <c r="J21" i="15"/>
  <c r="G21" i="15"/>
  <c r="E21" i="15"/>
  <c r="K20" i="15"/>
  <c r="J20" i="15"/>
  <c r="G20" i="15"/>
  <c r="E20" i="15"/>
  <c r="C20" i="15"/>
  <c r="K19" i="15"/>
  <c r="J19" i="15"/>
  <c r="G19" i="15"/>
  <c r="E19" i="15"/>
  <c r="C19" i="15"/>
  <c r="K18" i="15"/>
  <c r="J18" i="15"/>
  <c r="G18" i="15"/>
  <c r="C18" i="15"/>
  <c r="J17" i="15"/>
  <c r="L17" i="15" s="1"/>
  <c r="G17" i="15"/>
  <c r="J16" i="15"/>
  <c r="L16" i="15" s="1"/>
  <c r="D16" i="15"/>
  <c r="C16" i="15"/>
  <c r="L15" i="15"/>
  <c r="J15" i="15"/>
  <c r="D15" i="15"/>
  <c r="G15" i="15" s="1"/>
  <c r="C15" i="15"/>
  <c r="A15" i="15"/>
  <c r="A16" i="15" s="1"/>
  <c r="L14" i="15"/>
  <c r="M14" i="15" s="1"/>
  <c r="I14" i="15"/>
  <c r="D14" i="15"/>
  <c r="G14" i="15" s="1"/>
  <c r="C14" i="15"/>
  <c r="G13" i="15"/>
  <c r="C13" i="15"/>
  <c r="G12" i="15"/>
  <c r="C12" i="15"/>
  <c r="M11" i="15"/>
  <c r="D11" i="15"/>
  <c r="G11" i="15" s="1"/>
  <c r="C11" i="15"/>
  <c r="M10" i="15"/>
  <c r="G10" i="15"/>
  <c r="E10" i="15"/>
  <c r="M9" i="15"/>
  <c r="G9" i="15"/>
  <c r="E9" i="15"/>
  <c r="M8" i="15"/>
  <c r="G8" i="15"/>
  <c r="E8" i="15"/>
  <c r="M7" i="15"/>
  <c r="G7" i="15"/>
  <c r="E7" i="15"/>
  <c r="M6" i="15"/>
  <c r="G6" i="15"/>
  <c r="E6" i="15"/>
  <c r="M5" i="15"/>
  <c r="G5" i="15"/>
  <c r="M4" i="15"/>
  <c r="D4" i="15"/>
  <c r="E4" i="15" s="1"/>
  <c r="M3" i="15"/>
  <c r="G3" i="15"/>
  <c r="D2" i="15"/>
  <c r="G2" i="15" s="1"/>
  <c r="G40" i="14"/>
  <c r="G39" i="14"/>
  <c r="G38" i="14"/>
  <c r="G37" i="14"/>
  <c r="G36" i="14"/>
  <c r="G35" i="14"/>
  <c r="G34" i="14"/>
  <c r="G33" i="14"/>
  <c r="C33" i="14"/>
  <c r="G32" i="14"/>
  <c r="G31" i="14"/>
  <c r="G30" i="14"/>
  <c r="G29" i="14"/>
  <c r="C29" i="14"/>
  <c r="G28" i="14"/>
  <c r="C28" i="14"/>
  <c r="G27" i="14"/>
  <c r="G26" i="14"/>
  <c r="G25" i="14"/>
  <c r="G24" i="14"/>
  <c r="G23" i="14"/>
  <c r="C23" i="14"/>
  <c r="G22" i="14"/>
  <c r="G21" i="14"/>
  <c r="E20" i="14"/>
  <c r="M17" i="15" l="1"/>
  <c r="M16" i="15"/>
  <c r="E4" i="16"/>
  <c r="F4" i="16" s="1"/>
  <c r="E5" i="15"/>
  <c r="I15" i="15"/>
  <c r="L19" i="15"/>
  <c r="L20" i="15"/>
  <c r="G4" i="15"/>
  <c r="F14" i="16"/>
  <c r="G15" i="16" s="1"/>
  <c r="L21" i="15"/>
  <c r="M15" i="15"/>
  <c r="L18" i="15"/>
  <c r="D13" i="17"/>
  <c r="D14" i="17" s="1"/>
  <c r="D15" i="17" s="1"/>
  <c r="D16" i="17" s="1"/>
  <c r="D17" i="17" s="1"/>
  <c r="D18" i="17" s="1"/>
  <c r="D19" i="17" s="1"/>
  <c r="D20" i="17" s="1"/>
  <c r="D21" i="17" s="1"/>
  <c r="D22" i="17" s="1"/>
  <c r="D23" i="17" s="1"/>
  <c r="D24" i="17" s="1"/>
  <c r="D25" i="17" s="1"/>
  <c r="D26" i="17" s="1"/>
  <c r="D27" i="17" s="1"/>
  <c r="D28" i="17" s="1"/>
  <c r="D29" i="17" s="1"/>
  <c r="D30" i="17" s="1"/>
  <c r="D31" i="17" s="1"/>
  <c r="D32" i="17" s="1"/>
  <c r="D33" i="17" s="1"/>
  <c r="D34" i="17" s="1"/>
  <c r="D35" i="17" s="1"/>
  <c r="D36" i="17" s="1"/>
  <c r="D37" i="17" s="1"/>
  <c r="D38" i="17" s="1"/>
  <c r="D39" i="17" s="1"/>
  <c r="D40" i="17" s="1"/>
  <c r="D41" i="17" s="1"/>
  <c r="D42" i="17" s="1"/>
  <c r="D43" i="17" s="1"/>
  <c r="D44" i="17" s="1"/>
  <c r="D45" i="17" s="1"/>
  <c r="D46" i="17" s="1"/>
  <c r="D47" i="17" s="1"/>
  <c r="D48" i="17" s="1"/>
  <c r="D49" i="17" s="1"/>
  <c r="D50" i="17" s="1"/>
  <c r="D51" i="17" s="1"/>
  <c r="D52" i="17" s="1"/>
  <c r="D53" i="17" s="1"/>
  <c r="D54" i="17" s="1"/>
  <c r="D55" i="17" s="1"/>
  <c r="D56" i="17" s="1"/>
  <c r="D57" i="17" s="1"/>
  <c r="D58" i="17" s="1"/>
  <c r="D59" i="17" s="1"/>
  <c r="D60" i="17" s="1"/>
  <c r="D61" i="17" s="1"/>
  <c r="D62" i="17" s="1"/>
  <c r="D63" i="17" s="1"/>
  <c r="L23" i="15"/>
  <c r="M23" i="15" s="1"/>
  <c r="C30" i="14"/>
  <c r="F6" i="16"/>
  <c r="E16" i="15"/>
  <c r="G16" i="15"/>
  <c r="G45" i="14"/>
  <c r="E19" i="14" s="1"/>
  <c r="B6" i="14" s="1"/>
  <c r="C24" i="15" s="1"/>
  <c r="F15" i="16"/>
  <c r="G6" i="16"/>
  <c r="I16" i="15"/>
  <c r="A17" i="15"/>
  <c r="E3" i="15"/>
  <c r="E11" i="15"/>
  <c r="E14" i="15"/>
  <c r="E15" i="15"/>
  <c r="E17" i="15"/>
  <c r="B502" i="2"/>
  <c r="F500" i="2"/>
  <c r="E500" i="2"/>
  <c r="D500" i="2"/>
  <c r="B500" i="2"/>
  <c r="B482" i="2"/>
  <c r="F480" i="2"/>
  <c r="E480" i="2"/>
  <c r="D480" i="2"/>
  <c r="B480" i="2"/>
  <c r="B462" i="2"/>
  <c r="F460" i="2"/>
  <c r="E460" i="2"/>
  <c r="D460" i="2"/>
  <c r="B460" i="2"/>
  <c r="B442" i="2"/>
  <c r="F440" i="2"/>
  <c r="E440" i="2"/>
  <c r="D440" i="2"/>
  <c r="B440" i="2"/>
  <c r="B422" i="2"/>
  <c r="F420" i="2"/>
  <c r="E420" i="2"/>
  <c r="D420" i="2"/>
  <c r="B420" i="2"/>
  <c r="B402" i="2"/>
  <c r="F400" i="2"/>
  <c r="E400" i="2"/>
  <c r="D400" i="2"/>
  <c r="B400" i="2"/>
  <c r="B382" i="2"/>
  <c r="F380" i="2"/>
  <c r="E380" i="2"/>
  <c r="D380" i="2"/>
  <c r="B380" i="2"/>
  <c r="B362" i="2"/>
  <c r="F360" i="2"/>
  <c r="E360" i="2"/>
  <c r="D360" i="2"/>
  <c r="B360" i="2"/>
  <c r="B342" i="2"/>
  <c r="F340" i="2"/>
  <c r="E340" i="2"/>
  <c r="D340" i="2"/>
  <c r="B340" i="2"/>
  <c r="B322" i="2"/>
  <c r="F320" i="2"/>
  <c r="E320" i="2"/>
  <c r="D320" i="2"/>
  <c r="B320" i="2"/>
  <c r="B302" i="2"/>
  <c r="F300" i="2"/>
  <c r="E300" i="2"/>
  <c r="D300" i="2"/>
  <c r="B300" i="2"/>
  <c r="B282" i="2"/>
  <c r="F280" i="2"/>
  <c r="E280" i="2"/>
  <c r="D280" i="2"/>
  <c r="B280" i="2"/>
  <c r="B262" i="2"/>
  <c r="F260" i="2"/>
  <c r="E260" i="2"/>
  <c r="D260" i="2"/>
  <c r="B260" i="2"/>
  <c r="B242" i="2"/>
  <c r="F240" i="2"/>
  <c r="E240" i="2"/>
  <c r="D240" i="2"/>
  <c r="B240" i="2"/>
  <c r="B222" i="2"/>
  <c r="F220" i="2"/>
  <c r="E220" i="2"/>
  <c r="B220" i="2"/>
  <c r="D220" i="2"/>
  <c r="B202" i="2"/>
  <c r="F200" i="2"/>
  <c r="E200" i="2"/>
  <c r="D200" i="2"/>
  <c r="B200" i="2"/>
  <c r="B182" i="2"/>
  <c r="F180" i="2"/>
  <c r="E180" i="2"/>
  <c r="D180" i="2"/>
  <c r="B180" i="2"/>
  <c r="B162" i="2"/>
  <c r="F160" i="2"/>
  <c r="E160" i="2"/>
  <c r="D160" i="2"/>
  <c r="B160" i="2"/>
  <c r="B142" i="2"/>
  <c r="F140" i="2"/>
  <c r="E140" i="2"/>
  <c r="D140" i="2"/>
  <c r="B127" i="2"/>
  <c r="B140" i="2" s="1"/>
  <c r="B122" i="2"/>
  <c r="F120" i="2"/>
  <c r="E120" i="2"/>
  <c r="D120" i="2"/>
  <c r="B120" i="2"/>
  <c r="B102" i="2"/>
  <c r="F100" i="2"/>
  <c r="E100" i="2"/>
  <c r="B100" i="2"/>
  <c r="D100" i="2"/>
  <c r="B82" i="2"/>
  <c r="F80" i="2"/>
  <c r="E80" i="2"/>
  <c r="B80" i="2"/>
  <c r="D80" i="2"/>
  <c r="B62" i="2"/>
  <c r="F60" i="2"/>
  <c r="E60" i="2"/>
  <c r="B60" i="2"/>
  <c r="D60" i="2"/>
  <c r="B42" i="2"/>
  <c r="F40" i="2"/>
  <c r="E40" i="2"/>
  <c r="D40" i="2"/>
  <c r="B40" i="2"/>
  <c r="B22" i="2"/>
  <c r="F20" i="2"/>
  <c r="E20" i="2"/>
  <c r="D20" i="2"/>
  <c r="B20" i="2"/>
  <c r="B2" i="2"/>
  <c r="M21" i="15" l="1"/>
  <c r="M20" i="15"/>
  <c r="M19" i="15"/>
  <c r="M18" i="15"/>
  <c r="M22" i="15"/>
  <c r="M83" i="15"/>
  <c r="E8" i="14"/>
  <c r="C83" i="15"/>
  <c r="I17" i="15"/>
  <c r="A18" i="15"/>
  <c r="K19" i="2"/>
  <c r="C5" i="1" l="1"/>
  <c r="L20" i="2"/>
  <c r="B14" i="14"/>
  <c r="L6" i="14"/>
  <c r="E9" i="14"/>
  <c r="E10" i="14" s="1"/>
  <c r="E11" i="14" s="1"/>
  <c r="B13" i="14" s="1"/>
  <c r="I18" i="15"/>
  <c r="A19" i="15"/>
  <c r="G23" i="15" l="1"/>
  <c r="D24" i="15"/>
  <c r="E24" i="15" s="1"/>
  <c r="E23" i="15"/>
  <c r="B15" i="14"/>
  <c r="K6" i="14" s="1"/>
  <c r="L7" i="14" s="1"/>
  <c r="K7" i="14" s="1"/>
  <c r="L8" i="14" s="1"/>
  <c r="M8" i="14" s="1"/>
  <c r="M6" i="14"/>
  <c r="G22" i="15"/>
  <c r="E17" i="14"/>
  <c r="A20" i="15"/>
  <c r="I19" i="15"/>
  <c r="G85" i="15" l="1"/>
  <c r="M7" i="14"/>
  <c r="E22" i="15"/>
  <c r="E83" i="15" s="1"/>
  <c r="D83" i="15"/>
  <c r="I20" i="15"/>
  <c r="A21" i="15"/>
  <c r="K8" i="14"/>
  <c r="I21" i="15" l="1"/>
  <c r="A22" i="15"/>
  <c r="L9" i="14"/>
  <c r="A23" i="15" l="1"/>
  <c r="I22" i="15"/>
  <c r="M9" i="14"/>
  <c r="K9" i="14"/>
  <c r="A24" i="15" l="1"/>
  <c r="I23" i="15"/>
  <c r="L10" i="14"/>
  <c r="A25" i="15" l="1"/>
  <c r="I24" i="15"/>
  <c r="M10" i="14"/>
  <c r="K10" i="14"/>
  <c r="A26" i="15" l="1"/>
  <c r="I25" i="15"/>
  <c r="L11" i="14"/>
  <c r="K11" i="14" s="1"/>
  <c r="A27" i="15" l="1"/>
  <c r="I26" i="15"/>
  <c r="B23" i="14"/>
  <c r="C34" i="14"/>
  <c r="C35" i="14" s="1"/>
  <c r="M11" i="14"/>
  <c r="M13" i="14" s="1"/>
  <c r="L13" i="14"/>
  <c r="B22" i="14"/>
  <c r="C22" i="14" s="1"/>
  <c r="A28" i="15" l="1"/>
  <c r="I27" i="15"/>
  <c r="AV22" i="1"/>
  <c r="A29" i="15" l="1"/>
  <c r="I28" i="15"/>
  <c r="A30" i="15" l="1"/>
  <c r="I29" i="15"/>
  <c r="A31" i="15" l="1"/>
  <c r="I30" i="15"/>
  <c r="A32" i="15" l="1"/>
  <c r="I31" i="15"/>
  <c r="A33" i="15" l="1"/>
  <c r="I32" i="15"/>
  <c r="A34" i="15" l="1"/>
  <c r="I33" i="15"/>
  <c r="A35" i="15" l="1"/>
  <c r="I34" i="15"/>
  <c r="A36" i="15" l="1"/>
  <c r="I35" i="15"/>
  <c r="A37" i="15" l="1"/>
  <c r="I36" i="15"/>
  <c r="A38" i="15" l="1"/>
  <c r="I37" i="15"/>
  <c r="A39" i="15" l="1"/>
  <c r="I38" i="15"/>
  <c r="A40" i="15" l="1"/>
  <c r="I39" i="15"/>
  <c r="AW42" i="1"/>
  <c r="AV40" i="1"/>
  <c r="AV39" i="1"/>
  <c r="AW37" i="1"/>
  <c r="AV36" i="1"/>
  <c r="AW35" i="1"/>
  <c r="AV35" i="1"/>
  <c r="AV33" i="1"/>
  <c r="AV32" i="1"/>
  <c r="AW31" i="1"/>
  <c r="AW28" i="1"/>
  <c r="AV28" i="1"/>
  <c r="AV26" i="1"/>
  <c r="AW25" i="1"/>
  <c r="AV25" i="1"/>
  <c r="AV21" i="1"/>
  <c r="AW20" i="1"/>
  <c r="AV20" i="1"/>
  <c r="AV23" i="1"/>
  <c r="AV24" i="1"/>
  <c r="AW24" i="1"/>
  <c r="AV27" i="1"/>
  <c r="AW27" i="1"/>
  <c r="AV29" i="1"/>
  <c r="AW29" i="1"/>
  <c r="AV30" i="1"/>
  <c r="AW30" i="1"/>
  <c r="AV31" i="1"/>
  <c r="AW32" i="1"/>
  <c r="AW33" i="1"/>
  <c r="AV34" i="1"/>
  <c r="AW36" i="1"/>
  <c r="AV37" i="1"/>
  <c r="AV38" i="1"/>
  <c r="AW38" i="1"/>
  <c r="AW39" i="1"/>
  <c r="AW41" i="1"/>
  <c r="AV42" i="1"/>
  <c r="AV43" i="1"/>
  <c r="AV44" i="1"/>
  <c r="AW44" i="1"/>
  <c r="AV45" i="1"/>
  <c r="AW45" i="1"/>
  <c r="AU17" i="1"/>
  <c r="A41" i="15" l="1"/>
  <c r="I40" i="15"/>
  <c r="AW21" i="1"/>
  <c r="AW40" i="1"/>
  <c r="AW26" i="1"/>
  <c r="AW34" i="1"/>
  <c r="AW43" i="1"/>
  <c r="AW22" i="1"/>
  <c r="AW50" i="1" s="1"/>
  <c r="AW23" i="1"/>
  <c r="A42" i="15" l="1"/>
  <c r="I41" i="15"/>
  <c r="AW46" i="1"/>
  <c r="AW47" i="1" s="1"/>
  <c r="A43" i="15" l="1"/>
  <c r="I42" i="15"/>
  <c r="A44" i="15" l="1"/>
  <c r="I43" i="15"/>
  <c r="A45" i="15" l="1"/>
  <c r="I44" i="15"/>
  <c r="A46" i="15" l="1"/>
  <c r="I45" i="15"/>
  <c r="A47" i="15" l="1"/>
  <c r="I46" i="15"/>
  <c r="A48" i="15" l="1"/>
  <c r="I47" i="15"/>
  <c r="A49" i="15" l="1"/>
  <c r="I48" i="15"/>
  <c r="A50" i="15" l="1"/>
  <c r="I49" i="15"/>
  <c r="AS43" i="1"/>
  <c r="AS42" i="1"/>
  <c r="AR42" i="1"/>
  <c r="AS40" i="1"/>
  <c r="AS38" i="1"/>
  <c r="AR38" i="1"/>
  <c r="AR36" i="1"/>
  <c r="AR35" i="1"/>
  <c r="AS35" i="1"/>
  <c r="AR32" i="1"/>
  <c r="AR30" i="1"/>
  <c r="AS30" i="1"/>
  <c r="AS28" i="1"/>
  <c r="AR27" i="1"/>
  <c r="AS27" i="1"/>
  <c r="AS26" i="1"/>
  <c r="AR26" i="1"/>
  <c r="AS25" i="1"/>
  <c r="AR25" i="1"/>
  <c r="AR23" i="1"/>
  <c r="AR22" i="1"/>
  <c r="AR21" i="1"/>
  <c r="AS20" i="1"/>
  <c r="AR20" i="1"/>
  <c r="AR24" i="1"/>
  <c r="AR28" i="1"/>
  <c r="AR29" i="1"/>
  <c r="AS29" i="1"/>
  <c r="AR31" i="1"/>
  <c r="AS32" i="1"/>
  <c r="AR33" i="1"/>
  <c r="AS33" i="1"/>
  <c r="AR34" i="1"/>
  <c r="AS36" i="1"/>
  <c r="AR37" i="1"/>
  <c r="AS37" i="1"/>
  <c r="AR39" i="1"/>
  <c r="AS39" i="1"/>
  <c r="AR40" i="1"/>
  <c r="AS41" i="1"/>
  <c r="AR43" i="1"/>
  <c r="AR44" i="1"/>
  <c r="AS44" i="1"/>
  <c r="AR45" i="1"/>
  <c r="AS45" i="1"/>
  <c r="A51" i="15" l="1"/>
  <c r="I50" i="15"/>
  <c r="AS24" i="1"/>
  <c r="AS22" i="1"/>
  <c r="AS50" i="1" s="1"/>
  <c r="AS31" i="1"/>
  <c r="AS34" i="1"/>
  <c r="AS23" i="1"/>
  <c r="AS21" i="1"/>
  <c r="A52" i="15" l="1"/>
  <c r="I51" i="15"/>
  <c r="A53" i="15" l="1"/>
  <c r="I52" i="15"/>
  <c r="A54" i="15" l="1"/>
  <c r="I53" i="15"/>
  <c r="A55" i="15" l="1"/>
  <c r="I54" i="15"/>
  <c r="A56" i="15" l="1"/>
  <c r="I55" i="15"/>
  <c r="A57" i="15" l="1"/>
  <c r="I56" i="15"/>
  <c r="A58" i="15" l="1"/>
  <c r="I57" i="15"/>
  <c r="A59" i="15" l="1"/>
  <c r="I58" i="15"/>
  <c r="A60" i="15" l="1"/>
  <c r="I59" i="15"/>
  <c r="A61" i="15" l="1"/>
  <c r="I60" i="15"/>
  <c r="A62" i="15" l="1"/>
  <c r="I61" i="15"/>
  <c r="I62" i="15" l="1"/>
  <c r="A63" i="15"/>
  <c r="AN24" i="1"/>
  <c r="AN26" i="1"/>
  <c r="AN27" i="1"/>
  <c r="AN28" i="1"/>
  <c r="AO28" i="1"/>
  <c r="AN30" i="1"/>
  <c r="AN31" i="1"/>
  <c r="AN33" i="1"/>
  <c r="AO33" i="1"/>
  <c r="AO34" i="1"/>
  <c r="AN36" i="1"/>
  <c r="AN37" i="1"/>
  <c r="AO39" i="1"/>
  <c r="AN40" i="1"/>
  <c r="AO41" i="1"/>
  <c r="AN44" i="1"/>
  <c r="AO44" i="1"/>
  <c r="AN45" i="1"/>
  <c r="AO45" i="1"/>
  <c r="A64" i="15" l="1"/>
  <c r="I63" i="15"/>
  <c r="AO43" i="1"/>
  <c r="AN43" i="1"/>
  <c r="AN42" i="1"/>
  <c r="AO40" i="1"/>
  <c r="AN39" i="1"/>
  <c r="AO38" i="1"/>
  <c r="AN38" i="1"/>
  <c r="AO37" i="1"/>
  <c r="AO36" i="1"/>
  <c r="AO35" i="1"/>
  <c r="AN35" i="1"/>
  <c r="AN34" i="1"/>
  <c r="AO32" i="1"/>
  <c r="AN32" i="1"/>
  <c r="AO31" i="1"/>
  <c r="AO30" i="1"/>
  <c r="AO29" i="1"/>
  <c r="AN29" i="1"/>
  <c r="AO27" i="1"/>
  <c r="AO26" i="1"/>
  <c r="AO25" i="1"/>
  <c r="AN25" i="1"/>
  <c r="AO24" i="1"/>
  <c r="AN23" i="1"/>
  <c r="AN22" i="1"/>
  <c r="AN21" i="1"/>
  <c r="AO20" i="1"/>
  <c r="AN20" i="1"/>
  <c r="S17" i="1"/>
  <c r="W17" i="1"/>
  <c r="B426" i="7" s="1"/>
  <c r="AA17" i="1"/>
  <c r="B426" i="8" s="1"/>
  <c r="AE17" i="1"/>
  <c r="AI17" i="1"/>
  <c r="B426" i="10" s="1"/>
  <c r="AM17" i="1"/>
  <c r="AQ17" i="1"/>
  <c r="O17" i="1"/>
  <c r="K17" i="1"/>
  <c r="G17" i="1"/>
  <c r="C17" i="1"/>
  <c r="A65" i="15" l="1"/>
  <c r="I64" i="15"/>
  <c r="B440" i="11"/>
  <c r="AN41" i="1" s="1"/>
  <c r="B426" i="9"/>
  <c r="B440" i="9" s="1"/>
  <c r="AF41" i="1" s="1"/>
  <c r="B440" i="10"/>
  <c r="B426" i="13"/>
  <c r="B440" i="13" s="1"/>
  <c r="AV41" i="1" s="1"/>
  <c r="AV46" i="1" s="1"/>
  <c r="AV47" i="1" s="1"/>
  <c r="AR41" i="1"/>
  <c r="B440" i="8"/>
  <c r="B440" i="7"/>
  <c r="AO21" i="1"/>
  <c r="AO46" i="1" s="1"/>
  <c r="AO22" i="1"/>
  <c r="AO50" i="1" s="1"/>
  <c r="AO42" i="1"/>
  <c r="AO23" i="1"/>
  <c r="A66" i="15" l="1"/>
  <c r="I65" i="15"/>
  <c r="AJ43" i="1"/>
  <c r="AJ42" i="1"/>
  <c r="AJ41" i="1"/>
  <c r="AK40" i="1"/>
  <c r="AJ39" i="1"/>
  <c r="AK38" i="1"/>
  <c r="AK37" i="1"/>
  <c r="AJ36" i="1"/>
  <c r="AJ35" i="1"/>
  <c r="AK33" i="1"/>
  <c r="AJ32" i="1"/>
  <c r="AK30" i="1"/>
  <c r="AK29" i="1"/>
  <c r="AK28" i="1"/>
  <c r="AK26" i="1"/>
  <c r="AJ26" i="1"/>
  <c r="AK25" i="1"/>
  <c r="AK24" i="1"/>
  <c r="AJ23" i="1"/>
  <c r="AK23" i="1"/>
  <c r="AK22" i="1"/>
  <c r="AK50" i="1" s="1"/>
  <c r="AJ22" i="1"/>
  <c r="AJ21" i="1"/>
  <c r="AK20" i="1"/>
  <c r="AJ20" i="1"/>
  <c r="AJ24" i="1"/>
  <c r="AJ25" i="1"/>
  <c r="AJ27" i="1"/>
  <c r="AJ28" i="1"/>
  <c r="AJ29" i="1"/>
  <c r="AJ30" i="1"/>
  <c r="AJ31" i="1"/>
  <c r="AK32" i="1"/>
  <c r="AJ33" i="1"/>
  <c r="AJ34" i="1"/>
  <c r="AK35" i="1"/>
  <c r="AK36" i="1"/>
  <c r="AJ37" i="1"/>
  <c r="AJ38" i="1"/>
  <c r="AK39" i="1"/>
  <c r="AJ40" i="1"/>
  <c r="AK41" i="1"/>
  <c r="AJ44" i="1"/>
  <c r="AK44" i="1"/>
  <c r="AJ45" i="1"/>
  <c r="AK45" i="1"/>
  <c r="A67" i="15" l="1"/>
  <c r="I66" i="15"/>
  <c r="AK31" i="1"/>
  <c r="AK34" i="1"/>
  <c r="AK42" i="1"/>
  <c r="AK43" i="1"/>
  <c r="AK27" i="1"/>
  <c r="AK21" i="1"/>
  <c r="I67" i="15" l="1"/>
  <c r="A68" i="15"/>
  <c r="AK46" i="1"/>
  <c r="AK47" i="1" s="1"/>
  <c r="I68" i="15" l="1"/>
  <c r="A69" i="15"/>
  <c r="AF25" i="1"/>
  <c r="AF26" i="1"/>
  <c r="AF34" i="1"/>
  <c r="AG36" i="1"/>
  <c r="AF37" i="1"/>
  <c r="AG37" i="1"/>
  <c r="AG39" i="1"/>
  <c r="AF40" i="1"/>
  <c r="AG40" i="1"/>
  <c r="AF43" i="1"/>
  <c r="AF44" i="1"/>
  <c r="AG44" i="1"/>
  <c r="AF45" i="1"/>
  <c r="AG45" i="1"/>
  <c r="I69" i="15" l="1"/>
  <c r="A70" i="15"/>
  <c r="AG42" i="1"/>
  <c r="AF42" i="1"/>
  <c r="AG41" i="1"/>
  <c r="AF39" i="1"/>
  <c r="AG38" i="1"/>
  <c r="AF38" i="1"/>
  <c r="AF36" i="1"/>
  <c r="AF35" i="1"/>
  <c r="AG35" i="1"/>
  <c r="AG33" i="1"/>
  <c r="AF33" i="1"/>
  <c r="AF32" i="1"/>
  <c r="AF31" i="1"/>
  <c r="AG30" i="1"/>
  <c r="AF30" i="1"/>
  <c r="AF29" i="1"/>
  <c r="AG29" i="1"/>
  <c r="AF28" i="1"/>
  <c r="AG27" i="1"/>
  <c r="AF27" i="1"/>
  <c r="AG26" i="1"/>
  <c r="AG25" i="1"/>
  <c r="AF24" i="1"/>
  <c r="AG24" i="1"/>
  <c r="AG23" i="1"/>
  <c r="AF23" i="1"/>
  <c r="AF22" i="1"/>
  <c r="AF21" i="1"/>
  <c r="AG20" i="1"/>
  <c r="AF20" i="1"/>
  <c r="I70" i="15" l="1"/>
  <c r="A71" i="15"/>
  <c r="AG28" i="1"/>
  <c r="AG22" i="1"/>
  <c r="AG50" i="1" s="1"/>
  <c r="AG43" i="1"/>
  <c r="AG31" i="1"/>
  <c r="AG34" i="1"/>
  <c r="AG32" i="1"/>
  <c r="AG21" i="1"/>
  <c r="I71" i="15" l="1"/>
  <c r="A72" i="15"/>
  <c r="AG46" i="1"/>
  <c r="AG47" i="1" s="1"/>
  <c r="AC43" i="1"/>
  <c r="AB43" i="1"/>
  <c r="AB42" i="1"/>
  <c r="AC41" i="1"/>
  <c r="AB41" i="1"/>
  <c r="AC40" i="1"/>
  <c r="AB39" i="1"/>
  <c r="AC38" i="1"/>
  <c r="AB36" i="1"/>
  <c r="AC35" i="1"/>
  <c r="AB35" i="1"/>
  <c r="AB34" i="1"/>
  <c r="AB33" i="1"/>
  <c r="AB31" i="1"/>
  <c r="AC30" i="1"/>
  <c r="AB30" i="1"/>
  <c r="AC29" i="1"/>
  <c r="AB28" i="1"/>
  <c r="AC27" i="1"/>
  <c r="AC26" i="1"/>
  <c r="AB26" i="1"/>
  <c r="AC25" i="1"/>
  <c r="AB25" i="1"/>
  <c r="AB23" i="1"/>
  <c r="AB22" i="1"/>
  <c r="AC22" i="1"/>
  <c r="AC50" i="1" s="1"/>
  <c r="AC21" i="1"/>
  <c r="AB21" i="1"/>
  <c r="AB20" i="1"/>
  <c r="AB24" i="1"/>
  <c r="AB27" i="1"/>
  <c r="AC28" i="1"/>
  <c r="AB29" i="1"/>
  <c r="AB32" i="1"/>
  <c r="AC33" i="1"/>
  <c r="AC36" i="1"/>
  <c r="AB37" i="1"/>
  <c r="AC37" i="1"/>
  <c r="AB38" i="1"/>
  <c r="AC39" i="1"/>
  <c r="AB40" i="1"/>
  <c r="AC42" i="1"/>
  <c r="AB44" i="1"/>
  <c r="AC44" i="1"/>
  <c r="AB45" i="1"/>
  <c r="AC45" i="1"/>
  <c r="I72" i="15" l="1"/>
  <c r="A73" i="15"/>
  <c r="AC31" i="1"/>
  <c r="AC23" i="1"/>
  <c r="AC24" i="1"/>
  <c r="AC20" i="1"/>
  <c r="AC32" i="1"/>
  <c r="AC34" i="1"/>
  <c r="A74" i="15" l="1"/>
  <c r="I73" i="15"/>
  <c r="AC46" i="1"/>
  <c r="AC47" i="1" s="1"/>
  <c r="AS46" i="1"/>
  <c r="AS47" i="1" s="1"/>
  <c r="AO47" i="1"/>
  <c r="AF46" i="1"/>
  <c r="AF47" i="1" s="1"/>
  <c r="AB46" i="1"/>
  <c r="AB47" i="1" s="1"/>
  <c r="A75" i="15" l="1"/>
  <c r="I74" i="15"/>
  <c r="AR46" i="1"/>
  <c r="AR47" i="1" s="1"/>
  <c r="AN46" i="1"/>
  <c r="AN47" i="1" s="1"/>
  <c r="AJ46" i="1"/>
  <c r="AJ47" i="1" s="1"/>
  <c r="A76" i="15" l="1"/>
  <c r="I75" i="15"/>
  <c r="I33" i="1"/>
  <c r="X26" i="1"/>
  <c r="Y28" i="1"/>
  <c r="X29" i="1"/>
  <c r="X33" i="1"/>
  <c r="Y33" i="1"/>
  <c r="X36" i="1"/>
  <c r="Y36" i="1"/>
  <c r="Y37" i="1"/>
  <c r="X38" i="1"/>
  <c r="Y39" i="1"/>
  <c r="X40" i="1"/>
  <c r="Y40" i="1"/>
  <c r="Y41" i="1"/>
  <c r="X43" i="1"/>
  <c r="Y43" i="1"/>
  <c r="X44" i="1"/>
  <c r="Y44" i="1"/>
  <c r="X45" i="1"/>
  <c r="Y45" i="1"/>
  <c r="T20" i="1"/>
  <c r="U20" i="1"/>
  <c r="T21" i="1"/>
  <c r="U21" i="1"/>
  <c r="T22" i="1"/>
  <c r="U22" i="1"/>
  <c r="U50" i="1" s="1"/>
  <c r="T23" i="1"/>
  <c r="U23" i="1"/>
  <c r="T24" i="1"/>
  <c r="U24" i="1"/>
  <c r="T25" i="1"/>
  <c r="U25" i="1"/>
  <c r="T26" i="1"/>
  <c r="U26" i="1"/>
  <c r="T27" i="1"/>
  <c r="U27" i="1"/>
  <c r="T28" i="1"/>
  <c r="U28" i="1"/>
  <c r="T29" i="1"/>
  <c r="U29" i="1"/>
  <c r="T30" i="1"/>
  <c r="U30" i="1"/>
  <c r="T31" i="1"/>
  <c r="U31" i="1"/>
  <c r="T32" i="1"/>
  <c r="U32" i="1"/>
  <c r="T33" i="1"/>
  <c r="U33" i="1"/>
  <c r="T34" i="1"/>
  <c r="U34" i="1"/>
  <c r="T35" i="1"/>
  <c r="U35" i="1"/>
  <c r="T36" i="1"/>
  <c r="U36" i="1"/>
  <c r="T37" i="1"/>
  <c r="U37" i="1"/>
  <c r="T38" i="1"/>
  <c r="U38" i="1"/>
  <c r="T39" i="1"/>
  <c r="U39" i="1"/>
  <c r="T40" i="1"/>
  <c r="U40" i="1"/>
  <c r="T41" i="1"/>
  <c r="U41" i="1"/>
  <c r="T42" i="1"/>
  <c r="U42" i="1"/>
  <c r="T43" i="1"/>
  <c r="U43" i="1"/>
  <c r="T44" i="1"/>
  <c r="U44" i="1"/>
  <c r="T45" i="1"/>
  <c r="U45" i="1"/>
  <c r="P24" i="1"/>
  <c r="P25" i="1"/>
  <c r="P26" i="1"/>
  <c r="P27" i="1"/>
  <c r="P29" i="1"/>
  <c r="Q29" i="1"/>
  <c r="P33" i="1"/>
  <c r="Q33" i="1"/>
  <c r="P34" i="1"/>
  <c r="P36" i="1"/>
  <c r="Q36" i="1"/>
  <c r="P37" i="1"/>
  <c r="P38" i="1"/>
  <c r="P39" i="1"/>
  <c r="Q39" i="1"/>
  <c r="P40" i="1"/>
  <c r="Q41" i="1"/>
  <c r="P42" i="1"/>
  <c r="P43" i="1"/>
  <c r="Q43" i="1"/>
  <c r="P44" i="1"/>
  <c r="Q44" i="1"/>
  <c r="Q45" i="1"/>
  <c r="L20" i="1"/>
  <c r="L21" i="1"/>
  <c r="L25" i="1"/>
  <c r="L26" i="1"/>
  <c r="L27" i="1"/>
  <c r="L29" i="1"/>
  <c r="L30" i="1"/>
  <c r="L33" i="1"/>
  <c r="M33" i="1"/>
  <c r="L34" i="1"/>
  <c r="L36" i="1"/>
  <c r="M36" i="1"/>
  <c r="L37" i="1"/>
  <c r="L38" i="1"/>
  <c r="L39" i="1"/>
  <c r="M39" i="1"/>
  <c r="L40" i="1"/>
  <c r="M40" i="1"/>
  <c r="M41" i="1"/>
  <c r="L42" i="1"/>
  <c r="L43" i="1"/>
  <c r="M43" i="1"/>
  <c r="L44" i="1"/>
  <c r="M44" i="1"/>
  <c r="M45" i="1"/>
  <c r="H20" i="1"/>
  <c r="H21" i="1"/>
  <c r="H25" i="1"/>
  <c r="H26" i="1"/>
  <c r="H27" i="1"/>
  <c r="H28" i="1"/>
  <c r="I28" i="1"/>
  <c r="H29" i="1"/>
  <c r="H30" i="1"/>
  <c r="H31" i="1"/>
  <c r="H32" i="1"/>
  <c r="H33" i="1"/>
  <c r="H34" i="1"/>
  <c r="H36" i="1"/>
  <c r="I36" i="1"/>
  <c r="H37" i="1"/>
  <c r="I37" i="1"/>
  <c r="H38" i="1"/>
  <c r="I39" i="1"/>
  <c r="H40" i="1"/>
  <c r="I40" i="1"/>
  <c r="H41" i="1"/>
  <c r="H42" i="1"/>
  <c r="H43" i="1"/>
  <c r="I43" i="1"/>
  <c r="H44" i="1"/>
  <c r="I44" i="1"/>
  <c r="I45" i="1"/>
  <c r="A77" i="15" l="1"/>
  <c r="I76" i="15"/>
  <c r="AY36" i="1"/>
  <c r="U46" i="1"/>
  <c r="Y42" i="1"/>
  <c r="X42" i="1"/>
  <c r="X41" i="1"/>
  <c r="X39" i="1"/>
  <c r="X37" i="1"/>
  <c r="Y35" i="1"/>
  <c r="X35" i="1"/>
  <c r="X34" i="1"/>
  <c r="Y32" i="1"/>
  <c r="X32" i="1"/>
  <c r="Y31" i="1"/>
  <c r="X31" i="1"/>
  <c r="Y30" i="1"/>
  <c r="X30" i="1"/>
  <c r="Y29" i="1"/>
  <c r="X28" i="1"/>
  <c r="Y27" i="1"/>
  <c r="X27" i="1"/>
  <c r="Y26" i="1"/>
  <c r="Y25" i="1"/>
  <c r="X25" i="1"/>
  <c r="X24" i="1"/>
  <c r="Y23" i="1"/>
  <c r="X23" i="1"/>
  <c r="X22" i="1"/>
  <c r="Y21" i="1"/>
  <c r="X21" i="1"/>
  <c r="Y20" i="1"/>
  <c r="X20" i="1"/>
  <c r="Q42" i="1"/>
  <c r="P41" i="1"/>
  <c r="Q40" i="1"/>
  <c r="Q38" i="1"/>
  <c r="Q37" i="1"/>
  <c r="Q35" i="1"/>
  <c r="P35" i="1"/>
  <c r="Q34" i="1"/>
  <c r="Q32" i="1"/>
  <c r="P32" i="1"/>
  <c r="P31" i="1"/>
  <c r="Q30" i="1"/>
  <c r="P30" i="1"/>
  <c r="Q28" i="1"/>
  <c r="P28" i="1"/>
  <c r="Q27" i="1"/>
  <c r="Q26" i="1"/>
  <c r="Q25" i="1"/>
  <c r="Q24" i="1"/>
  <c r="P23" i="1"/>
  <c r="Q22" i="1"/>
  <c r="Q50" i="1" s="1"/>
  <c r="P22" i="1"/>
  <c r="Q21" i="1"/>
  <c r="P21" i="1"/>
  <c r="Q20" i="1"/>
  <c r="P20" i="1"/>
  <c r="L41" i="1"/>
  <c r="M38" i="1"/>
  <c r="M37" i="1"/>
  <c r="L35" i="1"/>
  <c r="L32" i="1"/>
  <c r="M31" i="1"/>
  <c r="L31" i="1"/>
  <c r="M29" i="1"/>
  <c r="M28" i="1"/>
  <c r="L28" i="1"/>
  <c r="M27" i="1"/>
  <c r="M26" i="1"/>
  <c r="M25" i="1"/>
  <c r="M24" i="1"/>
  <c r="L24" i="1"/>
  <c r="L23" i="1"/>
  <c r="L22" i="1"/>
  <c r="M21" i="1"/>
  <c r="M20" i="1"/>
  <c r="I42" i="1"/>
  <c r="I41" i="1"/>
  <c r="H39" i="1"/>
  <c r="H35" i="1"/>
  <c r="I34" i="1"/>
  <c r="I31" i="1"/>
  <c r="I30" i="1"/>
  <c r="I29" i="1"/>
  <c r="I27" i="1"/>
  <c r="I26" i="1"/>
  <c r="I25" i="1"/>
  <c r="I24" i="1"/>
  <c r="H24" i="1"/>
  <c r="H23" i="1"/>
  <c r="H22" i="1"/>
  <c r="I21" i="1"/>
  <c r="A78" i="15" l="1"/>
  <c r="I77" i="15"/>
  <c r="Y24" i="1"/>
  <c r="Y34" i="1"/>
  <c r="Y22" i="1"/>
  <c r="Y50" i="1" s="1"/>
  <c r="Y38" i="1"/>
  <c r="Q31" i="1"/>
  <c r="Q23" i="1"/>
  <c r="M34" i="1"/>
  <c r="M22" i="1"/>
  <c r="M50" i="1" s="1"/>
  <c r="M35" i="1"/>
  <c r="M32" i="1"/>
  <c r="M30" i="1"/>
  <c r="M23" i="1"/>
  <c r="M42" i="1"/>
  <c r="I32" i="1"/>
  <c r="I23" i="1"/>
  <c r="I38" i="1"/>
  <c r="I22" i="1"/>
  <c r="I50" i="1" s="1"/>
  <c r="I20" i="1"/>
  <c r="I35" i="1"/>
  <c r="U47" i="1"/>
  <c r="X46" i="1"/>
  <c r="X47" i="1" s="1"/>
  <c r="T46" i="1"/>
  <c r="T47" i="1" s="1"/>
  <c r="I78" i="15" l="1"/>
  <c r="A79" i="15"/>
  <c r="Y46" i="1"/>
  <c r="Y47" i="1" s="1"/>
  <c r="M46" i="1"/>
  <c r="M47" i="1" s="1"/>
  <c r="Q46" i="1"/>
  <c r="Q47" i="1" s="1"/>
  <c r="I46" i="1"/>
  <c r="I47" i="1" s="1"/>
  <c r="A80" i="15" l="1"/>
  <c r="I79" i="15"/>
  <c r="D45" i="1"/>
  <c r="E45" i="1"/>
  <c r="A81" i="15" l="1"/>
  <c r="I81" i="15" s="1"/>
  <c r="I80" i="15"/>
  <c r="F45" i="1"/>
  <c r="J45" i="1" s="1"/>
  <c r="N45" i="1" s="1"/>
  <c r="R45" i="1" s="1"/>
  <c r="V45" i="1" s="1"/>
  <c r="Z45" i="1" s="1"/>
  <c r="AD45" i="1" s="1"/>
  <c r="AH45" i="1" s="1"/>
  <c r="AL45" i="1" s="1"/>
  <c r="AP45" i="1" s="1"/>
  <c r="AT45" i="1" s="1"/>
  <c r="AX45" i="1" s="1"/>
  <c r="D44" i="1" l="1"/>
  <c r="D43" i="1"/>
  <c r="D42" i="1"/>
  <c r="D41" i="1"/>
  <c r="D38" i="1"/>
  <c r="D37" i="1"/>
  <c r="D36" i="1"/>
  <c r="D33" i="1"/>
  <c r="D31" i="1"/>
  <c r="D29" i="1"/>
  <c r="D28" i="1"/>
  <c r="D25" i="1"/>
  <c r="D24" i="1"/>
  <c r="E21" i="1"/>
  <c r="D39" i="1" l="1"/>
  <c r="D34" i="1"/>
  <c r="D32" i="1"/>
  <c r="D30" i="1"/>
  <c r="D27" i="1"/>
  <c r="D23" i="1"/>
  <c r="D22" i="1"/>
  <c r="D21" i="1"/>
  <c r="F21" i="1" s="1"/>
  <c r="J21" i="1" s="1"/>
  <c r="N21" i="1" s="1"/>
  <c r="R21" i="1" s="1"/>
  <c r="V21" i="1" s="1"/>
  <c r="Z21" i="1" s="1"/>
  <c r="AD21" i="1" s="1"/>
  <c r="AH21" i="1" s="1"/>
  <c r="AL21" i="1" s="1"/>
  <c r="E27" i="1"/>
  <c r="E40" i="1"/>
  <c r="E42" i="1"/>
  <c r="F42" i="1" s="1"/>
  <c r="J42" i="1" s="1"/>
  <c r="N42" i="1" s="1"/>
  <c r="R42" i="1" s="1"/>
  <c r="V42" i="1" s="1"/>
  <c r="Z42" i="1" s="1"/>
  <c r="AD42" i="1" s="1"/>
  <c r="AH42" i="1" s="1"/>
  <c r="AL42" i="1" s="1"/>
  <c r="AP42" i="1" s="1"/>
  <c r="AT42" i="1" s="1"/>
  <c r="AX42" i="1" s="1"/>
  <c r="E25" i="1"/>
  <c r="F25" i="1" s="1"/>
  <c r="J25" i="1" s="1"/>
  <c r="N25" i="1" s="1"/>
  <c r="R25" i="1" s="1"/>
  <c r="V25" i="1" s="1"/>
  <c r="Z25" i="1" s="1"/>
  <c r="AD25" i="1" s="1"/>
  <c r="AH25" i="1" s="1"/>
  <c r="AL25" i="1" s="1"/>
  <c r="AP25" i="1" s="1"/>
  <c r="AT25" i="1" s="1"/>
  <c r="AX25" i="1" s="1"/>
  <c r="E36" i="1"/>
  <c r="F36" i="1" s="1"/>
  <c r="J36" i="1" s="1"/>
  <c r="N36" i="1" s="1"/>
  <c r="R36" i="1" s="1"/>
  <c r="V36" i="1" s="1"/>
  <c r="Z36" i="1" s="1"/>
  <c r="AD36" i="1" s="1"/>
  <c r="AH36" i="1" s="1"/>
  <c r="AL36" i="1" s="1"/>
  <c r="AP36" i="1" s="1"/>
  <c r="AT36" i="1" s="1"/>
  <c r="AX36" i="1" s="1"/>
  <c r="E38" i="1"/>
  <c r="E28" i="1"/>
  <c r="F28" i="1" s="1"/>
  <c r="J28" i="1" s="1"/>
  <c r="N28" i="1" s="1"/>
  <c r="R28" i="1" s="1"/>
  <c r="V28" i="1" s="1"/>
  <c r="Z28" i="1" s="1"/>
  <c r="AD28" i="1" s="1"/>
  <c r="AH28" i="1" s="1"/>
  <c r="AL28" i="1" s="1"/>
  <c r="AP28" i="1" s="1"/>
  <c r="AT28" i="1" s="1"/>
  <c r="AX28" i="1" s="1"/>
  <c r="E30" i="1"/>
  <c r="F30" i="1" s="1"/>
  <c r="J30" i="1" s="1"/>
  <c r="N30" i="1" s="1"/>
  <c r="R30" i="1" s="1"/>
  <c r="V30" i="1" s="1"/>
  <c r="Z30" i="1" s="1"/>
  <c r="AD30" i="1" s="1"/>
  <c r="AH30" i="1" s="1"/>
  <c r="AL30" i="1" s="1"/>
  <c r="AP30" i="1" s="1"/>
  <c r="AT30" i="1" s="1"/>
  <c r="AX30" i="1" s="1"/>
  <c r="E32" i="1"/>
  <c r="E34" i="1"/>
  <c r="E22" i="1"/>
  <c r="E50" i="1" s="1"/>
  <c r="E44" i="1"/>
  <c r="F44" i="1" s="1"/>
  <c r="J44" i="1" s="1"/>
  <c r="N44" i="1" s="1"/>
  <c r="R44" i="1" s="1"/>
  <c r="V44" i="1" s="1"/>
  <c r="Z44" i="1" s="1"/>
  <c r="AD44" i="1" s="1"/>
  <c r="AH44" i="1" s="1"/>
  <c r="AL44" i="1" s="1"/>
  <c r="AP44" i="1" s="1"/>
  <c r="AT44" i="1" s="1"/>
  <c r="AX44" i="1" s="1"/>
  <c r="E24" i="1"/>
  <c r="F24" i="1" s="1"/>
  <c r="J24" i="1" s="1"/>
  <c r="N24" i="1" s="1"/>
  <c r="R24" i="1" s="1"/>
  <c r="V24" i="1" s="1"/>
  <c r="Z24" i="1" s="1"/>
  <c r="AD24" i="1" s="1"/>
  <c r="E26" i="1"/>
  <c r="E23" i="1"/>
  <c r="F23" i="1" s="1"/>
  <c r="J23" i="1" s="1"/>
  <c r="N23" i="1" s="1"/>
  <c r="R23" i="1" s="1"/>
  <c r="V23" i="1" s="1"/>
  <c r="Z23" i="1" s="1"/>
  <c r="AD23" i="1" s="1"/>
  <c r="AH23" i="1" s="1"/>
  <c r="AL23" i="1" s="1"/>
  <c r="AP23" i="1" s="1"/>
  <c r="AT23" i="1" s="1"/>
  <c r="AX23" i="1" s="1"/>
  <c r="E29" i="1"/>
  <c r="F29" i="1" s="1"/>
  <c r="J29" i="1" s="1"/>
  <c r="N29" i="1" s="1"/>
  <c r="R29" i="1" s="1"/>
  <c r="V29" i="1" s="1"/>
  <c r="Z29" i="1" s="1"/>
  <c r="AD29" i="1" s="1"/>
  <c r="AH29" i="1" s="1"/>
  <c r="AL29" i="1" s="1"/>
  <c r="AP29" i="1" s="1"/>
  <c r="AT29" i="1" s="1"/>
  <c r="AX29" i="1" s="1"/>
  <c r="E31" i="1"/>
  <c r="F31" i="1" s="1"/>
  <c r="J31" i="1" s="1"/>
  <c r="N31" i="1" s="1"/>
  <c r="R31" i="1" s="1"/>
  <c r="V31" i="1" s="1"/>
  <c r="Z31" i="1" s="1"/>
  <c r="AD31" i="1" s="1"/>
  <c r="AH31" i="1" s="1"/>
  <c r="AL31" i="1" s="1"/>
  <c r="AP31" i="1" s="1"/>
  <c r="AT31" i="1" s="1"/>
  <c r="AX31" i="1" s="1"/>
  <c r="E33" i="1"/>
  <c r="F33" i="1" s="1"/>
  <c r="J33" i="1" s="1"/>
  <c r="N33" i="1" s="1"/>
  <c r="R33" i="1" s="1"/>
  <c r="V33" i="1" s="1"/>
  <c r="Z33" i="1" s="1"/>
  <c r="AD33" i="1" s="1"/>
  <c r="AH33" i="1" s="1"/>
  <c r="AL33" i="1" s="1"/>
  <c r="AP33" i="1" s="1"/>
  <c r="AT33" i="1" s="1"/>
  <c r="AX33" i="1" s="1"/>
  <c r="E35" i="1"/>
  <c r="E37" i="1"/>
  <c r="F37" i="1" s="1"/>
  <c r="J37" i="1" s="1"/>
  <c r="N37" i="1" s="1"/>
  <c r="R37" i="1" s="1"/>
  <c r="V37" i="1" s="1"/>
  <c r="Z37" i="1" s="1"/>
  <c r="AD37" i="1" s="1"/>
  <c r="AH37" i="1" s="1"/>
  <c r="AL37" i="1" s="1"/>
  <c r="AP37" i="1" s="1"/>
  <c r="AT37" i="1" s="1"/>
  <c r="AX37" i="1" s="1"/>
  <c r="E39" i="1"/>
  <c r="E41" i="1"/>
  <c r="F41" i="1" s="1"/>
  <c r="J41" i="1" s="1"/>
  <c r="N41" i="1" s="1"/>
  <c r="R41" i="1" s="1"/>
  <c r="V41" i="1" s="1"/>
  <c r="Z41" i="1" s="1"/>
  <c r="AD41" i="1" s="1"/>
  <c r="AH41" i="1" s="1"/>
  <c r="AL41" i="1" s="1"/>
  <c r="AP41" i="1" s="1"/>
  <c r="AT41" i="1" s="1"/>
  <c r="AX41" i="1" s="1"/>
  <c r="E43" i="1"/>
  <c r="F43" i="1" s="1"/>
  <c r="J43" i="1" s="1"/>
  <c r="N43" i="1" s="1"/>
  <c r="R43" i="1" s="1"/>
  <c r="V43" i="1" s="1"/>
  <c r="Z43" i="1" s="1"/>
  <c r="AD43" i="1" s="1"/>
  <c r="AH43" i="1" s="1"/>
  <c r="AL43" i="1" s="1"/>
  <c r="AP43" i="1" s="1"/>
  <c r="AT43" i="1" s="1"/>
  <c r="AP21" i="1" l="1"/>
  <c r="AT21" i="1" s="1"/>
  <c r="AX21" i="1" s="1"/>
  <c r="AX43" i="1"/>
  <c r="A480" i="12"/>
  <c r="AY34" i="1"/>
  <c r="F34" i="1"/>
  <c r="J34" i="1" s="1"/>
  <c r="N34" i="1" s="1"/>
  <c r="R34" i="1" s="1"/>
  <c r="V34" i="1" s="1"/>
  <c r="Z34" i="1" s="1"/>
  <c r="AD34" i="1" s="1"/>
  <c r="AH34" i="1" s="1"/>
  <c r="AL34" i="1" s="1"/>
  <c r="AP34" i="1" s="1"/>
  <c r="AT34" i="1" s="1"/>
  <c r="AX34" i="1" s="1"/>
  <c r="F27" i="1"/>
  <c r="J27" i="1" s="1"/>
  <c r="N27" i="1" s="1"/>
  <c r="R27" i="1" s="1"/>
  <c r="V27" i="1" s="1"/>
  <c r="Z27" i="1" s="1"/>
  <c r="AD27" i="1" s="1"/>
  <c r="AH27" i="1" s="1"/>
  <c r="AL27" i="1" s="1"/>
  <c r="AP27" i="1" s="1"/>
  <c r="AT27" i="1" s="1"/>
  <c r="AX27" i="1" s="1"/>
  <c r="AH24" i="1"/>
  <c r="F39" i="1"/>
  <c r="J39" i="1" s="1"/>
  <c r="N39" i="1" s="1"/>
  <c r="R39" i="1" s="1"/>
  <c r="V39" i="1" s="1"/>
  <c r="Z39" i="1" s="1"/>
  <c r="AD39" i="1" s="1"/>
  <c r="AH39" i="1" s="1"/>
  <c r="AL39" i="1" s="1"/>
  <c r="AP39" i="1" s="1"/>
  <c r="AT39" i="1" s="1"/>
  <c r="AX39" i="1" s="1"/>
  <c r="F22" i="1"/>
  <c r="J22" i="1" s="1"/>
  <c r="N22" i="1" s="1"/>
  <c r="R22" i="1" s="1"/>
  <c r="V22" i="1" s="1"/>
  <c r="Z22" i="1" s="1"/>
  <c r="AD22" i="1" s="1"/>
  <c r="AH22" i="1" s="1"/>
  <c r="AL22" i="1" s="1"/>
  <c r="AP22" i="1" s="1"/>
  <c r="AT22" i="1" s="1"/>
  <c r="AX22" i="1" s="1"/>
  <c r="F32" i="1"/>
  <c r="J32" i="1" s="1"/>
  <c r="N32" i="1" s="1"/>
  <c r="R32" i="1" s="1"/>
  <c r="V32" i="1" s="1"/>
  <c r="Z32" i="1" s="1"/>
  <c r="AD32" i="1" s="1"/>
  <c r="AH32" i="1" s="1"/>
  <c r="AL32" i="1" s="1"/>
  <c r="AP32" i="1" s="1"/>
  <c r="AT32" i="1" s="1"/>
  <c r="AX32" i="1" s="1"/>
  <c r="F38" i="1"/>
  <c r="J38" i="1" s="1"/>
  <c r="N38" i="1" s="1"/>
  <c r="R38" i="1" s="1"/>
  <c r="V38" i="1" s="1"/>
  <c r="Z38" i="1" s="1"/>
  <c r="AD38" i="1" s="1"/>
  <c r="AH38" i="1" s="1"/>
  <c r="AL38" i="1" s="1"/>
  <c r="AP38" i="1" s="1"/>
  <c r="AT38" i="1" s="1"/>
  <c r="AX38" i="1" s="1"/>
  <c r="AL24" i="1" l="1"/>
  <c r="B46" i="1"/>
  <c r="C47" i="1" s="1"/>
  <c r="AP24" i="1" l="1"/>
  <c r="D40" i="1"/>
  <c r="E20" i="1"/>
  <c r="D26" i="1"/>
  <c r="D20" i="1"/>
  <c r="E46" i="1" l="1"/>
  <c r="E47" i="1" s="1"/>
  <c r="AT24" i="1"/>
  <c r="AX24" i="1" s="1"/>
  <c r="F40" i="1"/>
  <c r="J40" i="1" s="1"/>
  <c r="F26" i="1"/>
  <c r="J26" i="1" s="1"/>
  <c r="N26" i="1" s="1"/>
  <c r="R26" i="1" s="1"/>
  <c r="V26" i="1" s="1"/>
  <c r="Z26" i="1" s="1"/>
  <c r="AD26" i="1" s="1"/>
  <c r="AH26" i="1" s="1"/>
  <c r="AL26" i="1" s="1"/>
  <c r="AP26" i="1" s="1"/>
  <c r="AT26" i="1" s="1"/>
  <c r="AX26" i="1" s="1"/>
  <c r="F20" i="1"/>
  <c r="J20" i="1" s="1"/>
  <c r="N20" i="1" s="1"/>
  <c r="R20" i="1" s="1"/>
  <c r="V20" i="1" s="1"/>
  <c r="Z20" i="1" s="1"/>
  <c r="AD20" i="1" s="1"/>
  <c r="AH20" i="1" s="1"/>
  <c r="AL20" i="1" s="1"/>
  <c r="AP20" i="1" s="1"/>
  <c r="AT20" i="1" s="1"/>
  <c r="AX20" i="1" s="1"/>
  <c r="D35" i="1"/>
  <c r="D46" i="1" s="1"/>
  <c r="D47" i="1" s="1"/>
  <c r="P46" i="1"/>
  <c r="P47" i="1" s="1"/>
  <c r="L46" i="1"/>
  <c r="L47" i="1" s="1"/>
  <c r="H46" i="1"/>
  <c r="H47" i="1" s="1"/>
  <c r="AY20" i="1"/>
  <c r="BB20" i="1" s="1"/>
  <c r="AY24" i="1"/>
  <c r="BB24" i="1" s="1"/>
  <c r="AY37" i="1"/>
  <c r="BB37" i="1" s="1"/>
  <c r="AY45" i="1"/>
  <c r="BB45" i="1" s="1"/>
  <c r="AY39" i="1"/>
  <c r="BB39" i="1" s="1"/>
  <c r="AY31" i="1"/>
  <c r="BB31" i="1" s="1"/>
  <c r="AY33" i="1"/>
  <c r="BB33" i="1" s="1"/>
  <c r="BB36" i="1"/>
  <c r="AY44" i="1"/>
  <c r="BB44" i="1" s="1"/>
  <c r="AY21" i="1"/>
  <c r="AY26" i="1"/>
  <c r="AY27" i="1"/>
  <c r="AY28" i="1"/>
  <c r="AY25" i="1"/>
  <c r="AY22" i="1"/>
  <c r="AY35" i="1"/>
  <c r="AY40" i="1"/>
  <c r="AY42" i="1"/>
  <c r="AY32" i="1"/>
  <c r="AY41" i="1"/>
  <c r="AY23" i="1"/>
  <c r="AY29" i="1"/>
  <c r="AY30" i="1"/>
  <c r="AY43" i="1"/>
  <c r="AY38" i="1"/>
  <c r="N40" i="1" l="1"/>
  <c r="R40" i="1" s="1"/>
  <c r="V40" i="1" s="1"/>
  <c r="Z40" i="1" s="1"/>
  <c r="AD40" i="1" s="1"/>
  <c r="AH40" i="1" s="1"/>
  <c r="AL40" i="1" s="1"/>
  <c r="AP40" i="1" s="1"/>
  <c r="AT40" i="1" s="1"/>
  <c r="AX40" i="1" s="1"/>
  <c r="F35" i="1"/>
  <c r="J35" i="1" s="1"/>
  <c r="N35" i="1" s="1"/>
  <c r="R35" i="1" s="1"/>
  <c r="V35" i="1" s="1"/>
  <c r="Z35" i="1" s="1"/>
  <c r="AD35" i="1" s="1"/>
  <c r="BB38" i="1"/>
  <c r="BB32" i="1"/>
  <c r="BB41" i="1"/>
  <c r="BB43" i="1"/>
  <c r="BB42" i="1"/>
  <c r="BB34" i="1"/>
  <c r="BB30" i="1"/>
  <c r="BB25" i="1"/>
  <c r="BB27" i="1"/>
  <c r="BB21" i="1"/>
  <c r="BB29" i="1"/>
  <c r="AY46" i="1"/>
  <c r="AZ30" i="1" s="1"/>
  <c r="BB40" i="1"/>
  <c r="BB22" i="1"/>
  <c r="BB23" i="1"/>
  <c r="BB28" i="1"/>
  <c r="BB35" i="1"/>
  <c r="BB26" i="1"/>
  <c r="AH35" i="1" l="1"/>
  <c r="AD46" i="1"/>
  <c r="AE47" i="1" s="1"/>
  <c r="F46" i="1"/>
  <c r="G47" i="1" s="1"/>
  <c r="N46" i="1"/>
  <c r="O47" i="1" s="1"/>
  <c r="J46" i="1"/>
  <c r="K47" i="1" s="1"/>
  <c r="V46" i="1"/>
  <c r="W47" i="1" s="1"/>
  <c r="Z46" i="1"/>
  <c r="AA47" i="1" s="1"/>
  <c r="AZ26" i="1"/>
  <c r="BB46" i="1"/>
  <c r="AZ44" i="1"/>
  <c r="AZ45" i="1"/>
  <c r="AZ24" i="1"/>
  <c r="AZ33" i="1"/>
  <c r="AZ31" i="1"/>
  <c r="AZ20" i="1"/>
  <c r="AZ36" i="1"/>
  <c r="AZ39" i="1"/>
  <c r="AZ37" i="1"/>
  <c r="AZ32" i="1"/>
  <c r="AZ21" i="1"/>
  <c r="AZ34" i="1"/>
  <c r="AZ41" i="1"/>
  <c r="AZ27" i="1"/>
  <c r="AZ28" i="1"/>
  <c r="AZ29" i="1"/>
  <c r="AZ25" i="1"/>
  <c r="AZ35" i="1"/>
  <c r="AZ22" i="1"/>
  <c r="AZ43" i="1"/>
  <c r="AZ38" i="1"/>
  <c r="AZ23" i="1"/>
  <c r="AZ40" i="1"/>
  <c r="AZ42" i="1"/>
  <c r="AL35" i="1" l="1"/>
  <c r="AH46" i="1"/>
  <c r="AI47" i="1" s="1"/>
  <c r="BA40" i="1"/>
  <c r="BA27" i="1"/>
  <c r="BA23" i="1"/>
  <c r="BA43" i="1"/>
  <c r="BA20" i="1"/>
  <c r="BA38" i="1"/>
  <c r="BA41" i="1"/>
  <c r="BA31" i="1"/>
  <c r="BA33" i="1"/>
  <c r="BA21" i="1"/>
  <c r="BA24" i="1"/>
  <c r="BA35" i="1"/>
  <c r="BA45" i="1"/>
  <c r="BA34" i="1"/>
  <c r="BA22" i="1"/>
  <c r="BA32" i="1"/>
  <c r="BA25" i="1"/>
  <c r="BA37" i="1"/>
  <c r="BA44" i="1"/>
  <c r="BA42" i="1"/>
  <c r="BA29" i="1"/>
  <c r="BA39" i="1"/>
  <c r="BA28" i="1"/>
  <c r="BA36" i="1"/>
  <c r="BA26" i="1"/>
  <c r="BA30" i="1"/>
  <c r="AP35" i="1" l="1"/>
  <c r="AL46" i="1"/>
  <c r="AM47" i="1" s="1"/>
  <c r="R46" i="1"/>
  <c r="S47" i="1" s="1"/>
  <c r="AT35" i="1" l="1"/>
  <c r="AX35" i="1" s="1"/>
  <c r="AX46" i="1" s="1"/>
  <c r="AP46" i="1"/>
  <c r="AQ47" i="1" s="1"/>
  <c r="AT46" i="1" l="1"/>
  <c r="AU47" i="1" s="1"/>
  <c r="A6" i="11" l="1"/>
  <c r="A7" i="11"/>
  <c r="A7" i="12" s="1"/>
  <c r="A10" i="11"/>
  <c r="A10" i="12" s="1"/>
  <c r="A20" i="10"/>
  <c r="A11" i="11"/>
  <c r="A11" i="12" s="1"/>
  <c r="A6" i="12" l="1"/>
  <c r="A20" i="12" s="1"/>
  <c r="A20" i="11"/>
</calcChain>
</file>

<file path=xl/sharedStrings.xml><?xml version="1.0" encoding="utf-8"?>
<sst xmlns="http://schemas.openxmlformats.org/spreadsheetml/2006/main" count="5248" uniqueCount="622">
  <si>
    <t>ENERO</t>
  </si>
  <si>
    <t>FEBRERO</t>
  </si>
  <si>
    <t>MARZO</t>
  </si>
  <si>
    <t>ABRIL</t>
  </si>
  <si>
    <t>SALDO REAL</t>
  </si>
  <si>
    <t>TOTAL</t>
  </si>
  <si>
    <t>INGRESOS</t>
  </si>
  <si>
    <t>Cobrado</t>
  </si>
  <si>
    <t>INGRESOS ANUALALES</t>
  </si>
  <si>
    <t>GASTOS</t>
  </si>
  <si>
    <t>Aportación</t>
  </si>
  <si>
    <t>Gasto</t>
  </si>
  <si>
    <t>Final</t>
  </si>
  <si>
    <t>GASTOS ANUALES</t>
  </si>
  <si>
    <t>% de gasto sobre el total</t>
  </si>
  <si>
    <t>Ranking de gastos</t>
  </si>
  <si>
    <t>Gasto medio mensual</t>
  </si>
  <si>
    <t>Comida+Limpieza</t>
  </si>
  <si>
    <t>Ocio</t>
  </si>
  <si>
    <t>Transportes</t>
  </si>
  <si>
    <t>Gatos</t>
  </si>
  <si>
    <t>Vacaciones</t>
  </si>
  <si>
    <t>Ropa</t>
  </si>
  <si>
    <t>Belleza</t>
  </si>
  <si>
    <t>Deportes</t>
  </si>
  <si>
    <t>Regalos</t>
  </si>
  <si>
    <t>Impuestos</t>
  </si>
  <si>
    <t>Gastos Curros</t>
  </si>
  <si>
    <t>Dreamed Holidays</t>
  </si>
  <si>
    <t>Ahorros Colchón</t>
  </si>
  <si>
    <t>OTROS</t>
  </si>
  <si>
    <t>NULO</t>
  </si>
  <si>
    <t>€</t>
  </si>
  <si>
    <t>Concepto</t>
  </si>
  <si>
    <t>Hipoteca Reseva Mensual (400€)</t>
  </si>
  <si>
    <t>Hipoteca</t>
  </si>
  <si>
    <t>Mensual</t>
  </si>
  <si>
    <t>IBI</t>
  </si>
  <si>
    <t>Endesa</t>
  </si>
  <si>
    <t>Comunidad</t>
  </si>
  <si>
    <t>Aqualia</t>
  </si>
  <si>
    <t>Seguro</t>
  </si>
  <si>
    <t>Alquiler</t>
  </si>
  <si>
    <t>Mensual (60€)</t>
  </si>
  <si>
    <t>Electrabel</t>
  </si>
  <si>
    <t>Agua</t>
  </si>
  <si>
    <t>Otros</t>
  </si>
  <si>
    <t>Carrefour</t>
  </si>
  <si>
    <t>Colruyt</t>
  </si>
  <si>
    <t>Lidl</t>
  </si>
  <si>
    <t>Gym</t>
  </si>
  <si>
    <t>Mensual (150€)</t>
  </si>
  <si>
    <t>Gasofa</t>
  </si>
  <si>
    <t>Bus</t>
  </si>
  <si>
    <t>Tren</t>
  </si>
  <si>
    <t>Coche Prestamo</t>
  </si>
  <si>
    <t>Coche  Seguro</t>
  </si>
  <si>
    <t>Internet</t>
  </si>
  <si>
    <t>Base</t>
  </si>
  <si>
    <t>Skype</t>
  </si>
  <si>
    <t>Fijo Mensual (55€)</t>
  </si>
  <si>
    <t>Tom&amp;Co</t>
  </si>
  <si>
    <t>Waterloo</t>
  </si>
  <si>
    <t>Coche</t>
  </si>
  <si>
    <t>Teléfono</t>
  </si>
  <si>
    <t>Financieros</t>
  </si>
  <si>
    <t>Total</t>
  </si>
  <si>
    <t>Mes</t>
  </si>
  <si>
    <t>BE</t>
  </si>
  <si>
    <t>ES</t>
  </si>
  <si>
    <t>Entidad</t>
  </si>
  <si>
    <t>IBAN</t>
  </si>
  <si>
    <t>Saldo a dia 1 de mes (€)</t>
  </si>
  <si>
    <t>Ibercaja</t>
  </si>
  <si>
    <t>ES85 2085 8262 6403 3001 0167</t>
  </si>
  <si>
    <t>ES97 2085 8262 6309 3004 9866</t>
  </si>
  <si>
    <t>ING (BE)</t>
  </si>
  <si>
    <t>BE42 3770 5523 3554 (Lion)</t>
  </si>
  <si>
    <t>BE54 3774 4151 1297 (Deposit)</t>
  </si>
  <si>
    <t>BE52 3631 4505 0709 (Invest REAL)</t>
  </si>
  <si>
    <t>BE52 3631 4505 0709 (Invest EST.)</t>
  </si>
  <si>
    <t>BE94 3635 4959 9414 (Green)</t>
  </si>
  <si>
    <t>Fianza Apartamento, No contabilizada</t>
  </si>
  <si>
    <t>SUMA TOTAL</t>
  </si>
  <si>
    <t>Delheize</t>
  </si>
  <si>
    <t>La Brioche</t>
  </si>
  <si>
    <t>Sequoia</t>
  </si>
  <si>
    <t>Quick</t>
  </si>
  <si>
    <t>Taller</t>
  </si>
  <si>
    <t>Lavado</t>
  </si>
  <si>
    <t>Metro</t>
  </si>
  <si>
    <t>Curro Manolo</t>
  </si>
  <si>
    <t>Curro Rocío</t>
  </si>
  <si>
    <t>Casa</t>
  </si>
  <si>
    <t>Efectivo</t>
  </si>
  <si>
    <t>JUNIO</t>
  </si>
  <si>
    <t>Di</t>
  </si>
  <si>
    <t>Farmacia</t>
  </si>
  <si>
    <t>Action</t>
  </si>
  <si>
    <t>MAYO</t>
  </si>
  <si>
    <t>Seguro (56)</t>
  </si>
  <si>
    <t>Mutua</t>
  </si>
  <si>
    <t>Pilates</t>
  </si>
  <si>
    <t>JULIO</t>
  </si>
  <si>
    <t>AGOSTO</t>
  </si>
  <si>
    <t>Bodas/Parejas</t>
  </si>
  <si>
    <t>Seguros</t>
  </si>
  <si>
    <t>SEPTIEMBRE</t>
  </si>
  <si>
    <t>SEPT…</t>
  </si>
  <si>
    <t>OCTUBRE</t>
  </si>
  <si>
    <t>Café</t>
  </si>
  <si>
    <t>Aldi</t>
  </si>
  <si>
    <t>Fianza Cartama, SI contabilizada</t>
  </si>
  <si>
    <t>NOVIEMBRE</t>
  </si>
  <si>
    <t>NOV…</t>
  </si>
  <si>
    <t>BE49 3635 9162 5571 (Green)</t>
  </si>
  <si>
    <t>Disponible</t>
  </si>
  <si>
    <t>Meses:</t>
  </si>
  <si>
    <t>DICIEMBRE</t>
  </si>
  <si>
    <t>Fija al més (30€)</t>
  </si>
  <si>
    <t>Brico</t>
  </si>
  <si>
    <t>2017 Final</t>
  </si>
  <si>
    <t>Formación</t>
  </si>
  <si>
    <t>Salud</t>
  </si>
  <si>
    <t>Manolo Salario (1)</t>
  </si>
  <si>
    <t>Rocío Salario (2)</t>
  </si>
  <si>
    <t>Rocío en Negro (3)</t>
  </si>
  <si>
    <t>Finanacieros (4)</t>
  </si>
  <si>
    <t>Regalos (5)</t>
  </si>
  <si>
    <t>Gubernamental (6)</t>
  </si>
  <si>
    <t>Mutualite/DKV (7)</t>
  </si>
  <si>
    <t>Alquiler Cartama (8)</t>
  </si>
  <si>
    <t>Otros (9)</t>
  </si>
  <si>
    <t>Notas</t>
  </si>
  <si>
    <t>Cantidad</t>
  </si>
  <si>
    <t>DATOS A INSERTAR</t>
  </si>
  <si>
    <t xml:space="preserve">Plazo (en meses) = </t>
  </si>
  <si>
    <t>Tabla Amortizacion</t>
  </si>
  <si>
    <t>Intereses</t>
  </si>
  <si>
    <t>Amortización</t>
  </si>
  <si>
    <t>Euribor (mensual) =</t>
  </si>
  <si>
    <t>%</t>
  </si>
  <si>
    <t>CÁLCULOS INTERMEDIOS</t>
  </si>
  <si>
    <t>MES_1</t>
  </si>
  <si>
    <t>MES_2</t>
  </si>
  <si>
    <t>MES_3</t>
  </si>
  <si>
    <t xml:space="preserve">F1: (1+(Interés/100)) = </t>
  </si>
  <si>
    <t>MES_4</t>
  </si>
  <si>
    <t xml:space="preserve">F2: F1^(-Plazo) = </t>
  </si>
  <si>
    <t>MES_5</t>
  </si>
  <si>
    <t>RESULTADOS</t>
  </si>
  <si>
    <t>F3: 100*(1-F2) =</t>
  </si>
  <si>
    <t>MES_6</t>
  </si>
  <si>
    <t xml:space="preserve">Cuota Mensual = </t>
  </si>
  <si>
    <t xml:space="preserve">Cuota Intereses = </t>
  </si>
  <si>
    <t>Cuota Amortización =</t>
  </si>
  <si>
    <t xml:space="preserve">Diferencia = </t>
  </si>
  <si>
    <t>ENTRE lo que ponga en G45</t>
  </si>
  <si>
    <t>DIA</t>
  </si>
  <si>
    <t>SUMA</t>
  </si>
  <si>
    <t>Amortización Prevista =</t>
  </si>
  <si>
    <t>Capital Esperado =</t>
  </si>
  <si>
    <t>FECHAS REVISIÓN</t>
  </si>
  <si>
    <t>EURIBOR</t>
  </si>
  <si>
    <t>CUOTA</t>
  </si>
  <si>
    <t>INCREMENTO</t>
  </si>
  <si>
    <t>FECHAS ACTUALIZACIÓN</t>
  </si>
  <si>
    <t>TotalPasivos</t>
  </si>
  <si>
    <t>TotalActivos</t>
  </si>
  <si>
    <t>RIQUEZA MONETARIA</t>
  </si>
  <si>
    <t>fijo</t>
  </si>
  <si>
    <t xml:space="preserve">Total gastado = </t>
  </si>
  <si>
    <t>CA</t>
  </si>
  <si>
    <t>CF</t>
  </si>
  <si>
    <t>Cosas Bélgica</t>
  </si>
  <si>
    <t>ID</t>
  </si>
  <si>
    <t>05555329 42</t>
  </si>
  <si>
    <t>Card</t>
  </si>
  <si>
    <t>6703 3031 3710 9201 1</t>
  </si>
  <si>
    <t>Pw</t>
  </si>
  <si>
    <t xml:space="preserve">Comida </t>
  </si>
  <si>
    <t>Location appartement: 1410 Waterloo - 24 B drève des Dix Mètres</t>
  </si>
  <si>
    <t>001 2760275 22</t>
  </si>
  <si>
    <t>Mr et Mme Bruno Somers – De Watcher</t>
  </si>
  <si>
    <t>5 Avenue des Blés d'Or ; 1410 Waterloo</t>
  </si>
  <si>
    <t>BE06001276027522</t>
  </si>
  <si>
    <t>PPG</t>
  </si>
  <si>
    <t>ES76 1465 0100 93 1710619657</t>
  </si>
  <si>
    <t>Location maison: Allée de l'Aqueduc, 5  à 1410 Waterloo.</t>
  </si>
  <si>
    <t>BE21 9531 2426 0403</t>
  </si>
  <si>
    <t>Mme Sabrina De Greef</t>
  </si>
  <si>
    <t>Fechas</t>
  </si>
  <si>
    <t>Capital Pagado</t>
  </si>
  <si>
    <t>Capital Restante</t>
  </si>
  <si>
    <t>&lt;--</t>
  </si>
  <si>
    <t>IslaTrans Mudanza</t>
  </si>
  <si>
    <t>Reinversion en la casa</t>
  </si>
  <si>
    <t>NOTAS</t>
  </si>
  <si>
    <t>Fecha</t>
  </si>
  <si>
    <t>Base Rocio</t>
  </si>
  <si>
    <t>Vacaciones 17-tarde,18,19,22</t>
  </si>
  <si>
    <t>Horas Vacaciones= 26</t>
  </si>
  <si>
    <t>Restantes = 126</t>
  </si>
  <si>
    <t xml:space="preserve">Prevision de gasto Total Annual = </t>
  </si>
  <si>
    <t>Parkings</t>
  </si>
  <si>
    <t>Hogar</t>
  </si>
  <si>
    <t>Ikea</t>
  </si>
  <si>
    <t>Seguro Alquiler</t>
  </si>
  <si>
    <t>Sushi</t>
  </si>
  <si>
    <t>Lion</t>
  </si>
  <si>
    <t>Lion Intereses</t>
  </si>
  <si>
    <t>Green Intereses</t>
  </si>
  <si>
    <t>Ryanair Grecia</t>
  </si>
  <si>
    <t>Venta de acciones MT.AS</t>
  </si>
  <si>
    <t>Cierre operacion MT.AS</t>
  </si>
  <si>
    <t>Beneficios 11% operacion MT.AS</t>
  </si>
  <si>
    <t>CAPAC 17/12</t>
  </si>
  <si>
    <t>Chirec</t>
  </si>
  <si>
    <t>El Rubio</t>
  </si>
  <si>
    <t>Amazon</t>
  </si>
  <si>
    <t>Base Manolo</t>
  </si>
  <si>
    <t>Beneficios Rocio</t>
  </si>
  <si>
    <t>Celio</t>
  </si>
  <si>
    <t>Libanes</t>
  </si>
  <si>
    <t>Allocation famillier</t>
  </si>
  <si>
    <t>IslaTrans(43.62)</t>
  </si>
  <si>
    <t>Mutualite</t>
  </si>
  <si>
    <t>Inimisimi</t>
  </si>
  <si>
    <t>Shishoes</t>
  </si>
  <si>
    <t>Pilatess</t>
  </si>
  <si>
    <t>Babysuite</t>
  </si>
  <si>
    <t>De roover chanta (Chocolate)</t>
  </si>
  <si>
    <t>Dominos</t>
  </si>
  <si>
    <t>Verita</t>
  </si>
  <si>
    <t>Etam</t>
  </si>
  <si>
    <t>Club???</t>
  </si>
  <si>
    <t>Zara</t>
  </si>
  <si>
    <t>Hema</t>
  </si>
  <si>
    <t>Custodia de Acciones MT.AS</t>
  </si>
  <si>
    <t>Pilas Detector Carrefour</t>
  </si>
  <si>
    <t>Pediatra</t>
  </si>
  <si>
    <t>Beneficios Manuel</t>
  </si>
  <si>
    <t>Viaje Papa</t>
  </si>
  <si>
    <t>Regalo Vero cumple Martina</t>
  </si>
  <si>
    <t>Peluqeria Julia</t>
  </si>
  <si>
    <t>Cena Teatinos</t>
  </si>
  <si>
    <t>Comida Fuengirola</t>
  </si>
  <si>
    <t>Fuengirola</t>
  </si>
  <si>
    <t>Plusvalia</t>
  </si>
  <si>
    <t>Cumple Martina</t>
  </si>
  <si>
    <t>RomeroTorres Viviana</t>
  </si>
  <si>
    <t>Romero Torres Jamon</t>
  </si>
  <si>
    <t>Comida+Limpieza Keep</t>
  </si>
  <si>
    <t>Aeropuertos</t>
  </si>
  <si>
    <t>Hotel</t>
  </si>
  <si>
    <t>Sillita coche</t>
  </si>
  <si>
    <t>Happy Papes</t>
  </si>
  <si>
    <t>Electrabel devolucion</t>
  </si>
  <si>
    <t>Aeropuerto</t>
  </si>
  <si>
    <t>Ryanair Malaga Maleta</t>
  </si>
  <si>
    <t>Jamon</t>
  </si>
  <si>
    <t>MAC Aeropuerto</t>
  </si>
  <si>
    <t>Ibercaja Intereses</t>
  </si>
  <si>
    <t>Fianza apartamento</t>
  </si>
  <si>
    <t>Dinero Bloqueado</t>
  </si>
  <si>
    <t>Fianza Casa Waterloo BE49 3635 9162 5571 (Green)</t>
  </si>
  <si>
    <t>Fianza Waterloo. Bloqueada.</t>
  </si>
  <si>
    <t>Fianza Cartama, Disponible.</t>
  </si>
  <si>
    <t>BE52 3631 4505 0709 (Invest)</t>
  </si>
  <si>
    <t>Parking Zaventem</t>
  </si>
  <si>
    <t>Oftalmologo</t>
  </si>
  <si>
    <t>Pasteles</t>
  </si>
  <si>
    <t>Amazon Agenda</t>
  </si>
  <si>
    <t>Base Rocio o antes</t>
  </si>
  <si>
    <t>Circulacion Verso hasta Diciembre</t>
  </si>
  <si>
    <t>Papa, regalo Martina</t>
  </si>
  <si>
    <t>Regalo Papa cumple Martina</t>
  </si>
  <si>
    <t>Kids&amp;Us</t>
  </si>
  <si>
    <t>Ajuste Enero</t>
  </si>
  <si>
    <t>CAPAC 18/01</t>
  </si>
  <si>
    <t>INBW devolucion Agua Apartamento</t>
  </si>
  <si>
    <t>Agua Devolucion</t>
  </si>
  <si>
    <t>Oscar</t>
  </si>
  <si>
    <t>Baba</t>
  </si>
  <si>
    <t>Vacaciones 16-tarde</t>
  </si>
  <si>
    <t>Horas Vacaciones= 3</t>
  </si>
  <si>
    <t>Restantes = 123</t>
  </si>
  <si>
    <t>Pablito sobrino</t>
  </si>
  <si>
    <t>Base Manolo SURF10</t>
  </si>
  <si>
    <t>Orchestra</t>
  </si>
  <si>
    <t>Benficios Rocio</t>
  </si>
  <si>
    <t>Nespresso</t>
  </si>
  <si>
    <t>Ryanair Malaga</t>
  </si>
  <si>
    <t>Vacaciones 28,29,30</t>
  </si>
  <si>
    <t>Horas Vacaciones= 22</t>
  </si>
  <si>
    <t>Restantes = 101</t>
  </si>
  <si>
    <t>Bureau</t>
  </si>
  <si>
    <t>Oftalmologa</t>
  </si>
  <si>
    <t>Monica</t>
  </si>
  <si>
    <t>Dermatologa Zaventem</t>
  </si>
  <si>
    <t>Hacienda a ingresar</t>
  </si>
  <si>
    <t>Taller de destete</t>
  </si>
  <si>
    <t>Ancho</t>
  </si>
  <si>
    <t>Comisiones+Impuestos Compra 196 acciones ITX.MC</t>
  </si>
  <si>
    <t>ING(BE)</t>
  </si>
  <si>
    <t>363-1450507-09-0</t>
  </si>
  <si>
    <t>Salida Bruselas</t>
  </si>
  <si>
    <t>Bonus</t>
  </si>
  <si>
    <t>Valor inicial</t>
  </si>
  <si>
    <t>Papa</t>
  </si>
  <si>
    <t>Papa Ryanair</t>
  </si>
  <si>
    <t>196 acciones ITX.MC</t>
  </si>
  <si>
    <t>Hipoteca Reseva Mensual (398.31€)</t>
  </si>
  <si>
    <t>GeonX 2017 Bonus</t>
  </si>
  <si>
    <t>Panaderias</t>
  </si>
  <si>
    <t xml:space="preserve">mes anterior/més actual </t>
  </si>
  <si>
    <t>Amazon Timbre</t>
  </si>
  <si>
    <t>Amazon Cuentos</t>
  </si>
  <si>
    <t>Rodas, coche fianza</t>
  </si>
  <si>
    <t>Lidia Sephora</t>
  </si>
  <si>
    <t>Tess</t>
  </si>
  <si>
    <t>Amazon libro</t>
  </si>
  <si>
    <t>Panaderia</t>
  </si>
  <si>
    <t>CreaCorner</t>
  </si>
  <si>
    <t>Pain quotidien</t>
  </si>
  <si>
    <t>CAPAC Febrero</t>
  </si>
  <si>
    <t>Seguro (60)</t>
  </si>
  <si>
    <t>Braine</t>
  </si>
  <si>
    <t>Action Maleta</t>
  </si>
  <si>
    <t>Pagar Agua INBW</t>
  </si>
  <si>
    <t>Marzo</t>
  </si>
  <si>
    <t>Xavier</t>
  </si>
  <si>
    <t>Muelle 1</t>
  </si>
  <si>
    <t>Malaga</t>
  </si>
  <si>
    <t>Primor Malaga</t>
  </si>
  <si>
    <t>Ajuste Marzo</t>
  </si>
  <si>
    <t>Abril</t>
  </si>
  <si>
    <t>CAPAC</t>
  </si>
  <si>
    <t>Netflix</t>
  </si>
  <si>
    <t>Delhaize</t>
  </si>
  <si>
    <t>Triciclo</t>
  </si>
  <si>
    <t>Flying tiger LLN</t>
  </si>
  <si>
    <t>Tarjetas Ibercaja</t>
  </si>
  <si>
    <t>Exki</t>
  </si>
  <si>
    <t>Lush</t>
  </si>
  <si>
    <t>Body Shop LaVane</t>
  </si>
  <si>
    <t>Kruidvat</t>
  </si>
  <si>
    <t>Chirec Oftalmologo</t>
  </si>
  <si>
    <t>SportsDirect</t>
  </si>
  <si>
    <t>GrasPop</t>
  </si>
  <si>
    <t>Lidl online</t>
  </si>
  <si>
    <t>Oscars</t>
  </si>
  <si>
    <t xml:space="preserve">IB </t>
  </si>
  <si>
    <t>Impuesto Basura</t>
  </si>
  <si>
    <t>Fija al més (23€)</t>
  </si>
  <si>
    <t>Se une con Regalos</t>
  </si>
  <si>
    <t>Hacienda BE</t>
  </si>
  <si>
    <t>Papa Parking Zaventem</t>
  </si>
  <si>
    <t>Intereses Ibercaja</t>
  </si>
  <si>
    <t>Hacienda</t>
  </si>
  <si>
    <t>Base Rocio SURF10</t>
  </si>
  <si>
    <t>Rocio en negro</t>
  </si>
  <si>
    <t>Dividendos ITX.MC</t>
  </si>
  <si>
    <t>Hema Martina</t>
  </si>
  <si>
    <t>Jugetes Hema</t>
  </si>
  <si>
    <t>Rocio</t>
  </si>
  <si>
    <t>L'Amusoir</t>
  </si>
  <si>
    <t>Zara LaVane</t>
  </si>
  <si>
    <t>Aniversario</t>
  </si>
  <si>
    <t>Boulangerie Michel</t>
  </si>
  <si>
    <t>Aniversario (Ocio)</t>
  </si>
  <si>
    <t>IslaTrans En Efectivo</t>
  </si>
  <si>
    <t>IslaTrans Ahorrado</t>
  </si>
  <si>
    <t>IslaTrans Que Queda</t>
  </si>
  <si>
    <t>Cumple Manolo</t>
  </si>
  <si>
    <t>Vacaciones 29</t>
  </si>
  <si>
    <t>Horas Vacaciones= 8</t>
  </si>
  <si>
    <t>Restantes = 93</t>
  </si>
  <si>
    <t>Huizingen</t>
  </si>
  <si>
    <t>Reglote</t>
  </si>
  <si>
    <t>Vacaciones 22</t>
  </si>
  <si>
    <t>Horas Vacaciones= 6</t>
  </si>
  <si>
    <t>Restantes = 87</t>
  </si>
  <si>
    <t>Bateria portatil</t>
  </si>
  <si>
    <t>Vacaciones 29,30,31,3,4,5</t>
  </si>
  <si>
    <t>Horas Vacaciones= 46</t>
  </si>
  <si>
    <t>Restantes = 41</t>
  </si>
  <si>
    <t>Hubo</t>
  </si>
  <si>
    <t>Martina</t>
  </si>
  <si>
    <t>Pelota Lidl</t>
  </si>
  <si>
    <t>Zapatos Martina</t>
  </si>
  <si>
    <t>PayPal Martina</t>
  </si>
  <si>
    <t>Protector Portatil</t>
  </si>
  <si>
    <t>Mayo Deficit</t>
  </si>
  <si>
    <t>Concepto/Dia</t>
  </si>
  <si>
    <t>Fianza Cartama= 550€, Disponible.</t>
  </si>
  <si>
    <t>Curro Manolo Comer</t>
  </si>
  <si>
    <t>Ancho 3</t>
  </si>
  <si>
    <t>Aldi 31/05, 2/06</t>
  </si>
  <si>
    <t>Sequoia 2</t>
  </si>
  <si>
    <t>HM 2</t>
  </si>
  <si>
    <t>Tom&amp;Co 2</t>
  </si>
  <si>
    <t>Chirec 6</t>
  </si>
  <si>
    <t>Lidl 6</t>
  </si>
  <si>
    <t>Nespreso</t>
  </si>
  <si>
    <t>Deficit Julio</t>
  </si>
  <si>
    <t>Aldi 9</t>
  </si>
  <si>
    <t>Delhaize 1, 2, 9</t>
  </si>
  <si>
    <t>Surgic eye 8</t>
  </si>
  <si>
    <t>Kids&amp;Us Material</t>
  </si>
  <si>
    <t>Gasofa 12</t>
  </si>
  <si>
    <t>Brussels Airlines 13</t>
  </si>
  <si>
    <t>SS - La primera en mayusculas</t>
  </si>
  <si>
    <t>Engie</t>
  </si>
  <si>
    <t>deltoyaMRM2001</t>
  </si>
  <si>
    <t>Lolo2001</t>
  </si>
  <si>
    <t>Link</t>
  </si>
  <si>
    <t>Delhaize 9</t>
  </si>
  <si>
    <t>Delhaize 15</t>
  </si>
  <si>
    <t>Di 15</t>
  </si>
  <si>
    <t>Disfraz Rocio 15</t>
  </si>
  <si>
    <t>Farmacia 16</t>
  </si>
  <si>
    <t>Oscar 15</t>
  </si>
  <si>
    <t>Joli bois 16</t>
  </si>
  <si>
    <t>Delhaize Proxy 16</t>
  </si>
  <si>
    <t>Hamman 20</t>
  </si>
  <si>
    <t>Aldi 20</t>
  </si>
  <si>
    <t>Graspop, Marina y Lucia</t>
  </si>
  <si>
    <t>Graspop</t>
  </si>
  <si>
    <t>Sushi shop 24</t>
  </si>
  <si>
    <t>Gasofa 22</t>
  </si>
  <si>
    <t>Delhaize 21, ,22, 24</t>
  </si>
  <si>
    <t>Paga Extra bruto</t>
  </si>
  <si>
    <t>Paga Extra neto</t>
  </si>
  <si>
    <t>Lush 22</t>
  </si>
  <si>
    <t>Peck 22</t>
  </si>
  <si>
    <t>Dominos 21</t>
  </si>
  <si>
    <t>Aquatre (Crea Corne) 25</t>
  </si>
  <si>
    <t>Q-Park 25</t>
  </si>
  <si>
    <t>Action 26 (7,35)</t>
  </si>
  <si>
    <t>PayPal 28</t>
  </si>
  <si>
    <t>Vacaciones 19,20,21</t>
  </si>
  <si>
    <t>Restantes = 19</t>
  </si>
  <si>
    <t>Delhaize 22</t>
  </si>
  <si>
    <t>Aldi 28</t>
  </si>
  <si>
    <t>Lidl 29</t>
  </si>
  <si>
    <t>Exki 28</t>
  </si>
  <si>
    <t>HM 28</t>
  </si>
  <si>
    <t>De junio</t>
  </si>
  <si>
    <t>Carrefour MARKET 2, 7,28</t>
  </si>
  <si>
    <t>Carrefour 28</t>
  </si>
  <si>
    <t>Gasofa 28</t>
  </si>
  <si>
    <t>Dreambaby 2</t>
  </si>
  <si>
    <t>Delhaize 2</t>
  </si>
  <si>
    <t>Fianza Cartama</t>
  </si>
  <si>
    <t>Mango 1</t>
  </si>
  <si>
    <t>Springfield 1</t>
  </si>
  <si>
    <t>Woman Secret 1</t>
  </si>
  <si>
    <t>196 acciones ITX.MC. Bloqueado.</t>
  </si>
  <si>
    <t>Amazon Sillon</t>
  </si>
  <si>
    <t>Superabit Junio</t>
  </si>
  <si>
    <t>Bolas Braine 7</t>
  </si>
  <si>
    <t>Sushi shop 8</t>
  </si>
  <si>
    <t>Medi Market 7</t>
  </si>
  <si>
    <t>Colruyt 6</t>
  </si>
  <si>
    <t>IslaTrans</t>
  </si>
  <si>
    <t>Elevador Mudanzas</t>
  </si>
  <si>
    <t>Parking Bruxelles</t>
  </si>
  <si>
    <t>CAPAC 6,5 dias</t>
  </si>
  <si>
    <t>Cartama Finanazas</t>
  </si>
  <si>
    <t>Fianza</t>
  </si>
  <si>
    <t>Aldi 2,11,14</t>
  </si>
  <si>
    <t>Delhaize 2,14</t>
  </si>
  <si>
    <t>Salida Julio Papa</t>
  </si>
  <si>
    <t>Casa 14</t>
  </si>
  <si>
    <t>Fijo Mensual (100€)</t>
  </si>
  <si>
    <t>CAPAC complement</t>
  </si>
  <si>
    <t>Multa (66€ restantes)</t>
  </si>
  <si>
    <t>Multa Uccle</t>
  </si>
  <si>
    <t>Prevision de ingresos Total Anual =</t>
  </si>
  <si>
    <t>Lidl 19</t>
  </si>
  <si>
    <t>Action 19</t>
  </si>
  <si>
    <t>Oscar's 20</t>
  </si>
  <si>
    <t>Delhaize Proxy 21</t>
  </si>
  <si>
    <t>Chirec 22</t>
  </si>
  <si>
    <t xml:space="preserve"> </t>
  </si>
  <si>
    <t>Waterloo fest</t>
  </si>
  <si>
    <t>Añadir a Fianza (hasta 550€)</t>
  </si>
  <si>
    <t>Total -Papa</t>
  </si>
  <si>
    <t>Papa Julio</t>
  </si>
  <si>
    <t>Mensual (50€)</t>
  </si>
  <si>
    <t>Amazon carro</t>
  </si>
  <si>
    <t>Comer Waterloo 24</t>
  </si>
  <si>
    <t>Amazon tinta 24</t>
  </si>
  <si>
    <t>bPost Edu/Monica</t>
  </si>
  <si>
    <t>Amazon Claudia 24</t>
  </si>
  <si>
    <t>Amazon Cuerdas 24</t>
  </si>
  <si>
    <t>Di Viviana 24</t>
  </si>
  <si>
    <t>Di 24</t>
  </si>
  <si>
    <t>Cártama Gastos</t>
  </si>
  <si>
    <t>Lidl 25</t>
  </si>
  <si>
    <t>Mango 24</t>
  </si>
  <si>
    <t>Hema 24</t>
  </si>
  <si>
    <t>Delhaize 26</t>
  </si>
  <si>
    <t>Orchestra 28</t>
  </si>
  <si>
    <t>Action 28</t>
  </si>
  <si>
    <t>Action Eva 28</t>
  </si>
  <si>
    <t>Orchestra Eva 28</t>
  </si>
  <si>
    <t>Van den Borre TV 28</t>
  </si>
  <si>
    <t>Mensual (70€)</t>
  </si>
  <si>
    <t>Proximus</t>
  </si>
  <si>
    <t>Gasofa 8, 17, 27</t>
  </si>
  <si>
    <t>IKEA 29</t>
  </si>
  <si>
    <t>Aldi 30</t>
  </si>
  <si>
    <t>Amazon tinta Devolucion</t>
  </si>
  <si>
    <t>Action 31</t>
  </si>
  <si>
    <t>Ajustes Julio</t>
  </si>
  <si>
    <t>Fijo</t>
  </si>
  <si>
    <t>Cuenta ahorro Ibercaja</t>
  </si>
  <si>
    <t>AmazonFr Prime</t>
  </si>
  <si>
    <t>CAPAC 13 dias</t>
  </si>
  <si>
    <t>02 - Genval</t>
  </si>
  <si>
    <t>04 - Aldi</t>
  </si>
  <si>
    <t>04 - Delhaize</t>
  </si>
  <si>
    <t>04 - Di</t>
  </si>
  <si>
    <t>04 - Casa</t>
  </si>
  <si>
    <t>04 - Boulangerie</t>
  </si>
  <si>
    <t>06 - Sequoia</t>
  </si>
  <si>
    <t>06 - Esso</t>
  </si>
  <si>
    <t>Amazon Prime Devolucion</t>
  </si>
  <si>
    <t>Deficit Agosto</t>
  </si>
  <si>
    <t>07 - Dominos</t>
  </si>
  <si>
    <t>05 - Bruxelles</t>
  </si>
  <si>
    <t>Capital =</t>
  </si>
  <si>
    <t>Proxima Fecha</t>
  </si>
  <si>
    <t>01 - Delhaize</t>
  </si>
  <si>
    <t>08 - Tom&amp;Co</t>
  </si>
  <si>
    <t>11 - Action</t>
  </si>
  <si>
    <t>11 - Delhaize</t>
  </si>
  <si>
    <t>11 - Action, Eva.</t>
  </si>
  <si>
    <t>11 - Lidl</t>
  </si>
  <si>
    <t>14 - PayPal</t>
  </si>
  <si>
    <t>13 - Media Markt</t>
  </si>
  <si>
    <t>15 - Pain quotidien</t>
  </si>
  <si>
    <t>16 - AliExpress</t>
  </si>
  <si>
    <t>17 - Colruyt</t>
  </si>
  <si>
    <t>17 - Car Hire Europcar</t>
  </si>
  <si>
    <t>17 - Action</t>
  </si>
  <si>
    <t>18 - Aldi</t>
  </si>
  <si>
    <t>18 - Delhaize</t>
  </si>
  <si>
    <t>17,19 - Genk</t>
  </si>
  <si>
    <t>18 - Decathlon</t>
  </si>
  <si>
    <t>18 - Shell</t>
  </si>
  <si>
    <t>18 - Nyx Bruselas</t>
  </si>
  <si>
    <t>18 - Primark</t>
  </si>
  <si>
    <t>18 - Ellis</t>
  </si>
  <si>
    <t>21 - Erasme</t>
  </si>
  <si>
    <t>21 - Parking Erasme</t>
  </si>
  <si>
    <t>18 - Parking Bruselas</t>
  </si>
  <si>
    <t>23 - Exky Waterloo</t>
  </si>
  <si>
    <t>23 - Veritas</t>
  </si>
  <si>
    <t>Multa (36€ restantes)</t>
  </si>
  <si>
    <t>Deficit Septiembre</t>
  </si>
  <si>
    <t>Multa (06€ restantes)</t>
  </si>
  <si>
    <t>23 - Shell</t>
  </si>
  <si>
    <t>27 - DKV</t>
  </si>
  <si>
    <t>Empieza el dia 28 de Agosto</t>
  </si>
  <si>
    <t>28 - Lidl</t>
  </si>
  <si>
    <t>21;25 - Delhaize</t>
  </si>
  <si>
    <t>21;25 - Aldi</t>
  </si>
  <si>
    <t>25 - Delhaize</t>
  </si>
  <si>
    <t>27 - Sequoia</t>
  </si>
  <si>
    <t>Efectivo en Rodas</t>
  </si>
  <si>
    <t>Parking</t>
  </si>
  <si>
    <t>28/08 - Farmacia</t>
  </si>
  <si>
    <t>28/08 - Sushi</t>
  </si>
  <si>
    <t>28/08 - Zara</t>
  </si>
  <si>
    <t>29/08</t>
  </si>
  <si>
    <t>Alter-nos</t>
  </si>
  <si>
    <t>30/08</t>
  </si>
  <si>
    <t>01/09</t>
  </si>
  <si>
    <t>03/09</t>
  </si>
  <si>
    <t>04/09</t>
  </si>
  <si>
    <t>Cartama: Alquiler+Luz+Agua-Fontanero</t>
  </si>
  <si>
    <t>Fontanero*</t>
  </si>
  <si>
    <t>* Realmente no ha salido dinero, sino que no ha llegado a entrar</t>
  </si>
  <si>
    <t>Hipoteca Reseva Mensual (399,59€)</t>
  </si>
  <si>
    <t>06/09 - Pediatra</t>
  </si>
  <si>
    <t>06/09 - Action</t>
  </si>
  <si>
    <t>CAPITAL RESTANTE</t>
  </si>
  <si>
    <t>Multa (0€ restantes)</t>
  </si>
  <si>
    <t>07/09; 08/09 - Delhaize</t>
  </si>
  <si>
    <t>08/09 - Aldi</t>
  </si>
  <si>
    <t>07/09 - Shell</t>
  </si>
  <si>
    <t>08/09/2018 - Hema</t>
  </si>
  <si>
    <t>10/09 - Basura Waterloo</t>
  </si>
  <si>
    <t>05/09 - Chrysa studios</t>
  </si>
  <si>
    <t>A vacaciones</t>
  </si>
  <si>
    <t>de Regalos</t>
  </si>
  <si>
    <t>11/09 - Papeterie</t>
  </si>
  <si>
    <t>Interés: (Euribor+0,5) mensual =</t>
  </si>
  <si>
    <t>13/09 - Sequoia</t>
  </si>
  <si>
    <t>14/09 - L'Oreal</t>
  </si>
  <si>
    <t>13/09 Parking Erasme</t>
  </si>
  <si>
    <t>16/09 Parking Erasme</t>
  </si>
  <si>
    <t>15/09 - Action</t>
  </si>
  <si>
    <t>15/09 - Delhaize</t>
  </si>
  <si>
    <t>15/09 - Aldi</t>
  </si>
  <si>
    <t>15/09 - Sushi</t>
  </si>
  <si>
    <t>Kids &amp; Us - Trimestre 1</t>
  </si>
  <si>
    <t>15/09 - Farmacia</t>
  </si>
  <si>
    <t>Acumulado</t>
  </si>
  <si>
    <t>Amortizar ultima cuota (hasta 398€)</t>
  </si>
  <si>
    <t>Reinversion casa (hasta 300€)</t>
  </si>
  <si>
    <t>GastoAnual</t>
  </si>
  <si>
    <t>17/09 Esso</t>
  </si>
  <si>
    <t>Inflar Ruedas</t>
  </si>
  <si>
    <t>18/09 - Farmacia</t>
  </si>
  <si>
    <t>17/09 Parking Erasme</t>
  </si>
  <si>
    <t>Ultima cuota (hasta 9.486,92)</t>
  </si>
  <si>
    <t>Mantenimiento</t>
  </si>
  <si>
    <t>19/09 Delhaize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</si>
</sst>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6">
    <numFmt numFmtId="8" formatCode="#,##0.00\ &quot;€&quot;;[Red]\-#,##0.00\ &quot;€&quot;"/>
    <numFmt numFmtId="164" formatCode="&quot;€&quot;#,##0.00;[Red]\-&quot;€&quot;#,##0.00"/>
    <numFmt numFmtId="165" formatCode="_-* #,##0.00_-;\-* #,##0.00_-;_-* &quot;-&quot;??_-;_-@_-"/>
    <numFmt numFmtId="166" formatCode="&quot;€&quot;#,##0.00"/>
    <numFmt numFmtId="167" formatCode="#,##0.00\ &quot;€&quot;"/>
    <numFmt numFmtId="168" formatCode="#,##0.0;[Red]#,##0.0"/>
    <numFmt numFmtId="169" formatCode="0.00000"/>
    <numFmt numFmtId="170" formatCode="0.000"/>
    <numFmt numFmtId="171" formatCode="#,##0.00&quot; €&quot;"/>
    <numFmt numFmtId="172" formatCode="#,##0.00&quot; €&quot;;[Red]\-#,##0.00&quot; €&quot;"/>
    <numFmt numFmtId="173" formatCode="mmmm\-yy;@"/>
    <numFmt numFmtId="174" formatCode="#,##0.00\ [$€-80C];[Red]\-#,##0.00\ [$€-80C]"/>
    <numFmt numFmtId="175" formatCode="0.000%"/>
    <numFmt numFmtId="176" formatCode="#,##0.00&quot; €&quot;;\-#,##0.00&quot; €&quot;"/>
    <numFmt numFmtId="177" formatCode="&quot;€&quot;\ #,##0.00;[Red]&quot;€&quot;\ #,##0.00"/>
    <numFmt numFmtId="178" formatCode="&quot;€&quot;\ #,##0.00;[Red]&quot;€&quot;\ \-#,##0.00"/>
  </numFmts>
  <fonts count="19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2"/>
      <color theme="10"/>
      <name val="宋体"/>
    </font>
    <font>
      <u/>
      <sz val="12"/>
      <color theme="10"/>
      <name val="Calibri"/>
      <family val="2"/>
      <scheme val="minor"/>
    </font>
    <font>
      <sz val="11"/>
      <color rgb="FFFFFFFF"/>
      <name val="Calibri"/>
      <family val="2"/>
      <scheme val="minor"/>
    </font>
    <font>
      <sz val="12"/>
      <color rgb="FFFFFFFF"/>
      <name val="Calibri"/>
      <family val="2"/>
      <scheme val="minor"/>
    </font>
    <font>
      <b/>
      <sz val="12"/>
      <color rgb="FF000000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7030A0"/>
      <name val="Calibri"/>
      <family val="2"/>
      <scheme val="minor"/>
    </font>
    <font>
      <u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  <charset val="1"/>
    </font>
    <font>
      <sz val="10"/>
      <color rgb="FF7030A0"/>
      <name val="Arial"/>
      <family val="2"/>
      <charset val="1"/>
    </font>
    <font>
      <strike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7B2523"/>
        <bgColor rgb="FF000000"/>
      </patternFill>
    </fill>
    <fill>
      <patternFill patternType="solid">
        <fgColor rgb="FFEAF1DD"/>
        <bgColor rgb="FF000000"/>
      </patternFill>
    </fill>
    <fill>
      <patternFill patternType="solid">
        <fgColor rgb="FFDBEEF3"/>
        <bgColor rgb="FF000000"/>
      </patternFill>
    </fill>
    <fill>
      <patternFill patternType="solid">
        <fgColor rgb="FFD9E4F1"/>
        <bgColor rgb="FF000000"/>
      </patternFill>
    </fill>
    <fill>
      <patternFill patternType="solid">
        <fgColor theme="6" tint="0.59996337778862885"/>
        <bgColor rgb="FF000000"/>
      </patternFill>
    </fill>
    <fill>
      <patternFill patternType="solid">
        <fgColor theme="8" tint="0.59996337778862885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FFFFCC"/>
        <bgColor indexed="64"/>
      </patternFill>
    </fill>
    <fill>
      <patternFill patternType="solid">
        <fgColor rgb="FFFFDC6D"/>
        <bgColor rgb="FF000000"/>
      </patternFill>
    </fill>
    <fill>
      <patternFill patternType="solid">
        <fgColor indexed="11"/>
        <bgColor indexed="49"/>
      </patternFill>
    </fill>
    <fill>
      <patternFill patternType="solid">
        <fgColor indexed="15"/>
        <bgColor indexed="35"/>
      </patternFill>
    </fill>
  </fills>
  <borders count="112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/>
      <right/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ck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ck">
        <color rgb="FF000000"/>
      </left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ck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/>
      <diagonal/>
    </border>
    <border>
      <left/>
      <right style="thick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indexed="64"/>
      </bottom>
      <diagonal/>
    </border>
    <border>
      <left/>
      <right/>
      <top style="medium">
        <color auto="1"/>
      </top>
      <bottom style="thin">
        <color indexed="64"/>
      </bottom>
      <diagonal/>
    </border>
    <border>
      <left/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indexed="8"/>
      </right>
      <top style="medium">
        <color indexed="8"/>
      </top>
      <bottom style="medium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94">
    <xf numFmtId="0" fontId="0" fillId="0" borderId="0" xfId="0"/>
    <xf numFmtId="0" fontId="1" fillId="0" borderId="0" xfId="0" applyFont="1"/>
    <xf numFmtId="166" fontId="1" fillId="0" borderId="0" xfId="0" applyNumberFormat="1" applyFont="1"/>
    <xf numFmtId="0" fontId="2" fillId="0" borderId="0" xfId="0" applyFont="1"/>
    <xf numFmtId="167" fontId="1" fillId="0" borderId="0" xfId="0" applyNumberFormat="1" applyFont="1"/>
    <xf numFmtId="8" fontId="2" fillId="0" borderId="0" xfId="0" applyNumberFormat="1" applyFont="1"/>
    <xf numFmtId="0" fontId="3" fillId="0" borderId="5" xfId="0" applyFont="1" applyBorder="1" applyAlignment="1">
      <alignment vertical="center"/>
    </xf>
    <xf numFmtId="8" fontId="2" fillId="0" borderId="0" xfId="0" applyNumberFormat="1" applyFont="1" applyAlignment="1">
      <alignment horizontal="right"/>
    </xf>
    <xf numFmtId="10" fontId="2" fillId="0" borderId="0" xfId="0" applyNumberFormat="1" applyFont="1" applyAlignment="1">
      <alignment horizontal="right"/>
    </xf>
    <xf numFmtId="0" fontId="3" fillId="0" borderId="0" xfId="0" applyFont="1" applyAlignment="1">
      <alignment vertical="center"/>
    </xf>
    <xf numFmtId="49" fontId="6" fillId="2" borderId="9" xfId="0" applyNumberFormat="1" applyFont="1" applyFill="1" applyBorder="1" applyAlignment="1">
      <alignment horizontal="center"/>
    </xf>
    <xf numFmtId="0" fontId="3" fillId="3" borderId="2" xfId="0" applyFont="1" applyFill="1" applyBorder="1"/>
    <xf numFmtId="167" fontId="1" fillId="3" borderId="15" xfId="0" applyNumberFormat="1" applyFont="1" applyFill="1" applyBorder="1"/>
    <xf numFmtId="49" fontId="3" fillId="0" borderId="2" xfId="0" applyNumberFormat="1" applyFont="1" applyBorder="1"/>
    <xf numFmtId="167" fontId="1" fillId="0" borderId="2" xfId="0" applyNumberFormat="1" applyFont="1" applyBorder="1"/>
    <xf numFmtId="49" fontId="3" fillId="3" borderId="2" xfId="0" applyNumberFormat="1" applyFont="1" applyFill="1" applyBorder="1"/>
    <xf numFmtId="167" fontId="1" fillId="3" borderId="2" xfId="0" applyNumberFormat="1" applyFont="1" applyFill="1" applyBorder="1"/>
    <xf numFmtId="167" fontId="1" fillId="0" borderId="2" xfId="0" applyNumberFormat="1" applyFont="1" applyBorder="1" applyAlignment="1">
      <alignment horizontal="right"/>
    </xf>
    <xf numFmtId="167" fontId="7" fillId="2" borderId="5" xfId="0" applyNumberFormat="1" applyFont="1" applyFill="1" applyBorder="1" applyAlignment="1">
      <alignment horizontal="right"/>
    </xf>
    <xf numFmtId="49" fontId="3" fillId="0" borderId="0" xfId="0" applyNumberFormat="1" applyFont="1"/>
    <xf numFmtId="167" fontId="2" fillId="0" borderId="0" xfId="0" applyNumberFormat="1" applyFont="1"/>
    <xf numFmtId="49" fontId="2" fillId="0" borderId="17" xfId="0" applyNumberFormat="1" applyFont="1" applyBorder="1" applyAlignment="1">
      <alignment horizontal="center" vertical="center"/>
    </xf>
    <xf numFmtId="49" fontId="2" fillId="0" borderId="10" xfId="0" applyNumberFormat="1" applyFont="1" applyBorder="1" applyAlignment="1">
      <alignment horizontal="center" vertical="center"/>
    </xf>
    <xf numFmtId="49" fontId="2" fillId="0" borderId="18" xfId="0" applyNumberFormat="1" applyFont="1" applyBorder="1" applyAlignment="1">
      <alignment horizontal="center" vertical="center"/>
    </xf>
    <xf numFmtId="49" fontId="6" fillId="2" borderId="9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5" fillId="5" borderId="19" xfId="1" applyNumberFormat="1" applyFont="1" applyFill="1" applyBorder="1" applyAlignment="1">
      <alignment horizontal="center"/>
    </xf>
    <xf numFmtId="49" fontId="5" fillId="0" borderId="19" xfId="1" applyNumberFormat="1" applyFont="1" applyBorder="1" applyAlignment="1">
      <alignment horizontal="center"/>
    </xf>
    <xf numFmtId="167" fontId="7" fillId="2" borderId="9" xfId="0" applyNumberFormat="1" applyFont="1" applyFill="1" applyBorder="1" applyAlignment="1">
      <alignment horizontal="right"/>
    </xf>
    <xf numFmtId="1" fontId="1" fillId="0" borderId="0" xfId="0" applyNumberFormat="1" applyFont="1"/>
    <xf numFmtId="40" fontId="1" fillId="0" borderId="0" xfId="0" applyNumberFormat="1" applyFont="1"/>
    <xf numFmtId="0" fontId="9" fillId="0" borderId="0" xfId="0" applyFont="1"/>
    <xf numFmtId="0" fontId="2" fillId="0" borderId="40" xfId="0" applyFont="1" applyBorder="1" applyAlignment="1">
      <alignment vertical="center"/>
    </xf>
    <xf numFmtId="0" fontId="2" fillId="0" borderId="26" xfId="0" applyFont="1" applyBorder="1"/>
    <xf numFmtId="49" fontId="2" fillId="0" borderId="43" xfId="0" applyNumberFormat="1" applyFont="1" applyBorder="1"/>
    <xf numFmtId="49" fontId="2" fillId="0" borderId="36" xfId="0" applyNumberFormat="1" applyFont="1" applyBorder="1"/>
    <xf numFmtId="0" fontId="2" fillId="0" borderId="14" xfId="0" applyFont="1" applyBorder="1"/>
    <xf numFmtId="49" fontId="2" fillId="0" borderId="45" xfId="0" applyNumberFormat="1" applyFont="1" applyBorder="1"/>
    <xf numFmtId="0" fontId="2" fillId="0" borderId="28" xfId="0" applyFont="1" applyBorder="1"/>
    <xf numFmtId="49" fontId="8" fillId="4" borderId="15" xfId="0" applyNumberFormat="1" applyFont="1" applyFill="1" applyBorder="1" applyAlignment="1"/>
    <xf numFmtId="167" fontId="1" fillId="4" borderId="22" xfId="0" applyNumberFormat="1" applyFont="1" applyFill="1" applyBorder="1" applyAlignment="1"/>
    <xf numFmtId="10" fontId="1" fillId="0" borderId="3" xfId="0" applyNumberFormat="1" applyFont="1" applyBorder="1" applyAlignment="1"/>
    <xf numFmtId="1" fontId="1" fillId="0" borderId="14" xfId="0" applyNumberFormat="1" applyFont="1" applyBorder="1" applyAlignment="1"/>
    <xf numFmtId="167" fontId="1" fillId="4" borderId="23" xfId="0" applyNumberFormat="1" applyFont="1" applyFill="1" applyBorder="1" applyAlignment="1"/>
    <xf numFmtId="49" fontId="8" fillId="0" borderId="24" xfId="0" applyNumberFormat="1" applyFont="1" applyBorder="1" applyAlignment="1"/>
    <xf numFmtId="167" fontId="1" fillId="0" borderId="23" xfId="0" applyNumberFormat="1" applyFont="1" applyBorder="1" applyAlignment="1"/>
    <xf numFmtId="49" fontId="8" fillId="4" borderId="24" xfId="0" applyNumberFormat="1" applyFont="1" applyFill="1" applyBorder="1" applyAlignment="1"/>
    <xf numFmtId="49" fontId="8" fillId="4" borderId="2" xfId="0" applyNumberFormat="1" applyFont="1" applyFill="1" applyBorder="1" applyAlignment="1"/>
    <xf numFmtId="49" fontId="2" fillId="0" borderId="9" xfId="0" applyNumberFormat="1" applyFont="1" applyBorder="1" applyAlignment="1">
      <alignment horizontal="center"/>
    </xf>
    <xf numFmtId="49" fontId="3" fillId="6" borderId="9" xfId="0" applyNumberFormat="1" applyFont="1" applyFill="1" applyBorder="1" applyAlignment="1">
      <alignment horizontal="center"/>
    </xf>
    <xf numFmtId="49" fontId="8" fillId="7" borderId="9" xfId="0" applyNumberFormat="1" applyFont="1" applyFill="1" applyBorder="1" applyAlignment="1">
      <alignment horizontal="center" vertical="center"/>
    </xf>
    <xf numFmtId="49" fontId="8" fillId="0" borderId="23" xfId="0" applyNumberFormat="1" applyFont="1" applyBorder="1" applyAlignment="1"/>
    <xf numFmtId="49" fontId="1" fillId="8" borderId="11" xfId="0" applyNumberFormat="1" applyFont="1" applyFill="1" applyBorder="1" applyAlignment="1">
      <alignment horizontal="center" vertical="center"/>
    </xf>
    <xf numFmtId="164" fontId="1" fillId="3" borderId="12" xfId="0" applyNumberFormat="1" applyFont="1" applyFill="1" applyBorder="1"/>
    <xf numFmtId="164" fontId="1" fillId="0" borderId="2" xfId="0" applyNumberFormat="1" applyFont="1" applyBorder="1"/>
    <xf numFmtId="164" fontId="1" fillId="3" borderId="2" xfId="0" applyNumberFormat="1" applyFont="1" applyFill="1" applyBorder="1"/>
    <xf numFmtId="164" fontId="1" fillId="0" borderId="2" xfId="0" applyNumberFormat="1" applyFont="1" applyBorder="1" applyAlignment="1">
      <alignment horizontal="right"/>
    </xf>
    <xf numFmtId="164" fontId="1" fillId="0" borderId="5" xfId="0" applyNumberFormat="1" applyFont="1" applyBorder="1" applyAlignment="1">
      <alignment horizontal="right"/>
    </xf>
    <xf numFmtId="164" fontId="2" fillId="4" borderId="20" xfId="0" applyNumberFormat="1" applyFont="1" applyFill="1" applyBorder="1" applyAlignment="1"/>
    <xf numFmtId="164" fontId="2" fillId="4" borderId="14" xfId="0" applyNumberFormat="1" applyFont="1" applyFill="1" applyBorder="1" applyAlignment="1"/>
    <xf numFmtId="164" fontId="2" fillId="0" borderId="30" xfId="0" applyNumberFormat="1" applyFont="1" applyBorder="1" applyAlignment="1"/>
    <xf numFmtId="164" fontId="2" fillId="4" borderId="30" xfId="0" applyNumberFormat="1" applyFont="1" applyFill="1" applyBorder="1" applyAlignment="1"/>
    <xf numFmtId="164" fontId="2" fillId="0" borderId="55" xfId="0" applyNumberFormat="1" applyFont="1" applyBorder="1" applyAlignment="1"/>
    <xf numFmtId="164" fontId="2" fillId="0" borderId="26" xfId="0" applyNumberFormat="1" applyFont="1" applyBorder="1" applyAlignment="1"/>
    <xf numFmtId="164" fontId="2" fillId="4" borderId="12" xfId="0" applyNumberFormat="1" applyFont="1" applyFill="1" applyBorder="1" applyAlignment="1"/>
    <xf numFmtId="0" fontId="2" fillId="0" borderId="59" xfId="0" applyFont="1" applyBorder="1" applyAlignment="1">
      <alignment horizontal="center" vertical="center"/>
    </xf>
    <xf numFmtId="0" fontId="2" fillId="0" borderId="55" xfId="0" applyFont="1" applyBorder="1" applyAlignment="1">
      <alignment horizontal="center" vertical="center"/>
    </xf>
    <xf numFmtId="164" fontId="2" fillId="0" borderId="60" xfId="0" applyNumberFormat="1" applyFont="1" applyBorder="1"/>
    <xf numFmtId="164" fontId="2" fillId="0" borderId="61" xfId="0" applyNumberFormat="1" applyFont="1" applyBorder="1" applyAlignment="1">
      <alignment vertical="center"/>
    </xf>
    <xf numFmtId="164" fontId="2" fillId="0" borderId="62" xfId="0" applyNumberFormat="1" applyFont="1" applyBorder="1"/>
    <xf numFmtId="164" fontId="2" fillId="0" borderId="61" xfId="0" applyNumberFormat="1" applyFont="1" applyBorder="1"/>
    <xf numFmtId="164" fontId="2" fillId="0" borderId="12" xfId="0" applyNumberFormat="1" applyFont="1" applyBorder="1"/>
    <xf numFmtId="164" fontId="2" fillId="0" borderId="63" xfId="0" applyNumberFormat="1" applyFont="1" applyBorder="1"/>
    <xf numFmtId="0" fontId="2" fillId="0" borderId="41" xfId="0" applyFont="1" applyBorder="1" applyAlignment="1">
      <alignment horizontal="center"/>
    </xf>
    <xf numFmtId="0" fontId="2" fillId="0" borderId="42" xfId="0" applyFont="1" applyBorder="1" applyAlignment="1">
      <alignment vertical="center"/>
    </xf>
    <xf numFmtId="0" fontId="2" fillId="0" borderId="44" xfId="0" applyFont="1" applyBorder="1" applyAlignment="1">
      <alignment vertical="center"/>
    </xf>
    <xf numFmtId="0" fontId="2" fillId="0" borderId="34" xfId="0" applyFont="1" applyBorder="1" applyAlignment="1">
      <alignment vertical="center"/>
    </xf>
    <xf numFmtId="0" fontId="1" fillId="0" borderId="50" xfId="0" applyNumberFormat="1" applyFont="1" applyBorder="1" applyAlignment="1">
      <alignment horizontal="center" vertical="center"/>
    </xf>
    <xf numFmtId="164" fontId="1" fillId="0" borderId="7" xfId="0" applyNumberFormat="1" applyFont="1" applyBorder="1" applyAlignment="1">
      <alignment vertical="center"/>
    </xf>
    <xf numFmtId="49" fontId="2" fillId="0" borderId="14" xfId="0" applyNumberFormat="1" applyFont="1" applyBorder="1"/>
    <xf numFmtId="0" fontId="10" fillId="0" borderId="0" xfId="0" applyFont="1"/>
    <xf numFmtId="0" fontId="11" fillId="0" borderId="0" xfId="0" applyFont="1"/>
    <xf numFmtId="164" fontId="10" fillId="0" borderId="0" xfId="0" applyNumberFormat="1" applyFont="1"/>
    <xf numFmtId="164" fontId="2" fillId="4" borderId="21" xfId="0" applyNumberFormat="1" applyFont="1" applyFill="1" applyBorder="1" applyAlignment="1"/>
    <xf numFmtId="164" fontId="2" fillId="0" borderId="25" xfId="0" applyNumberFormat="1" applyFont="1" applyBorder="1" applyAlignment="1"/>
    <xf numFmtId="164" fontId="2" fillId="4" borderId="27" xfId="0" applyNumberFormat="1" applyFont="1" applyFill="1" applyBorder="1" applyAlignment="1"/>
    <xf numFmtId="164" fontId="2" fillId="0" borderId="57" xfId="0" applyNumberFormat="1" applyFont="1" applyBorder="1" applyAlignment="1"/>
    <xf numFmtId="164" fontId="2" fillId="4" borderId="56" xfId="0" applyNumberFormat="1" applyFont="1" applyFill="1" applyBorder="1" applyAlignment="1"/>
    <xf numFmtId="164" fontId="2" fillId="0" borderId="29" xfId="0" applyNumberFormat="1" applyFont="1" applyBorder="1" applyAlignment="1"/>
    <xf numFmtId="164" fontId="2" fillId="4" borderId="29" xfId="0" applyNumberFormat="1" applyFont="1" applyFill="1" applyBorder="1" applyAlignment="1"/>
    <xf numFmtId="49" fontId="2" fillId="0" borderId="45" xfId="0" applyNumberFormat="1" applyFont="1" applyBorder="1" applyAlignment="1">
      <alignment wrapText="1"/>
    </xf>
    <xf numFmtId="0" fontId="2" fillId="0" borderId="43" xfId="0" applyFont="1" applyBorder="1"/>
    <xf numFmtId="49" fontId="12" fillId="0" borderId="14" xfId="0" applyNumberFormat="1" applyFont="1" applyBorder="1"/>
    <xf numFmtId="49" fontId="13" fillId="0" borderId="14" xfId="0" applyNumberFormat="1" applyFont="1" applyBorder="1"/>
    <xf numFmtId="0" fontId="2" fillId="0" borderId="43" xfId="0" applyFont="1" applyBorder="1" applyAlignment="1">
      <alignment horizontal="left" vertical="center"/>
    </xf>
    <xf numFmtId="167" fontId="1" fillId="0" borderId="0" xfId="0" applyNumberFormat="1" applyFont="1"/>
    <xf numFmtId="49" fontId="8" fillId="4" borderId="23" xfId="0" applyNumberFormat="1" applyFont="1" applyFill="1" applyBorder="1" applyAlignment="1"/>
    <xf numFmtId="164" fontId="2" fillId="4" borderId="26" xfId="0" applyNumberFormat="1" applyFont="1" applyFill="1" applyBorder="1" applyAlignment="1"/>
    <xf numFmtId="164" fontId="2" fillId="4" borderId="57" xfId="0" applyNumberFormat="1" applyFont="1" applyFill="1" applyBorder="1" applyAlignment="1"/>
    <xf numFmtId="49" fontId="8" fillId="0" borderId="66" xfId="0" applyNumberFormat="1" applyFont="1" applyBorder="1" applyAlignment="1"/>
    <xf numFmtId="49" fontId="5" fillId="0" borderId="69" xfId="1" applyNumberFormat="1" applyFont="1" applyBorder="1" applyAlignment="1">
      <alignment horizontal="center"/>
    </xf>
    <xf numFmtId="164" fontId="2" fillId="0" borderId="70" xfId="0" applyNumberFormat="1" applyFont="1" applyBorder="1" applyAlignment="1"/>
    <xf numFmtId="164" fontId="2" fillId="0" borderId="71" xfId="0" applyNumberFormat="1" applyFont="1" applyBorder="1" applyAlignment="1"/>
    <xf numFmtId="164" fontId="2" fillId="0" borderId="72" xfId="0" applyNumberFormat="1" applyFont="1" applyBorder="1" applyAlignment="1"/>
    <xf numFmtId="167" fontId="1" fillId="0" borderId="66" xfId="0" applyNumberFormat="1" applyFont="1" applyBorder="1" applyAlignment="1"/>
    <xf numFmtId="164" fontId="2" fillId="4" borderId="3" xfId="0" applyNumberFormat="1" applyFont="1" applyFill="1" applyBorder="1" applyAlignment="1">
      <alignment horizontal="right"/>
    </xf>
    <xf numFmtId="164" fontId="2" fillId="0" borderId="47" xfId="0" applyNumberFormat="1" applyFont="1" applyBorder="1" applyAlignment="1">
      <alignment horizontal="right"/>
    </xf>
    <xf numFmtId="164" fontId="2" fillId="4" borderId="47" xfId="0" applyNumberFormat="1" applyFont="1" applyFill="1" applyBorder="1" applyAlignment="1">
      <alignment horizontal="right"/>
    </xf>
    <xf numFmtId="164" fontId="2" fillId="0" borderId="23" xfId="0" applyNumberFormat="1" applyFont="1" applyBorder="1" applyAlignment="1">
      <alignment horizontal="right"/>
    </xf>
    <xf numFmtId="164" fontId="2" fillId="4" borderId="67" xfId="0" applyNumberFormat="1" applyFont="1" applyFill="1" applyBorder="1" applyAlignment="1">
      <alignment horizontal="right"/>
    </xf>
    <xf numFmtId="164" fontId="2" fillId="0" borderId="68" xfId="0" applyNumberFormat="1" applyFont="1" applyBorder="1" applyAlignment="1">
      <alignment horizontal="right"/>
    </xf>
    <xf numFmtId="0" fontId="3" fillId="9" borderId="1" xfId="0" applyFont="1" applyFill="1" applyBorder="1" applyAlignment="1"/>
    <xf numFmtId="0" fontId="3" fillId="10" borderId="9" xfId="0" applyFont="1" applyFill="1" applyBorder="1"/>
    <xf numFmtId="164" fontId="2" fillId="10" borderId="11" xfId="0" applyNumberFormat="1" applyFont="1" applyFill="1" applyBorder="1"/>
    <xf numFmtId="8" fontId="2" fillId="10" borderId="17" xfId="0" applyNumberFormat="1" applyFont="1" applyFill="1" applyBorder="1"/>
    <xf numFmtId="164" fontId="2" fillId="10" borderId="10" xfId="0" applyNumberFormat="1" applyFont="1" applyFill="1" applyBorder="1"/>
    <xf numFmtId="164" fontId="2" fillId="10" borderId="18" xfId="0" applyNumberFormat="1" applyFont="1" applyFill="1" applyBorder="1"/>
    <xf numFmtId="164" fontId="1" fillId="0" borderId="0" xfId="0" applyNumberFormat="1" applyFont="1"/>
    <xf numFmtId="168" fontId="1" fillId="0" borderId="0" xfId="0" applyNumberFormat="1" applyFont="1"/>
    <xf numFmtId="167" fontId="2" fillId="0" borderId="61" xfId="0" applyNumberFormat="1" applyFont="1" applyBorder="1" applyAlignment="1">
      <alignment vertical="center"/>
    </xf>
    <xf numFmtId="164" fontId="1" fillId="3" borderId="16" xfId="0" applyNumberFormat="1" applyFont="1" applyFill="1" applyBorder="1"/>
    <xf numFmtId="167" fontId="1" fillId="3" borderId="16" xfId="0" applyNumberFormat="1" applyFont="1" applyFill="1" applyBorder="1"/>
    <xf numFmtId="164" fontId="0" fillId="0" borderId="0" xfId="0" applyNumberFormat="1"/>
    <xf numFmtId="0" fontId="0" fillId="0" borderId="0" xfId="0" applyNumberFormat="1"/>
    <xf numFmtId="0" fontId="2" fillId="0" borderId="74" xfId="0" applyFont="1" applyBorder="1" applyAlignment="1">
      <alignment vertical="center"/>
    </xf>
    <xf numFmtId="2" fontId="0" fillId="0" borderId="0" xfId="0" applyNumberFormat="1"/>
    <xf numFmtId="169" fontId="0" fillId="0" borderId="0" xfId="0" applyNumberFormat="1"/>
    <xf numFmtId="0" fontId="14" fillId="0" borderId="0" xfId="0" applyFont="1" applyAlignment="1">
      <alignment horizontal="center"/>
    </xf>
    <xf numFmtId="0" fontId="15" fillId="0" borderId="0" xfId="0" applyFont="1"/>
    <xf numFmtId="169" fontId="15" fillId="0" borderId="0" xfId="0" applyNumberFormat="1" applyFont="1"/>
    <xf numFmtId="1" fontId="0" fillId="0" borderId="0" xfId="0" applyNumberFormat="1"/>
    <xf numFmtId="0" fontId="14" fillId="0" borderId="0" xfId="0" applyFont="1"/>
    <xf numFmtId="170" fontId="0" fillId="0" borderId="0" xfId="0" applyNumberFormat="1" applyAlignment="1">
      <alignment horizontal="right"/>
    </xf>
    <xf numFmtId="171" fontId="0" fillId="0" borderId="0" xfId="0" applyNumberFormat="1" applyAlignment="1">
      <alignment horizontal="right"/>
    </xf>
    <xf numFmtId="169" fontId="0" fillId="0" borderId="0" xfId="0" applyNumberFormat="1" applyAlignment="1">
      <alignment horizontal="center"/>
    </xf>
    <xf numFmtId="171" fontId="0" fillId="0" borderId="75" xfId="0" applyNumberFormat="1" applyBorder="1" applyAlignment="1">
      <alignment horizontal="right"/>
    </xf>
    <xf numFmtId="171" fontId="0" fillId="11" borderId="0" xfId="0" applyNumberFormat="1" applyFill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right"/>
    </xf>
    <xf numFmtId="171" fontId="0" fillId="12" borderId="0" xfId="0" applyNumberFormat="1" applyFill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right"/>
    </xf>
    <xf numFmtId="10" fontId="0" fillId="0" borderId="0" xfId="0" applyNumberFormat="1" applyAlignment="1">
      <alignment horizontal="right"/>
    </xf>
    <xf numFmtId="10" fontId="0" fillId="0" borderId="0" xfId="0" applyNumberFormat="1"/>
    <xf numFmtId="0" fontId="16" fillId="0" borderId="0" xfId="0" applyFont="1"/>
    <xf numFmtId="0" fontId="15" fillId="0" borderId="76" xfId="0" applyFont="1" applyBorder="1" applyAlignment="1">
      <alignment horizontal="center"/>
    </xf>
    <xf numFmtId="0" fontId="15" fillId="0" borderId="77" xfId="0" applyFont="1" applyBorder="1" applyAlignment="1">
      <alignment horizontal="center"/>
    </xf>
    <xf numFmtId="0" fontId="15" fillId="0" borderId="78" xfId="0" applyFont="1" applyBorder="1" applyAlignment="1">
      <alignment horizontal="center"/>
    </xf>
    <xf numFmtId="0" fontId="15" fillId="0" borderId="79" xfId="0" applyFont="1" applyBorder="1" applyAlignment="1">
      <alignment horizontal="center"/>
    </xf>
    <xf numFmtId="0" fontId="15" fillId="0" borderId="81" xfId="0" applyFont="1" applyBorder="1"/>
    <xf numFmtId="171" fontId="0" fillId="0" borderId="82" xfId="0" applyNumberFormat="1" applyBorder="1"/>
    <xf numFmtId="40" fontId="0" fillId="0" borderId="82" xfId="0" applyNumberFormat="1" applyBorder="1"/>
    <xf numFmtId="174" fontId="0" fillId="0" borderId="0" xfId="0" applyNumberFormat="1"/>
    <xf numFmtId="173" fontId="0" fillId="0" borderId="83" xfId="0" applyNumberFormat="1" applyBorder="1" applyAlignment="1">
      <alignment horizontal="center"/>
    </xf>
    <xf numFmtId="171" fontId="0" fillId="0" borderId="84" xfId="0" applyNumberFormat="1" applyBorder="1"/>
    <xf numFmtId="175" fontId="0" fillId="0" borderId="75" xfId="0" applyNumberFormat="1" applyBorder="1"/>
    <xf numFmtId="40" fontId="0" fillId="0" borderId="85" xfId="0" applyNumberFormat="1" applyBorder="1"/>
    <xf numFmtId="171" fontId="0" fillId="0" borderId="85" xfId="0" applyNumberFormat="1" applyBorder="1"/>
    <xf numFmtId="176" fontId="0" fillId="0" borderId="85" xfId="0" applyNumberFormat="1" applyBorder="1"/>
    <xf numFmtId="171" fontId="0" fillId="0" borderId="86" xfId="0" applyNumberFormat="1" applyBorder="1"/>
    <xf numFmtId="171" fontId="15" fillId="0" borderId="85" xfId="0" applyNumberFormat="1" applyFont="1" applyBorder="1"/>
    <xf numFmtId="171" fontId="15" fillId="0" borderId="86" xfId="0" applyNumberFormat="1" applyFont="1" applyBorder="1"/>
    <xf numFmtId="173" fontId="15" fillId="0" borderId="83" xfId="0" applyNumberFormat="1" applyFont="1" applyBorder="1" applyAlignment="1">
      <alignment horizontal="center"/>
    </xf>
    <xf numFmtId="14" fontId="0" fillId="0" borderId="83" xfId="0" applyNumberFormat="1" applyBorder="1" applyAlignment="1">
      <alignment horizontal="center"/>
    </xf>
    <xf numFmtId="177" fontId="17" fillId="0" borderId="86" xfId="0" applyNumberFormat="1" applyFont="1" applyBorder="1"/>
    <xf numFmtId="178" fontId="0" fillId="0" borderId="85" xfId="0" applyNumberFormat="1" applyBorder="1"/>
    <xf numFmtId="175" fontId="0" fillId="0" borderId="88" xfId="0" applyNumberFormat="1" applyBorder="1"/>
    <xf numFmtId="171" fontId="0" fillId="0" borderId="89" xfId="0" applyNumberFormat="1" applyBorder="1"/>
    <xf numFmtId="40" fontId="0" fillId="0" borderId="90" xfId="0" applyNumberFormat="1" applyBorder="1"/>
    <xf numFmtId="171" fontId="0" fillId="0" borderId="90" xfId="0" applyNumberFormat="1" applyBorder="1"/>
    <xf numFmtId="175" fontId="0" fillId="0" borderId="0" xfId="0" applyNumberFormat="1"/>
    <xf numFmtId="171" fontId="0" fillId="0" borderId="0" xfId="0" applyNumberFormat="1"/>
    <xf numFmtId="40" fontId="0" fillId="0" borderId="0" xfId="0" applyNumberFormat="1"/>
    <xf numFmtId="49" fontId="0" fillId="0" borderId="0" xfId="0" applyNumberFormat="1" applyFont="1"/>
    <xf numFmtId="0" fontId="0" fillId="0" borderId="0" xfId="0" applyAlignment="1">
      <alignment wrapText="1"/>
    </xf>
    <xf numFmtId="0" fontId="0" fillId="0" borderId="0" xfId="0" applyFont="1"/>
    <xf numFmtId="171" fontId="0" fillId="0" borderId="0" xfId="0" applyNumberFormat="1" applyBorder="1"/>
    <xf numFmtId="14" fontId="0" fillId="0" borderId="90" xfId="0" applyNumberFormat="1" applyBorder="1" applyAlignment="1">
      <alignment horizontal="center"/>
    </xf>
    <xf numFmtId="164" fontId="0" fillId="0" borderId="0" xfId="0" applyNumberFormat="1" applyFont="1"/>
    <xf numFmtId="0" fontId="0" fillId="0" borderId="92" xfId="0" applyBorder="1" applyAlignment="1"/>
    <xf numFmtId="0" fontId="0" fillId="0" borderId="93" xfId="0" applyBorder="1" applyAlignment="1"/>
    <xf numFmtId="14" fontId="0" fillId="0" borderId="99" xfId="0" applyNumberFormat="1" applyBorder="1"/>
    <xf numFmtId="14" fontId="0" fillId="0" borderId="100" xfId="0" applyNumberFormat="1" applyBorder="1"/>
    <xf numFmtId="14" fontId="0" fillId="0" borderId="101" xfId="0" applyNumberFormat="1" applyBorder="1"/>
    <xf numFmtId="164" fontId="0" fillId="0" borderId="91" xfId="0" applyNumberFormat="1" applyBorder="1"/>
    <xf numFmtId="164" fontId="0" fillId="0" borderId="93" xfId="0" applyNumberFormat="1" applyBorder="1"/>
    <xf numFmtId="166" fontId="0" fillId="0" borderId="91" xfId="0" applyNumberFormat="1" applyBorder="1"/>
    <xf numFmtId="166" fontId="0" fillId="0" borderId="93" xfId="0" applyNumberFormat="1" applyBorder="1"/>
    <xf numFmtId="166" fontId="1" fillId="0" borderId="0" xfId="0" applyNumberFormat="1" applyFont="1" applyAlignment="1">
      <alignment vertical="top"/>
    </xf>
    <xf numFmtId="0" fontId="2" fillId="0" borderId="60" xfId="0" applyNumberFormat="1" applyFont="1" applyBorder="1" applyAlignment="1">
      <alignment horizontal="center" vertical="center"/>
    </xf>
    <xf numFmtId="0" fontId="2" fillId="0" borderId="61" xfId="0" applyNumberFormat="1" applyFont="1" applyBorder="1" applyAlignment="1">
      <alignment horizontal="center" vertical="center"/>
    </xf>
    <xf numFmtId="0" fontId="2" fillId="0" borderId="62" xfId="0" applyNumberFormat="1" applyFont="1" applyBorder="1" applyAlignment="1">
      <alignment horizontal="center" vertical="center"/>
    </xf>
    <xf numFmtId="166" fontId="18" fillId="0" borderId="91" xfId="0" applyNumberFormat="1" applyFont="1" applyBorder="1"/>
    <xf numFmtId="165" fontId="0" fillId="0" borderId="91" xfId="0" applyNumberFormat="1" applyFont="1" applyBorder="1"/>
    <xf numFmtId="166" fontId="0" fillId="0" borderId="91" xfId="0" applyNumberFormat="1" applyFont="1" applyBorder="1"/>
    <xf numFmtId="0" fontId="2" fillId="0" borderId="108" xfId="0" applyFont="1" applyBorder="1"/>
    <xf numFmtId="0" fontId="2" fillId="0" borderId="60" xfId="0" applyFont="1" applyBorder="1" applyAlignment="1">
      <alignment vertical="center"/>
    </xf>
    <xf numFmtId="0" fontId="2" fillId="0" borderId="12" xfId="0" applyFont="1" applyBorder="1"/>
    <xf numFmtId="0" fontId="2" fillId="0" borderId="61" xfId="0" applyFont="1" applyBorder="1" applyAlignment="1">
      <alignment vertical="center"/>
    </xf>
    <xf numFmtId="0" fontId="2" fillId="0" borderId="62" xfId="0" applyFont="1" applyBorder="1" applyAlignment="1">
      <alignment vertical="center"/>
    </xf>
    <xf numFmtId="0" fontId="2" fillId="0" borderId="63" xfId="0" applyFont="1" applyBorder="1"/>
    <xf numFmtId="167" fontId="0" fillId="0" borderId="0" xfId="0" applyNumberFormat="1"/>
    <xf numFmtId="8" fontId="1" fillId="0" borderId="0" xfId="0" applyNumberFormat="1" applyFont="1"/>
    <xf numFmtId="8" fontId="0" fillId="0" borderId="0" xfId="0" applyNumberFormat="1" applyFont="1"/>
    <xf numFmtId="14" fontId="0" fillId="0" borderId="0" xfId="0" applyNumberFormat="1"/>
    <xf numFmtId="0" fontId="15" fillId="0" borderId="109" xfId="0" applyFont="1" applyBorder="1" applyAlignment="1">
      <alignment horizontal="center"/>
    </xf>
    <xf numFmtId="8" fontId="0" fillId="0" borderId="110" xfId="0" applyNumberFormat="1" applyBorder="1" applyAlignment="1">
      <alignment horizontal="center"/>
    </xf>
    <xf numFmtId="8" fontId="15" fillId="0" borderId="110" xfId="0" applyNumberFormat="1" applyFont="1" applyBorder="1" applyAlignment="1">
      <alignment horizontal="center"/>
    </xf>
    <xf numFmtId="8" fontId="0" fillId="0" borderId="111" xfId="0" applyNumberFormat="1" applyBorder="1" applyAlignment="1">
      <alignment horizontal="center"/>
    </xf>
    <xf numFmtId="8" fontId="0" fillId="0" borderId="0" xfId="0" applyNumberFormat="1"/>
    <xf numFmtId="14" fontId="0" fillId="0" borderId="80" xfId="0" applyNumberFormat="1" applyBorder="1" applyAlignment="1">
      <alignment horizontal="center"/>
    </xf>
    <xf numFmtId="14" fontId="15" fillId="0" borderId="80" xfId="0" applyNumberFormat="1" applyFont="1" applyBorder="1" applyAlignment="1">
      <alignment horizontal="center"/>
    </xf>
    <xf numFmtId="14" fontId="0" fillId="0" borderId="87" xfId="0" applyNumberFormat="1" applyBorder="1" applyAlignment="1">
      <alignment horizontal="center"/>
    </xf>
    <xf numFmtId="16" fontId="2" fillId="0" borderId="43" xfId="0" applyNumberFormat="1" applyFont="1" applyBorder="1"/>
    <xf numFmtId="164" fontId="2" fillId="3" borderId="3" xfId="0" applyNumberFormat="1" applyFont="1" applyFill="1" applyBorder="1" applyAlignment="1">
      <alignment horizontal="right"/>
    </xf>
    <xf numFmtId="164" fontId="2" fillId="3" borderId="0" xfId="0" applyNumberFormat="1" applyFont="1" applyFill="1" applyBorder="1" applyAlignment="1">
      <alignment horizontal="right"/>
    </xf>
    <xf numFmtId="164" fontId="2" fillId="3" borderId="4" xfId="0" applyNumberFormat="1" applyFont="1" applyFill="1" applyBorder="1" applyAlignment="1">
      <alignment horizontal="right"/>
    </xf>
    <xf numFmtId="164" fontId="2" fillId="0" borderId="3" xfId="0" applyNumberFormat="1" applyFont="1" applyBorder="1" applyAlignment="1">
      <alignment horizontal="right"/>
    </xf>
    <xf numFmtId="164" fontId="2" fillId="0" borderId="0" xfId="0" applyNumberFormat="1" applyFont="1" applyBorder="1" applyAlignment="1">
      <alignment horizontal="right"/>
    </xf>
    <xf numFmtId="164" fontId="2" fillId="0" borderId="4" xfId="0" applyNumberFormat="1" applyFont="1" applyBorder="1" applyAlignment="1">
      <alignment horizontal="right"/>
    </xf>
    <xf numFmtId="49" fontId="5" fillId="0" borderId="51" xfId="1" applyNumberFormat="1" applyFont="1" applyBorder="1" applyAlignment="1">
      <alignment horizontal="center" vertical="center"/>
    </xf>
    <xf numFmtId="49" fontId="5" fillId="0" borderId="46" xfId="1" applyNumberFormat="1" applyFont="1" applyBorder="1" applyAlignment="1">
      <alignment horizontal="center" vertical="center"/>
    </xf>
    <xf numFmtId="49" fontId="5" fillId="0" borderId="52" xfId="1" applyNumberFormat="1" applyFont="1" applyBorder="1" applyAlignment="1">
      <alignment horizontal="center" vertical="center"/>
    </xf>
    <xf numFmtId="164" fontId="1" fillId="0" borderId="7" xfId="0" applyNumberFormat="1" applyFont="1" applyBorder="1" applyAlignment="1">
      <alignment vertical="center"/>
    </xf>
    <xf numFmtId="164" fontId="1" fillId="0" borderId="6" xfId="0" applyNumberFormat="1" applyFont="1" applyBorder="1" applyAlignment="1">
      <alignment vertical="center"/>
    </xf>
    <xf numFmtId="164" fontId="1" fillId="0" borderId="8" xfId="0" applyNumberFormat="1" applyFont="1" applyBorder="1" applyAlignment="1">
      <alignment vertical="center"/>
    </xf>
    <xf numFmtId="49" fontId="2" fillId="0" borderId="11" xfId="0" applyNumberFormat="1" applyFont="1" applyBorder="1" applyAlignment="1">
      <alignment horizontal="center"/>
    </xf>
    <xf numFmtId="49" fontId="2" fillId="0" borderId="46" xfId="0" applyNumberFormat="1" applyFont="1" applyBorder="1" applyAlignment="1">
      <alignment horizontal="center"/>
    </xf>
    <xf numFmtId="49" fontId="2" fillId="0" borderId="52" xfId="0" applyNumberFormat="1" applyFont="1" applyBorder="1" applyAlignment="1">
      <alignment horizontal="center"/>
    </xf>
    <xf numFmtId="164" fontId="2" fillId="3" borderId="53" xfId="0" applyNumberFormat="1" applyFont="1" applyFill="1" applyBorder="1" applyAlignment="1">
      <alignment horizontal="right"/>
    </xf>
    <xf numFmtId="164" fontId="2" fillId="3" borderId="32" xfId="0" applyNumberFormat="1" applyFont="1" applyFill="1" applyBorder="1" applyAlignment="1">
      <alignment horizontal="right"/>
    </xf>
    <xf numFmtId="164" fontId="2" fillId="3" borderId="54" xfId="0" applyNumberFormat="1" applyFont="1" applyFill="1" applyBorder="1" applyAlignment="1">
      <alignment horizontal="right"/>
    </xf>
    <xf numFmtId="164" fontId="1" fillId="0" borderId="7" xfId="0" quotePrefix="1" applyNumberFormat="1" applyFont="1" applyBorder="1" applyAlignment="1">
      <alignment vertical="center"/>
    </xf>
    <xf numFmtId="164" fontId="2" fillId="3" borderId="48" xfId="0" applyNumberFormat="1" applyFont="1" applyFill="1" applyBorder="1" applyAlignment="1">
      <alignment horizontal="right"/>
    </xf>
    <xf numFmtId="164" fontId="2" fillId="3" borderId="35" xfId="0" applyNumberFormat="1" applyFont="1" applyFill="1" applyBorder="1" applyAlignment="1">
      <alignment horizontal="right"/>
    </xf>
    <xf numFmtId="164" fontId="2" fillId="3" borderId="49" xfId="0" applyNumberFormat="1" applyFont="1" applyFill="1" applyBorder="1" applyAlignment="1">
      <alignment horizontal="right"/>
    </xf>
    <xf numFmtId="164" fontId="2" fillId="0" borderId="7" xfId="0" applyNumberFormat="1" applyFont="1" applyBorder="1" applyAlignment="1">
      <alignment horizontal="right"/>
    </xf>
    <xf numFmtId="164" fontId="2" fillId="0" borderId="6" xfId="0" applyNumberFormat="1" applyFont="1" applyBorder="1" applyAlignment="1">
      <alignment horizontal="right"/>
    </xf>
    <xf numFmtId="164" fontId="2" fillId="0" borderId="8" xfId="0" applyNumberFormat="1" applyFont="1" applyBorder="1" applyAlignment="1">
      <alignment horizontal="right"/>
    </xf>
    <xf numFmtId="0" fontId="1" fillId="0" borderId="73" xfId="0" applyFont="1" applyBorder="1" applyAlignment="1">
      <alignment vertical="top" wrapText="1"/>
    </xf>
    <xf numFmtId="0" fontId="0" fillId="0" borderId="94" xfId="0" applyBorder="1" applyAlignment="1">
      <alignment horizontal="center"/>
    </xf>
    <xf numFmtId="0" fontId="0" fillId="0" borderId="95" xfId="0" applyBorder="1" applyAlignment="1">
      <alignment horizontal="center"/>
    </xf>
    <xf numFmtId="0" fontId="0" fillId="0" borderId="96" xfId="0" applyBorder="1" applyAlignment="1">
      <alignment horizontal="center"/>
    </xf>
    <xf numFmtId="0" fontId="0" fillId="0" borderId="97" xfId="0" applyBorder="1" applyAlignment="1"/>
    <xf numFmtId="0" fontId="0" fillId="0" borderId="98" xfId="0" applyBorder="1" applyAlignment="1"/>
    <xf numFmtId="0" fontId="0" fillId="0" borderId="102" xfId="0" applyNumberFormat="1" applyBorder="1" applyAlignment="1"/>
    <xf numFmtId="0" fontId="0" fillId="0" borderId="103" xfId="0" applyNumberFormat="1" applyBorder="1" applyAlignment="1"/>
    <xf numFmtId="0" fontId="0" fillId="0" borderId="106" xfId="0" applyNumberFormat="1" applyBorder="1" applyAlignment="1"/>
    <xf numFmtId="0" fontId="0" fillId="0" borderId="107" xfId="0" applyNumberFormat="1" applyBorder="1" applyAlignment="1"/>
    <xf numFmtId="0" fontId="0" fillId="0" borderId="104" xfId="0" applyNumberFormat="1" applyBorder="1" applyAlignment="1"/>
    <xf numFmtId="0" fontId="0" fillId="0" borderId="105" xfId="0" applyNumberFormat="1" applyBorder="1" applyAlignment="1"/>
    <xf numFmtId="0" fontId="18" fillId="0" borderId="102" xfId="0" applyNumberFormat="1" applyFont="1" applyBorder="1" applyAlignment="1"/>
    <xf numFmtId="0" fontId="18" fillId="0" borderId="103" xfId="0" applyNumberFormat="1" applyFont="1" applyBorder="1" applyAlignment="1"/>
    <xf numFmtId="2" fontId="18" fillId="0" borderId="104" xfId="0" applyNumberFormat="1" applyFont="1" applyBorder="1" applyAlignment="1"/>
    <xf numFmtId="2" fontId="18" fillId="0" borderId="105" xfId="0" applyNumberFormat="1" applyFont="1" applyBorder="1" applyAlignment="1"/>
    <xf numFmtId="0" fontId="18" fillId="0" borderId="104" xfId="0" applyNumberFormat="1" applyFont="1" applyBorder="1" applyAlignment="1"/>
    <xf numFmtId="0" fontId="18" fillId="0" borderId="105" xfId="0" applyNumberFormat="1" applyFont="1" applyBorder="1" applyAlignment="1"/>
    <xf numFmtId="0" fontId="0" fillId="0" borderId="104" xfId="0" applyNumberFormat="1" applyBorder="1" applyAlignment="1">
      <alignment horizontal="left"/>
    </xf>
    <xf numFmtId="0" fontId="0" fillId="0" borderId="105" xfId="0" applyNumberFormat="1" applyBorder="1" applyAlignment="1">
      <alignment horizontal="left"/>
    </xf>
    <xf numFmtId="0" fontId="0" fillId="0" borderId="104" xfId="0" applyNumberFormat="1" applyBorder="1" applyAlignment="1">
      <alignment horizontal="center"/>
    </xf>
    <xf numFmtId="0" fontId="0" fillId="0" borderId="105" xfId="0" applyNumberFormat="1" applyBorder="1" applyAlignment="1">
      <alignment horizontal="center"/>
    </xf>
    <xf numFmtId="0" fontId="0" fillId="0" borderId="106" xfId="0" applyNumberFormat="1" applyBorder="1" applyAlignment="1">
      <alignment horizontal="center"/>
    </xf>
    <xf numFmtId="0" fontId="0" fillId="0" borderId="107" xfId="0" applyNumberFormat="1" applyBorder="1" applyAlignment="1">
      <alignment horizontal="center"/>
    </xf>
    <xf numFmtId="0" fontId="0" fillId="0" borderId="106" xfId="0" applyNumberFormat="1" applyBorder="1" applyAlignment="1">
      <alignment horizontal="left"/>
    </xf>
    <xf numFmtId="0" fontId="0" fillId="0" borderId="107" xfId="0" applyNumberFormat="1" applyBorder="1" applyAlignment="1">
      <alignment horizontal="left"/>
    </xf>
    <xf numFmtId="0" fontId="0" fillId="0" borderId="104" xfId="0" applyNumberFormat="1" applyFont="1" applyBorder="1" applyAlignment="1"/>
    <xf numFmtId="0" fontId="0" fillId="0" borderId="105" xfId="0" applyNumberFormat="1" applyFont="1" applyBorder="1" applyAlignment="1"/>
    <xf numFmtId="0" fontId="0" fillId="0" borderId="102" xfId="0" applyNumberFormat="1" applyBorder="1" applyAlignment="1">
      <alignment horizontal="center"/>
    </xf>
    <xf numFmtId="0" fontId="0" fillId="0" borderId="103" xfId="0" applyNumberFormat="1" applyBorder="1" applyAlignment="1">
      <alignment horizontal="center"/>
    </xf>
    <xf numFmtId="0" fontId="0" fillId="0" borderId="102" xfId="0" applyNumberFormat="1" applyBorder="1" applyAlignment="1">
      <alignment horizontal="left"/>
    </xf>
    <xf numFmtId="0" fontId="0" fillId="0" borderId="103" xfId="0" applyNumberFormat="1" applyBorder="1" applyAlignment="1">
      <alignment horizontal="left"/>
    </xf>
    <xf numFmtId="49" fontId="5" fillId="0" borderId="31" xfId="1" quotePrefix="1" applyNumberFormat="1" applyFont="1" applyBorder="1" applyAlignment="1">
      <alignment horizontal="center" vertical="center"/>
    </xf>
    <xf numFmtId="0" fontId="5" fillId="0" borderId="32" xfId="1" applyNumberFormat="1" applyFont="1" applyBorder="1" applyAlignment="1">
      <alignment horizontal="center" vertical="center"/>
    </xf>
    <xf numFmtId="0" fontId="5" fillId="0" borderId="33" xfId="1" applyNumberFormat="1" applyFont="1" applyBorder="1" applyAlignment="1">
      <alignment horizontal="center" vertical="center"/>
    </xf>
    <xf numFmtId="0" fontId="5" fillId="0" borderId="34" xfId="1" applyNumberFormat="1" applyFont="1" applyBorder="1" applyAlignment="1">
      <alignment horizontal="center" vertical="center"/>
    </xf>
    <xf numFmtId="0" fontId="5" fillId="0" borderId="35" xfId="1" applyNumberFormat="1" applyFont="1" applyBorder="1" applyAlignment="1">
      <alignment horizontal="center" vertical="center"/>
    </xf>
    <xf numFmtId="0" fontId="5" fillId="0" borderId="36" xfId="1" applyNumberFormat="1" applyFont="1" applyBorder="1" applyAlignment="1">
      <alignment horizontal="center" vertical="center"/>
    </xf>
    <xf numFmtId="0" fontId="2" fillId="0" borderId="38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164" fontId="2" fillId="0" borderId="13" xfId="0" applyNumberFormat="1" applyFont="1" applyBorder="1" applyAlignment="1">
      <alignment horizontal="right"/>
    </xf>
    <xf numFmtId="164" fontId="2" fillId="0" borderId="43" xfId="0" applyNumberFormat="1" applyFont="1" applyBorder="1" applyAlignment="1">
      <alignment horizontal="right"/>
    </xf>
    <xf numFmtId="164" fontId="2" fillId="0" borderId="65" xfId="0" applyNumberFormat="1" applyFont="1" applyBorder="1" applyAlignment="1">
      <alignment horizontal="right"/>
    </xf>
    <xf numFmtId="164" fontId="2" fillId="0" borderId="36" xfId="0" applyNumberFormat="1" applyFont="1" applyBorder="1" applyAlignment="1">
      <alignment horizontal="right"/>
    </xf>
    <xf numFmtId="49" fontId="5" fillId="0" borderId="31" xfId="1" applyNumberFormat="1" applyFont="1" applyBorder="1" applyAlignment="1">
      <alignment horizontal="center" vertical="center"/>
    </xf>
    <xf numFmtId="0" fontId="2" fillId="0" borderId="58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164" fontId="2" fillId="0" borderId="64" xfId="0" applyNumberFormat="1" applyFont="1" applyBorder="1" applyAlignment="1">
      <alignment horizontal="right"/>
    </xf>
    <xf numFmtId="164" fontId="2" fillId="0" borderId="45" xfId="0" applyNumberFormat="1" applyFont="1" applyBorder="1" applyAlignment="1">
      <alignment horizontal="right"/>
    </xf>
    <xf numFmtId="49" fontId="5" fillId="0" borderId="32" xfId="1" quotePrefix="1" applyNumberFormat="1" applyFont="1" applyBorder="1" applyAlignment="1">
      <alignment horizontal="center" vertical="center"/>
    </xf>
    <xf numFmtId="49" fontId="5" fillId="0" borderId="33" xfId="1" quotePrefix="1" applyNumberFormat="1" applyFont="1" applyBorder="1" applyAlignment="1">
      <alignment horizontal="center" vertical="center"/>
    </xf>
    <xf numFmtId="49" fontId="5" fillId="0" borderId="34" xfId="1" quotePrefix="1" applyNumberFormat="1" applyFont="1" applyBorder="1" applyAlignment="1">
      <alignment horizontal="center" vertical="center"/>
    </xf>
    <xf numFmtId="49" fontId="5" fillId="0" borderId="35" xfId="1" quotePrefix="1" applyNumberFormat="1" applyFont="1" applyBorder="1" applyAlignment="1">
      <alignment horizontal="center" vertical="center"/>
    </xf>
    <xf numFmtId="49" fontId="5" fillId="0" borderId="36" xfId="1" quotePrefix="1" applyNumberFormat="1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colors>
    <mruColors>
      <color rgb="FFFFDC6D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C75"/>
  <sheetViews>
    <sheetView tabSelected="1" topLeftCell="A34" zoomScaleNormal="100" workbookViewId="0">
      <pane xSplit="1" topLeftCell="AF1" activePane="topRight" state="frozen"/>
      <selection pane="topRight" activeCell="AY48" sqref="AY48"/>
    </sheetView>
  </sheetViews>
  <sheetFormatPr defaultColWidth="9.140625" defaultRowHeight="15"/>
  <cols>
    <col min="1" max="1" width="20.140625" customWidth="1"/>
    <col min="2" max="2" width="13.7109375" customWidth="1"/>
    <col min="3" max="3" width="11.140625" customWidth="1"/>
    <col min="4" max="4" width="10.28515625" customWidth="1"/>
    <col min="5" max="5" width="10.140625" customWidth="1"/>
    <col min="6" max="6" width="10.85546875" customWidth="1"/>
    <col min="7" max="7" width="10.5703125" customWidth="1"/>
    <col min="8" max="8" width="10.42578125" customWidth="1"/>
    <col min="9" max="9" width="10" customWidth="1"/>
    <col min="10" max="10" width="10.85546875" customWidth="1"/>
    <col min="11" max="11" width="11" customWidth="1"/>
    <col min="12" max="12" width="10.28515625" customWidth="1"/>
    <col min="13" max="13" width="9.28515625" customWidth="1"/>
    <col min="14" max="14" width="10.5703125" customWidth="1"/>
    <col min="15" max="15" width="11.140625" customWidth="1"/>
    <col min="16" max="16" width="10.28515625" customWidth="1"/>
    <col min="17" max="17" width="9.5703125" customWidth="1"/>
    <col min="18" max="18" width="11.140625" customWidth="1"/>
    <col min="19" max="19" width="10.85546875" customWidth="1"/>
    <col min="20" max="20" width="9.28515625" bestFit="1" customWidth="1"/>
    <col min="21" max="21" width="9.85546875" customWidth="1"/>
    <col min="22" max="22" width="10.85546875" customWidth="1"/>
    <col min="23" max="23" width="10.5703125" customWidth="1"/>
    <col min="24" max="24" width="10" customWidth="1"/>
    <col min="25" max="25" width="9.5703125" customWidth="1"/>
    <col min="26" max="26" width="11.42578125" customWidth="1"/>
    <col min="27" max="28" width="11" customWidth="1"/>
    <col min="29" max="29" width="9.42578125" customWidth="1"/>
    <col min="30" max="30" width="11.140625" customWidth="1"/>
    <col min="31" max="31" width="10.5703125" customWidth="1"/>
    <col min="32" max="32" width="10.28515625" customWidth="1"/>
    <col min="33" max="33" width="10.7109375" customWidth="1"/>
    <col min="34" max="34" width="11.140625" customWidth="1"/>
    <col min="35" max="35" width="11.28515625" customWidth="1"/>
    <col min="36" max="36" width="10.42578125" customWidth="1"/>
    <col min="37" max="37" width="10.140625" customWidth="1"/>
    <col min="38" max="38" width="11.140625" customWidth="1"/>
    <col min="39" max="39" width="10.28515625" customWidth="1"/>
    <col min="40" max="40" width="10.140625" customWidth="1"/>
    <col min="41" max="41" width="9.85546875" customWidth="1"/>
    <col min="42" max="42" width="11.140625" customWidth="1"/>
    <col min="43" max="43" width="10.28515625" customWidth="1"/>
    <col min="44" max="44" width="11.140625" customWidth="1"/>
    <col min="45" max="45" width="10.28515625" customWidth="1"/>
    <col min="46" max="46" width="11.140625" customWidth="1"/>
    <col min="47" max="47" width="11.42578125" customWidth="1"/>
    <col min="48" max="48" width="9.28515625" bestFit="1" customWidth="1"/>
    <col min="49" max="49" width="10.42578125" customWidth="1"/>
    <col min="50" max="50" width="11.140625" customWidth="1"/>
    <col min="51" max="51" width="21.7109375" customWidth="1"/>
    <col min="52" max="52" width="26.85546875" customWidth="1"/>
    <col min="53" max="53" width="19.28515625" customWidth="1"/>
    <col min="54" max="54" width="24" customWidth="1"/>
    <col min="55" max="55" width="11.140625" customWidth="1"/>
  </cols>
  <sheetData>
    <row r="1" spans="1:54" ht="15.7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</row>
    <row r="2" spans="1:54" ht="15.75">
      <c r="A2" s="1"/>
      <c r="B2" s="1"/>
      <c r="C2" s="1"/>
      <c r="D2" s="1"/>
      <c r="E2" s="1"/>
      <c r="F2" s="4"/>
      <c r="G2" s="1"/>
      <c r="H2" s="1"/>
      <c r="I2" s="117"/>
      <c r="J2" s="1"/>
      <c r="K2" s="1"/>
      <c r="L2" s="1"/>
      <c r="M2" s="1"/>
      <c r="N2" s="1"/>
      <c r="O2" s="1"/>
      <c r="P2" s="1"/>
      <c r="Q2" s="1"/>
      <c r="R2" s="4"/>
      <c r="S2" s="1"/>
      <c r="T2" s="1"/>
      <c r="U2" s="1"/>
      <c r="V2" s="95"/>
      <c r="W2" s="1"/>
      <c r="X2" s="1"/>
      <c r="Y2" s="1"/>
      <c r="Z2" s="118"/>
      <c r="AA2" s="1"/>
      <c r="AB2" s="1"/>
      <c r="AC2" s="117"/>
      <c r="AD2" s="95"/>
      <c r="AE2" s="1"/>
      <c r="AF2" s="1"/>
      <c r="AG2" s="1"/>
      <c r="AH2" s="95"/>
      <c r="AI2" s="1"/>
      <c r="AJ2" s="1"/>
      <c r="AK2" s="1"/>
      <c r="AL2" s="95"/>
      <c r="AM2" s="1"/>
      <c r="AN2" s="1"/>
      <c r="AO2" s="1"/>
      <c r="AP2" s="95"/>
      <c r="AQ2" s="1"/>
      <c r="AR2" s="1"/>
      <c r="AS2" s="1"/>
      <c r="AT2" s="95"/>
      <c r="AU2" s="1"/>
      <c r="AV2" s="1"/>
      <c r="AW2" s="1"/>
      <c r="AX2" s="95"/>
      <c r="AY2" s="1"/>
      <c r="AZ2" s="1"/>
      <c r="BA2" s="1"/>
      <c r="BB2" s="1"/>
    </row>
    <row r="3" spans="1:54" ht="16.5" thickBo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 t="s">
        <v>566</v>
      </c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</row>
    <row r="4" spans="1:54" ht="17.25" thickTop="1" thickBot="1">
      <c r="A4" s="111" t="s">
        <v>4</v>
      </c>
      <c r="B4" s="77">
        <v>2017</v>
      </c>
      <c r="C4" s="220" t="s">
        <v>0</v>
      </c>
      <c r="D4" s="221"/>
      <c r="E4" s="221"/>
      <c r="F4" s="222"/>
      <c r="G4" s="220" t="s">
        <v>1</v>
      </c>
      <c r="H4" s="221"/>
      <c r="I4" s="221"/>
      <c r="J4" s="222"/>
      <c r="K4" s="220" t="s">
        <v>2</v>
      </c>
      <c r="L4" s="221"/>
      <c r="M4" s="221"/>
      <c r="N4" s="222"/>
      <c r="O4" s="220" t="s">
        <v>3</v>
      </c>
      <c r="P4" s="221"/>
      <c r="Q4" s="221"/>
      <c r="R4" s="222"/>
      <c r="S4" s="220" t="s">
        <v>99</v>
      </c>
      <c r="T4" s="221"/>
      <c r="U4" s="221"/>
      <c r="V4" s="222"/>
      <c r="W4" s="220" t="s">
        <v>95</v>
      </c>
      <c r="X4" s="221"/>
      <c r="Y4" s="221"/>
      <c r="Z4" s="222"/>
      <c r="AA4" s="220" t="s">
        <v>103</v>
      </c>
      <c r="AB4" s="221"/>
      <c r="AC4" s="221"/>
      <c r="AD4" s="222"/>
      <c r="AE4" s="220" t="s">
        <v>104</v>
      </c>
      <c r="AF4" s="221"/>
      <c r="AG4" s="221"/>
      <c r="AH4" s="222"/>
      <c r="AI4" s="220" t="s">
        <v>107</v>
      </c>
      <c r="AJ4" s="221"/>
      <c r="AK4" s="221"/>
      <c r="AL4" s="222"/>
      <c r="AM4" s="220" t="s">
        <v>109</v>
      </c>
      <c r="AN4" s="221"/>
      <c r="AO4" s="221"/>
      <c r="AP4" s="222"/>
      <c r="AQ4" s="220" t="s">
        <v>113</v>
      </c>
      <c r="AR4" s="221"/>
      <c r="AS4" s="221"/>
      <c r="AT4" s="222"/>
      <c r="AU4" s="220" t="s">
        <v>118</v>
      </c>
      <c r="AV4" s="221"/>
      <c r="AW4" s="221"/>
      <c r="AX4" s="222"/>
      <c r="AY4" s="1"/>
      <c r="AZ4" s="1"/>
      <c r="BA4" s="1"/>
      <c r="BB4" s="1"/>
    </row>
    <row r="5" spans="1:54" ht="16.5" thickBot="1">
      <c r="A5" s="6" t="s">
        <v>5</v>
      </c>
      <c r="B5" s="78"/>
      <c r="C5" s="223">
        <f>'01'!K19</f>
        <v>17336.68</v>
      </c>
      <c r="D5" s="224"/>
      <c r="E5" s="224"/>
      <c r="F5" s="225"/>
      <c r="G5" s="223">
        <f>'02'!K19</f>
        <v>20217</v>
      </c>
      <c r="H5" s="224"/>
      <c r="I5" s="224"/>
      <c r="J5" s="225"/>
      <c r="K5" s="232">
        <f>'03'!K19</f>
        <v>21214.57</v>
      </c>
      <c r="L5" s="224"/>
      <c r="M5" s="224"/>
      <c r="N5" s="225"/>
      <c r="O5" s="232">
        <f>'04'!K19</f>
        <v>20719.909999999996</v>
      </c>
      <c r="P5" s="224"/>
      <c r="Q5" s="224"/>
      <c r="R5" s="225"/>
      <c r="S5" s="232">
        <f>'05'!K19</f>
        <v>22905.86</v>
      </c>
      <c r="T5" s="224"/>
      <c r="U5" s="224"/>
      <c r="V5" s="225"/>
      <c r="W5" s="232">
        <f>'06'!K19</f>
        <v>23622.14</v>
      </c>
      <c r="X5" s="224"/>
      <c r="Y5" s="224"/>
      <c r="Z5" s="225"/>
      <c r="AA5" s="232">
        <f>'07'!K19</f>
        <v>24911.559999999998</v>
      </c>
      <c r="AB5" s="224"/>
      <c r="AC5" s="224"/>
      <c r="AD5" s="225"/>
      <c r="AE5" s="232">
        <f>'08'!K19</f>
        <v>24488.75</v>
      </c>
      <c r="AF5" s="224"/>
      <c r="AG5" s="224"/>
      <c r="AH5" s="225"/>
      <c r="AI5" s="232">
        <f>'09'!K19</f>
        <v>24613.260000000002</v>
      </c>
      <c r="AJ5" s="224"/>
      <c r="AK5" s="224"/>
      <c r="AL5" s="225"/>
      <c r="AM5" s="232">
        <f>'10'!K19</f>
        <v>15101.890000000001</v>
      </c>
      <c r="AN5" s="224"/>
      <c r="AO5" s="224"/>
      <c r="AP5" s="225"/>
      <c r="AQ5" s="232">
        <f>'11'!K19</f>
        <v>15101.890000000001</v>
      </c>
      <c r="AR5" s="224"/>
      <c r="AS5" s="224"/>
      <c r="AT5" s="225"/>
      <c r="AU5" s="232">
        <f>'12'!K19</f>
        <v>13551.890000000001</v>
      </c>
      <c r="AV5" s="224"/>
      <c r="AW5" s="224"/>
      <c r="AX5" s="225"/>
      <c r="AY5" s="7"/>
      <c r="AZ5" s="8"/>
      <c r="BA5" s="1"/>
      <c r="BB5" s="1"/>
    </row>
    <row r="6" spans="1:54" ht="17.25" thickTop="1" thickBot="1">
      <c r="A6" s="9"/>
      <c r="B6" s="9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</row>
    <row r="7" spans="1:54" ht="17.25" thickTop="1" thickBot="1">
      <c r="A7" s="49" t="s">
        <v>6</v>
      </c>
      <c r="B7" s="48" t="s">
        <v>66</v>
      </c>
      <c r="C7" s="226" t="s">
        <v>7</v>
      </c>
      <c r="D7" s="227"/>
      <c r="E7" s="227"/>
      <c r="F7" s="228"/>
      <c r="G7" s="226" t="s">
        <v>7</v>
      </c>
      <c r="H7" s="227"/>
      <c r="I7" s="227"/>
      <c r="J7" s="228"/>
      <c r="K7" s="226" t="s">
        <v>7</v>
      </c>
      <c r="L7" s="227"/>
      <c r="M7" s="227"/>
      <c r="N7" s="228"/>
      <c r="O7" s="226" t="s">
        <v>7</v>
      </c>
      <c r="P7" s="227"/>
      <c r="Q7" s="227"/>
      <c r="R7" s="228"/>
      <c r="S7" s="226" t="s">
        <v>7</v>
      </c>
      <c r="T7" s="227"/>
      <c r="U7" s="227"/>
      <c r="V7" s="228"/>
      <c r="W7" s="226" t="s">
        <v>7</v>
      </c>
      <c r="X7" s="227"/>
      <c r="Y7" s="227"/>
      <c r="Z7" s="228"/>
      <c r="AA7" s="226" t="s">
        <v>7</v>
      </c>
      <c r="AB7" s="227"/>
      <c r="AC7" s="227"/>
      <c r="AD7" s="228"/>
      <c r="AE7" s="226" t="s">
        <v>7</v>
      </c>
      <c r="AF7" s="227"/>
      <c r="AG7" s="227"/>
      <c r="AH7" s="228"/>
      <c r="AI7" s="226" t="s">
        <v>7</v>
      </c>
      <c r="AJ7" s="227"/>
      <c r="AK7" s="227"/>
      <c r="AL7" s="228"/>
      <c r="AM7" s="226" t="s">
        <v>7</v>
      </c>
      <c r="AN7" s="227"/>
      <c r="AO7" s="227"/>
      <c r="AP7" s="228"/>
      <c r="AQ7" s="226" t="s">
        <v>7</v>
      </c>
      <c r="AR7" s="227"/>
      <c r="AS7" s="227"/>
      <c r="AT7" s="228"/>
      <c r="AU7" s="226" t="s">
        <v>7</v>
      </c>
      <c r="AV7" s="227"/>
      <c r="AW7" s="227"/>
      <c r="AX7" s="228"/>
      <c r="AY7" s="10" t="s">
        <v>8</v>
      </c>
      <c r="AZ7" s="1"/>
      <c r="BA7" s="1"/>
      <c r="BB7" s="1"/>
    </row>
    <row r="8" spans="1:54" ht="15.75">
      <c r="A8" s="11" t="s">
        <v>124</v>
      </c>
      <c r="B8" s="53">
        <v>28683.489999999998</v>
      </c>
      <c r="C8" s="229">
        <v>2317.46</v>
      </c>
      <c r="D8" s="230"/>
      <c r="E8" s="230"/>
      <c r="F8" s="231"/>
      <c r="G8" s="229">
        <f>2317.46+1638.24</f>
        <v>3955.7</v>
      </c>
      <c r="H8" s="230"/>
      <c r="I8" s="230"/>
      <c r="J8" s="231"/>
      <c r="K8" s="229">
        <v>2320.84</v>
      </c>
      <c r="L8" s="230"/>
      <c r="M8" s="230"/>
      <c r="N8" s="231"/>
      <c r="O8" s="229">
        <v>2325.9</v>
      </c>
      <c r="P8" s="230"/>
      <c r="Q8" s="230"/>
      <c r="R8" s="231"/>
      <c r="S8" s="229">
        <v>2321.1799999999998</v>
      </c>
      <c r="T8" s="230"/>
      <c r="U8" s="230"/>
      <c r="V8" s="231"/>
      <c r="W8" s="229">
        <v>3973.79</v>
      </c>
      <c r="X8" s="230"/>
      <c r="Y8" s="230"/>
      <c r="Z8" s="231"/>
      <c r="AA8" s="229">
        <v>2328.91</v>
      </c>
      <c r="AB8" s="230"/>
      <c r="AC8" s="230"/>
      <c r="AD8" s="231"/>
      <c r="AE8" s="229">
        <v>2318.6999999999998</v>
      </c>
      <c r="AF8" s="230"/>
      <c r="AG8" s="230"/>
      <c r="AH8" s="231"/>
      <c r="AI8" s="229"/>
      <c r="AJ8" s="230"/>
      <c r="AK8" s="230"/>
      <c r="AL8" s="231"/>
      <c r="AM8" s="229"/>
      <c r="AN8" s="230"/>
      <c r="AO8" s="230"/>
      <c r="AP8" s="231"/>
      <c r="AQ8" s="229"/>
      <c r="AR8" s="230"/>
      <c r="AS8" s="230"/>
      <c r="AT8" s="231"/>
      <c r="AU8" s="229"/>
      <c r="AV8" s="230"/>
      <c r="AW8" s="230"/>
      <c r="AX8" s="231"/>
      <c r="AY8" s="12">
        <f>SUM(C8:AU8)</f>
        <v>21862.48</v>
      </c>
      <c r="AZ8" s="2">
        <f t="shared" ref="AZ8:AZ16" ca="1" si="0">AY8/BB$17</f>
        <v>2429.1644444444446</v>
      </c>
      <c r="BA8" s="1"/>
      <c r="BB8" s="1"/>
    </row>
    <row r="9" spans="1:54" ht="15.75">
      <c r="A9" s="13" t="s">
        <v>125</v>
      </c>
      <c r="B9" s="54">
        <v>4981.99</v>
      </c>
      <c r="C9" s="217">
        <f>72.66+314.12</f>
        <v>386.78</v>
      </c>
      <c r="D9" s="218"/>
      <c r="E9" s="218"/>
      <c r="F9" s="219"/>
      <c r="G9" s="217">
        <f>176.46</f>
        <v>176.46</v>
      </c>
      <c r="H9" s="218"/>
      <c r="I9" s="218"/>
      <c r="J9" s="219"/>
      <c r="K9" s="217">
        <f>259.63+176.46</f>
        <v>436.09000000000003</v>
      </c>
      <c r="L9" s="218"/>
      <c r="M9" s="218"/>
      <c r="N9" s="219"/>
      <c r="O9" s="217">
        <f>249.22+197.22+325.64</f>
        <v>772.07999999999993</v>
      </c>
      <c r="P9" s="218"/>
      <c r="Q9" s="218"/>
      <c r="R9" s="219"/>
      <c r="S9" s="217">
        <f>155.7+267.29</f>
        <v>422.99</v>
      </c>
      <c r="T9" s="218"/>
      <c r="U9" s="218"/>
      <c r="V9" s="219"/>
      <c r="W9" s="217">
        <f>197.22</f>
        <v>197.22</v>
      </c>
      <c r="X9" s="218"/>
      <c r="Y9" s="218"/>
      <c r="Z9" s="219"/>
      <c r="AA9" s="217">
        <f>786.42+134.94+83.04</f>
        <v>1004.3999999999999</v>
      </c>
      <c r="AB9" s="218"/>
      <c r="AC9" s="218"/>
      <c r="AD9" s="219"/>
      <c r="AE9" s="217">
        <f>269.88</f>
        <v>269.88</v>
      </c>
      <c r="AF9" s="218"/>
      <c r="AG9" s="218"/>
      <c r="AH9" s="219"/>
      <c r="AI9" s="217">
        <v>280.26</v>
      </c>
      <c r="AJ9" s="218"/>
      <c r="AK9" s="218"/>
      <c r="AL9" s="219"/>
      <c r="AM9" s="217"/>
      <c r="AN9" s="218"/>
      <c r="AO9" s="218"/>
      <c r="AP9" s="219"/>
      <c r="AQ9" s="217"/>
      <c r="AR9" s="218"/>
      <c r="AS9" s="218"/>
      <c r="AT9" s="219"/>
      <c r="AU9" s="217"/>
      <c r="AV9" s="218"/>
      <c r="AW9" s="218"/>
      <c r="AX9" s="219"/>
      <c r="AY9" s="14">
        <f t="shared" ref="AY9:AY15" si="1">SUM(C9:AX9)</f>
        <v>3946.16</v>
      </c>
      <c r="AZ9" s="2">
        <f t="shared" ca="1" si="0"/>
        <v>438.46222222222218</v>
      </c>
      <c r="BA9" s="1"/>
      <c r="BB9" s="1"/>
    </row>
    <row r="10" spans="1:54" ht="15.75">
      <c r="A10" s="15" t="s">
        <v>126</v>
      </c>
      <c r="B10" s="55">
        <v>723.38</v>
      </c>
      <c r="C10" s="214">
        <v>90.43</v>
      </c>
      <c r="D10" s="215"/>
      <c r="E10" s="215"/>
      <c r="F10" s="216"/>
      <c r="G10" s="214">
        <f>1117.39-956.06</f>
        <v>161.33000000000015</v>
      </c>
      <c r="H10" s="215"/>
      <c r="I10" s="215"/>
      <c r="J10" s="216"/>
      <c r="K10" s="214">
        <v>285.58</v>
      </c>
      <c r="L10" s="215"/>
      <c r="M10" s="215"/>
      <c r="N10" s="216"/>
      <c r="O10" s="214">
        <f>275.29+42.8</f>
        <v>318.09000000000003</v>
      </c>
      <c r="P10" s="215"/>
      <c r="Q10" s="215"/>
      <c r="R10" s="216"/>
      <c r="S10" s="214">
        <f>421.56</f>
        <v>421.56</v>
      </c>
      <c r="T10" s="215"/>
      <c r="U10" s="215"/>
      <c r="V10" s="216"/>
      <c r="W10" s="214">
        <v>341.74</v>
      </c>
      <c r="X10" s="215"/>
      <c r="Y10" s="215"/>
      <c r="Z10" s="216"/>
      <c r="AA10" s="214">
        <v>234.71</v>
      </c>
      <c r="AB10" s="215"/>
      <c r="AC10" s="215"/>
      <c r="AD10" s="216"/>
      <c r="AE10" s="214">
        <v>83.23</v>
      </c>
      <c r="AF10" s="215"/>
      <c r="AG10" s="215"/>
      <c r="AH10" s="216"/>
      <c r="AI10" s="214">
        <v>300</v>
      </c>
      <c r="AJ10" s="215"/>
      <c r="AK10" s="215"/>
      <c r="AL10" s="216"/>
      <c r="AM10" s="214"/>
      <c r="AN10" s="215"/>
      <c r="AO10" s="215"/>
      <c r="AP10" s="216"/>
      <c r="AQ10" s="214"/>
      <c r="AR10" s="215"/>
      <c r="AS10" s="215"/>
      <c r="AT10" s="216"/>
      <c r="AU10" s="214"/>
      <c r="AV10" s="215"/>
      <c r="AW10" s="215"/>
      <c r="AX10" s="216"/>
      <c r="AY10" s="16">
        <f t="shared" si="1"/>
        <v>2236.67</v>
      </c>
      <c r="AZ10" s="2">
        <f t="shared" ca="1" si="0"/>
        <v>248.51888888888891</v>
      </c>
      <c r="BA10" s="1"/>
      <c r="BB10" s="1"/>
    </row>
    <row r="11" spans="1:54" ht="15.75">
      <c r="A11" s="13" t="s">
        <v>127</v>
      </c>
      <c r="B11" s="54">
        <v>180.64</v>
      </c>
      <c r="C11" s="217">
        <f>1.01+0.04+2831.41+0.05</f>
        <v>2832.51</v>
      </c>
      <c r="D11" s="218"/>
      <c r="E11" s="218"/>
      <c r="F11" s="219"/>
      <c r="G11" s="217"/>
      <c r="H11" s="218"/>
      <c r="I11" s="218"/>
      <c r="J11" s="219"/>
      <c r="K11" s="217"/>
      <c r="L11" s="218"/>
      <c r="M11" s="218"/>
      <c r="N11" s="219"/>
      <c r="O11" s="217">
        <v>0.03</v>
      </c>
      <c r="P11" s="218"/>
      <c r="Q11" s="218"/>
      <c r="R11" s="219"/>
      <c r="S11" s="217">
        <f>38.64</f>
        <v>38.64</v>
      </c>
      <c r="T11" s="218"/>
      <c r="U11" s="218"/>
      <c r="V11" s="219"/>
      <c r="W11" s="217"/>
      <c r="X11" s="218"/>
      <c r="Y11" s="218"/>
      <c r="Z11" s="219"/>
      <c r="AA11" s="217">
        <f>0.02</f>
        <v>0.02</v>
      </c>
      <c r="AB11" s="218"/>
      <c r="AC11" s="218"/>
      <c r="AD11" s="219"/>
      <c r="AE11" s="217"/>
      <c r="AF11" s="218"/>
      <c r="AG11" s="218"/>
      <c r="AH11" s="219"/>
      <c r="AI11" s="217"/>
      <c r="AJ11" s="218"/>
      <c r="AK11" s="218"/>
      <c r="AL11" s="219"/>
      <c r="AM11" s="217"/>
      <c r="AN11" s="218"/>
      <c r="AO11" s="218"/>
      <c r="AP11" s="219"/>
      <c r="AQ11" s="217"/>
      <c r="AR11" s="218"/>
      <c r="AS11" s="218"/>
      <c r="AT11" s="219"/>
      <c r="AU11" s="217"/>
      <c r="AV11" s="218"/>
      <c r="AW11" s="218"/>
      <c r="AX11" s="219"/>
      <c r="AY11" s="14">
        <f t="shared" si="1"/>
        <v>2871.2000000000003</v>
      </c>
      <c r="AZ11" s="2">
        <f t="shared" ca="1" si="0"/>
        <v>319.02222222222224</v>
      </c>
      <c r="BA11" s="1"/>
      <c r="BB11" s="1"/>
    </row>
    <row r="12" spans="1:54" ht="15.75">
      <c r="A12" s="15" t="s">
        <v>128</v>
      </c>
      <c r="B12" s="55">
        <v>626.6</v>
      </c>
      <c r="C12" s="214">
        <f>700+50+449</f>
        <v>1199</v>
      </c>
      <c r="D12" s="215"/>
      <c r="E12" s="215"/>
      <c r="F12" s="216"/>
      <c r="G12" s="214">
        <v>447.43</v>
      </c>
      <c r="H12" s="215"/>
      <c r="I12" s="215"/>
      <c r="J12" s="216"/>
      <c r="K12" s="214"/>
      <c r="L12" s="215"/>
      <c r="M12" s="215"/>
      <c r="N12" s="216"/>
      <c r="O12" s="214">
        <f>80.1</f>
        <v>80.099999999999994</v>
      </c>
      <c r="P12" s="215"/>
      <c r="Q12" s="215"/>
      <c r="R12" s="216"/>
      <c r="S12" s="214"/>
      <c r="T12" s="215"/>
      <c r="U12" s="215"/>
      <c r="V12" s="216"/>
      <c r="W12" s="214">
        <f>200</f>
        <v>200</v>
      </c>
      <c r="X12" s="215"/>
      <c r="Y12" s="215"/>
      <c r="Z12" s="216"/>
      <c r="AA12" s="214">
        <f>106.3</f>
        <v>106.3</v>
      </c>
      <c r="AB12" s="215"/>
      <c r="AC12" s="215"/>
      <c r="AD12" s="216"/>
      <c r="AE12" s="214"/>
      <c r="AF12" s="215"/>
      <c r="AG12" s="215"/>
      <c r="AH12" s="216"/>
      <c r="AI12" s="214"/>
      <c r="AJ12" s="215"/>
      <c r="AK12" s="215"/>
      <c r="AL12" s="216"/>
      <c r="AM12" s="214"/>
      <c r="AN12" s="215"/>
      <c r="AO12" s="215"/>
      <c r="AP12" s="216"/>
      <c r="AQ12" s="214"/>
      <c r="AR12" s="215"/>
      <c r="AS12" s="215"/>
      <c r="AT12" s="216"/>
      <c r="AU12" s="214"/>
      <c r="AV12" s="215"/>
      <c r="AW12" s="215"/>
      <c r="AX12" s="216"/>
      <c r="AY12" s="16">
        <f t="shared" si="1"/>
        <v>2032.83</v>
      </c>
      <c r="AZ12" s="2">
        <f t="shared" ca="1" si="0"/>
        <v>225.87</v>
      </c>
      <c r="BA12" s="1"/>
      <c r="BB12" s="1"/>
    </row>
    <row r="13" spans="1:54" ht="15.75">
      <c r="A13" s="13" t="s">
        <v>129</v>
      </c>
      <c r="B13" s="56">
        <v>3448.3199999999993</v>
      </c>
      <c r="C13" s="217">
        <f>93.93</f>
        <v>93.93</v>
      </c>
      <c r="D13" s="218"/>
      <c r="E13" s="218"/>
      <c r="F13" s="219"/>
      <c r="G13" s="217">
        <f>93.93</f>
        <v>93.93</v>
      </c>
      <c r="H13" s="218"/>
      <c r="I13" s="218"/>
      <c r="J13" s="219"/>
      <c r="K13" s="217">
        <f>93.93</f>
        <v>93.93</v>
      </c>
      <c r="L13" s="218"/>
      <c r="M13" s="218"/>
      <c r="N13" s="219"/>
      <c r="O13" s="217">
        <f>93.93+2290.23</f>
        <v>2384.16</v>
      </c>
      <c r="P13" s="218"/>
      <c r="Q13" s="218"/>
      <c r="R13" s="219"/>
      <c r="S13" s="217">
        <f>93.93</f>
        <v>93.93</v>
      </c>
      <c r="T13" s="218"/>
      <c r="U13" s="218"/>
      <c r="V13" s="219"/>
      <c r="W13" s="217">
        <f>93.93</f>
        <v>93.93</v>
      </c>
      <c r="X13" s="218"/>
      <c r="Y13" s="218"/>
      <c r="Z13" s="219"/>
      <c r="AA13" s="217">
        <f>93.93</f>
        <v>93.93</v>
      </c>
      <c r="AB13" s="218"/>
      <c r="AC13" s="218"/>
      <c r="AD13" s="219"/>
      <c r="AE13" s="217">
        <v>114.74</v>
      </c>
      <c r="AF13" s="218"/>
      <c r="AG13" s="218"/>
      <c r="AH13" s="219"/>
      <c r="AI13" s="217">
        <v>93.93</v>
      </c>
      <c r="AJ13" s="218"/>
      <c r="AK13" s="218"/>
      <c r="AL13" s="219"/>
      <c r="AM13" s="217"/>
      <c r="AN13" s="218"/>
      <c r="AO13" s="218"/>
      <c r="AP13" s="219"/>
      <c r="AQ13" s="217"/>
      <c r="AR13" s="218"/>
      <c r="AS13" s="218"/>
      <c r="AT13" s="219"/>
      <c r="AU13" s="217"/>
      <c r="AV13" s="218"/>
      <c r="AW13" s="218"/>
      <c r="AX13" s="219"/>
      <c r="AY13" s="17">
        <f t="shared" si="1"/>
        <v>3156.4099999999989</v>
      </c>
      <c r="AZ13" s="2">
        <f t="shared" ca="1" si="0"/>
        <v>350.71222222222212</v>
      </c>
      <c r="BA13" s="1"/>
      <c r="BB13" s="1"/>
    </row>
    <row r="14" spans="1:54" ht="15.75">
      <c r="A14" s="15" t="s">
        <v>130</v>
      </c>
      <c r="B14" s="55">
        <v>795.41</v>
      </c>
      <c r="C14" s="214"/>
      <c r="D14" s="215"/>
      <c r="E14" s="215"/>
      <c r="F14" s="216"/>
      <c r="G14" s="214">
        <f>27.27+13.86+8.75+34.09</f>
        <v>83.97</v>
      </c>
      <c r="H14" s="215"/>
      <c r="I14" s="215"/>
      <c r="J14" s="216"/>
      <c r="K14" s="214"/>
      <c r="L14" s="215"/>
      <c r="M14" s="215"/>
      <c r="N14" s="216"/>
      <c r="O14" s="214">
        <f>25+27.27+16.9+26.12</f>
        <v>95.289999999999992</v>
      </c>
      <c r="P14" s="215"/>
      <c r="Q14" s="215"/>
      <c r="R14" s="216"/>
      <c r="S14" s="214">
        <f>22.09+27.27</f>
        <v>49.36</v>
      </c>
      <c r="T14" s="215"/>
      <c r="U14" s="215"/>
      <c r="V14" s="216"/>
      <c r="W14" s="214">
        <f>8.75+27.27+27.27</f>
        <v>63.289999999999992</v>
      </c>
      <c r="X14" s="215"/>
      <c r="Y14" s="215"/>
      <c r="Z14" s="216"/>
      <c r="AA14" s="214"/>
      <c r="AB14" s="215"/>
      <c r="AC14" s="215"/>
      <c r="AD14" s="216"/>
      <c r="AE14" s="214"/>
      <c r="AF14" s="215"/>
      <c r="AG14" s="215"/>
      <c r="AH14" s="216"/>
      <c r="AI14" s="214"/>
      <c r="AJ14" s="215"/>
      <c r="AK14" s="215"/>
      <c r="AL14" s="216"/>
      <c r="AM14" s="214"/>
      <c r="AN14" s="215"/>
      <c r="AO14" s="215"/>
      <c r="AP14" s="216"/>
      <c r="AQ14" s="214"/>
      <c r="AR14" s="215"/>
      <c r="AS14" s="215"/>
      <c r="AT14" s="216"/>
      <c r="AU14" s="214"/>
      <c r="AV14" s="215"/>
      <c r="AW14" s="215"/>
      <c r="AX14" s="216"/>
      <c r="AY14" s="16">
        <f t="shared" si="1"/>
        <v>291.90999999999997</v>
      </c>
      <c r="AZ14" s="2">
        <f t="shared" ca="1" si="0"/>
        <v>32.434444444444438</v>
      </c>
      <c r="BA14" s="3"/>
      <c r="BB14" s="3"/>
    </row>
    <row r="15" spans="1:54" ht="15.75">
      <c r="A15" s="13" t="s">
        <v>131</v>
      </c>
      <c r="B15" s="54">
        <v>2461.34</v>
      </c>
      <c r="C15" s="217">
        <v>648.49</v>
      </c>
      <c r="D15" s="218"/>
      <c r="E15" s="218"/>
      <c r="F15" s="219"/>
      <c r="G15" s="217">
        <v>550</v>
      </c>
      <c r="H15" s="218"/>
      <c r="I15" s="218"/>
      <c r="J15" s="219"/>
      <c r="K15" s="217">
        <v>690</v>
      </c>
      <c r="L15" s="218"/>
      <c r="M15" s="218"/>
      <c r="N15" s="219"/>
      <c r="O15" s="217">
        <f>550</f>
        <v>550</v>
      </c>
      <c r="P15" s="218"/>
      <c r="Q15" s="218"/>
      <c r="R15" s="219"/>
      <c r="S15" s="217">
        <v>650.01</v>
      </c>
      <c r="T15" s="218"/>
      <c r="U15" s="218"/>
      <c r="V15" s="219"/>
      <c r="W15" s="217">
        <v>568.34</v>
      </c>
      <c r="X15" s="218"/>
      <c r="Y15" s="218"/>
      <c r="Z15" s="219"/>
      <c r="AA15" s="217">
        <v>632.86</v>
      </c>
      <c r="AB15" s="218"/>
      <c r="AC15" s="218"/>
      <c r="AD15" s="219"/>
      <c r="AE15" s="217">
        <v>550</v>
      </c>
      <c r="AF15" s="218"/>
      <c r="AG15" s="218"/>
      <c r="AH15" s="219"/>
      <c r="AI15" s="217">
        <v>586.85</v>
      </c>
      <c r="AJ15" s="218"/>
      <c r="AK15" s="218"/>
      <c r="AL15" s="219"/>
      <c r="AM15" s="217"/>
      <c r="AN15" s="218"/>
      <c r="AO15" s="218"/>
      <c r="AP15" s="219"/>
      <c r="AQ15" s="217"/>
      <c r="AR15" s="218"/>
      <c r="AS15" s="218"/>
      <c r="AT15" s="219"/>
      <c r="AU15" s="217"/>
      <c r="AV15" s="218"/>
      <c r="AW15" s="218"/>
      <c r="AX15" s="219"/>
      <c r="AY15" s="14">
        <f t="shared" si="1"/>
        <v>5426.55</v>
      </c>
      <c r="AZ15" s="2">
        <f t="shared" ca="1" si="0"/>
        <v>602.95000000000005</v>
      </c>
      <c r="BA15" s="1"/>
      <c r="BB15" s="1"/>
    </row>
    <row r="16" spans="1:54" ht="16.5" thickBot="1">
      <c r="A16" s="15" t="s">
        <v>132</v>
      </c>
      <c r="B16" s="120">
        <v>15626.78</v>
      </c>
      <c r="C16" s="233">
        <f>28.78+200.62+1566.27</f>
        <v>1795.67</v>
      </c>
      <c r="D16" s="234"/>
      <c r="E16" s="234"/>
      <c r="F16" s="235"/>
      <c r="G16" s="233">
        <f>47.52</f>
        <v>47.52</v>
      </c>
      <c r="H16" s="234"/>
      <c r="I16" s="234"/>
      <c r="J16" s="235"/>
      <c r="K16" s="233"/>
      <c r="L16" s="234"/>
      <c r="M16" s="234"/>
      <c r="N16" s="235"/>
      <c r="O16" s="233"/>
      <c r="P16" s="234"/>
      <c r="Q16" s="234"/>
      <c r="R16" s="235"/>
      <c r="S16" s="233"/>
      <c r="T16" s="234"/>
      <c r="U16" s="234"/>
      <c r="V16" s="235"/>
      <c r="W16" s="233"/>
      <c r="X16" s="234"/>
      <c r="Y16" s="234"/>
      <c r="Z16" s="235"/>
      <c r="AA16" s="233">
        <v>26.77</v>
      </c>
      <c r="AB16" s="234"/>
      <c r="AC16" s="234"/>
      <c r="AD16" s="235"/>
      <c r="AE16" s="233">
        <v>49</v>
      </c>
      <c r="AF16" s="234"/>
      <c r="AG16" s="234"/>
      <c r="AH16" s="235"/>
      <c r="AI16" s="233"/>
      <c r="AJ16" s="234"/>
      <c r="AK16" s="234"/>
      <c r="AL16" s="235"/>
      <c r="AM16" s="233"/>
      <c r="AN16" s="234"/>
      <c r="AO16" s="234"/>
      <c r="AP16" s="235"/>
      <c r="AQ16" s="233"/>
      <c r="AR16" s="234"/>
      <c r="AS16" s="234"/>
      <c r="AT16" s="235"/>
      <c r="AU16" s="233"/>
      <c r="AV16" s="234"/>
      <c r="AW16" s="234"/>
      <c r="AX16" s="235"/>
      <c r="AY16" s="121">
        <f>SUM(C16:AX16)</f>
        <v>1918.96</v>
      </c>
      <c r="AZ16" s="2">
        <f t="shared" ca="1" si="0"/>
        <v>213.21777777777777</v>
      </c>
      <c r="BA16" s="3"/>
      <c r="BB16" s="3"/>
    </row>
    <row r="17" spans="1:55" ht="16.5" thickBot="1">
      <c r="A17" s="6" t="s">
        <v>5</v>
      </c>
      <c r="B17" s="57">
        <f>SUM(B8:B16)</f>
        <v>57527.95</v>
      </c>
      <c r="C17" s="236">
        <f>SUM(C8:C16)</f>
        <v>9364.27</v>
      </c>
      <c r="D17" s="237"/>
      <c r="E17" s="237"/>
      <c r="F17" s="238"/>
      <c r="G17" s="236">
        <f>SUM(G8:G16)</f>
        <v>5516.3400000000011</v>
      </c>
      <c r="H17" s="237"/>
      <c r="I17" s="237"/>
      <c r="J17" s="238"/>
      <c r="K17" s="236">
        <f>SUM(K8:K16)</f>
        <v>3826.44</v>
      </c>
      <c r="L17" s="237"/>
      <c r="M17" s="237"/>
      <c r="N17" s="238"/>
      <c r="O17" s="236">
        <f>SUM(O8:O16)</f>
        <v>6525.6500000000005</v>
      </c>
      <c r="P17" s="237"/>
      <c r="Q17" s="237"/>
      <c r="R17" s="238"/>
      <c r="S17" s="236">
        <f>SUM(S8:S16)</f>
        <v>3997.67</v>
      </c>
      <c r="T17" s="237"/>
      <c r="U17" s="237"/>
      <c r="V17" s="238"/>
      <c r="W17" s="236">
        <f>SUM(W8:W16)</f>
        <v>5438.31</v>
      </c>
      <c r="X17" s="237"/>
      <c r="Y17" s="237"/>
      <c r="Z17" s="238"/>
      <c r="AA17" s="236">
        <f>SUM(AA8:AA16)</f>
        <v>4427.8999999999996</v>
      </c>
      <c r="AB17" s="237"/>
      <c r="AC17" s="237"/>
      <c r="AD17" s="238"/>
      <c r="AE17" s="236">
        <f>SUM(AE8:AE16)</f>
        <v>3385.5499999999997</v>
      </c>
      <c r="AF17" s="237"/>
      <c r="AG17" s="237"/>
      <c r="AH17" s="238"/>
      <c r="AI17" s="236">
        <f>SUM(AI8:AI16)</f>
        <v>1261.04</v>
      </c>
      <c r="AJ17" s="237"/>
      <c r="AK17" s="237"/>
      <c r="AL17" s="238"/>
      <c r="AM17" s="236">
        <f>SUM(AM8:AM16)</f>
        <v>0</v>
      </c>
      <c r="AN17" s="237"/>
      <c r="AO17" s="237"/>
      <c r="AP17" s="238"/>
      <c r="AQ17" s="236">
        <f>SUM(AQ8:AQ16)</f>
        <v>0</v>
      </c>
      <c r="AR17" s="237"/>
      <c r="AS17" s="237"/>
      <c r="AT17" s="238"/>
      <c r="AU17" s="236">
        <f>SUM(AU8:AU16)</f>
        <v>0</v>
      </c>
      <c r="AV17" s="237"/>
      <c r="AW17" s="237"/>
      <c r="AX17" s="238"/>
      <c r="AY17" s="18">
        <f>SUM(AY8:AY16)</f>
        <v>43743.17</v>
      </c>
      <c r="AZ17" s="2">
        <f ca="1">AY17/BB$17</f>
        <v>4860.3522222222218</v>
      </c>
      <c r="BA17" s="1" t="s">
        <v>117</v>
      </c>
      <c r="BB17" s="1">
        <f ca="1">MONTH(TODAY())</f>
        <v>9</v>
      </c>
      <c r="BC17" s="123"/>
    </row>
    <row r="18" spans="1:55" ht="32.25" customHeight="1" thickTop="1" thickBot="1">
      <c r="A18" s="19"/>
      <c r="B18" s="19"/>
      <c r="C18" s="239"/>
      <c r="D18" s="239"/>
      <c r="E18" s="239"/>
      <c r="F18" s="239"/>
      <c r="G18" s="239"/>
      <c r="H18" s="239"/>
      <c r="I18" s="239"/>
      <c r="J18" s="239"/>
      <c r="K18" s="239"/>
      <c r="L18" s="239"/>
      <c r="M18" s="239"/>
      <c r="N18" s="239"/>
      <c r="O18" s="239"/>
      <c r="P18" s="239"/>
      <c r="Q18" s="239"/>
      <c r="R18" s="239"/>
      <c r="S18" s="239"/>
      <c r="T18" s="239"/>
      <c r="U18" s="239"/>
      <c r="V18" s="239"/>
      <c r="W18" s="239"/>
      <c r="X18" s="239"/>
      <c r="Y18" s="239"/>
      <c r="Z18" s="239"/>
      <c r="AA18" s="239"/>
      <c r="AB18" s="239"/>
      <c r="AC18" s="239"/>
      <c r="AD18" s="239"/>
      <c r="AE18" s="239"/>
      <c r="AF18" s="239"/>
      <c r="AG18" s="239"/>
      <c r="AH18" s="239"/>
      <c r="AI18" s="239"/>
      <c r="AJ18" s="239"/>
      <c r="AK18" s="239"/>
      <c r="AL18" s="239"/>
      <c r="AM18" s="239"/>
      <c r="AN18" s="239"/>
      <c r="AO18" s="239"/>
      <c r="AP18" s="239"/>
      <c r="AQ18" s="239"/>
      <c r="AR18" s="239"/>
      <c r="AS18" s="239"/>
      <c r="AT18" s="239"/>
      <c r="AU18" s="239" t="s">
        <v>479</v>
      </c>
      <c r="AV18" s="239"/>
      <c r="AW18" s="239"/>
      <c r="AX18" s="239"/>
      <c r="AY18" s="188">
        <f>(2250*13)+5500+(550*12)+(93.93*12)</f>
        <v>42477.16</v>
      </c>
      <c r="AZ18" s="1"/>
      <c r="BA18" s="1"/>
      <c r="BB18" s="1"/>
    </row>
    <row r="19" spans="1:55" ht="17.25" thickTop="1" thickBot="1">
      <c r="A19" s="50" t="s">
        <v>9</v>
      </c>
      <c r="B19" s="52" t="s">
        <v>121</v>
      </c>
      <c r="C19" s="21" t="s">
        <v>67</v>
      </c>
      <c r="D19" s="22" t="s">
        <v>10</v>
      </c>
      <c r="E19" s="22" t="s">
        <v>11</v>
      </c>
      <c r="F19" s="23" t="s">
        <v>12</v>
      </c>
      <c r="G19" s="21" t="s">
        <v>67</v>
      </c>
      <c r="H19" s="22" t="s">
        <v>10</v>
      </c>
      <c r="I19" s="22" t="s">
        <v>11</v>
      </c>
      <c r="J19" s="23" t="s">
        <v>12</v>
      </c>
      <c r="K19" s="21" t="s">
        <v>67</v>
      </c>
      <c r="L19" s="22" t="s">
        <v>10</v>
      </c>
      <c r="M19" s="22" t="s">
        <v>11</v>
      </c>
      <c r="N19" s="23" t="s">
        <v>12</v>
      </c>
      <c r="O19" s="21" t="s">
        <v>67</v>
      </c>
      <c r="P19" s="22" t="s">
        <v>10</v>
      </c>
      <c r="Q19" s="22" t="s">
        <v>11</v>
      </c>
      <c r="R19" s="23" t="s">
        <v>12</v>
      </c>
      <c r="S19" s="21" t="s">
        <v>67</v>
      </c>
      <c r="T19" s="22" t="s">
        <v>10</v>
      </c>
      <c r="U19" s="22" t="s">
        <v>11</v>
      </c>
      <c r="V19" s="23" t="s">
        <v>12</v>
      </c>
      <c r="W19" s="21" t="s">
        <v>67</v>
      </c>
      <c r="X19" s="22" t="s">
        <v>10</v>
      </c>
      <c r="Y19" s="22" t="s">
        <v>11</v>
      </c>
      <c r="Z19" s="23" t="s">
        <v>12</v>
      </c>
      <c r="AA19" s="21" t="s">
        <v>67</v>
      </c>
      <c r="AB19" s="22" t="s">
        <v>10</v>
      </c>
      <c r="AC19" s="22" t="s">
        <v>11</v>
      </c>
      <c r="AD19" s="23" t="s">
        <v>12</v>
      </c>
      <c r="AE19" s="21" t="s">
        <v>67</v>
      </c>
      <c r="AF19" s="22" t="s">
        <v>10</v>
      </c>
      <c r="AG19" s="22" t="s">
        <v>11</v>
      </c>
      <c r="AH19" s="23" t="s">
        <v>12</v>
      </c>
      <c r="AI19" s="21" t="s">
        <v>67</v>
      </c>
      <c r="AJ19" s="22" t="s">
        <v>10</v>
      </c>
      <c r="AK19" s="22" t="s">
        <v>11</v>
      </c>
      <c r="AL19" s="23" t="s">
        <v>12</v>
      </c>
      <c r="AM19" s="21" t="s">
        <v>67</v>
      </c>
      <c r="AN19" s="22" t="s">
        <v>10</v>
      </c>
      <c r="AO19" s="22" t="s">
        <v>11</v>
      </c>
      <c r="AP19" s="23" t="s">
        <v>12</v>
      </c>
      <c r="AQ19" s="21" t="s">
        <v>67</v>
      </c>
      <c r="AR19" s="22" t="s">
        <v>10</v>
      </c>
      <c r="AS19" s="22" t="s">
        <v>11</v>
      </c>
      <c r="AT19" s="23" t="s">
        <v>12</v>
      </c>
      <c r="AU19" s="21" t="s">
        <v>67</v>
      </c>
      <c r="AV19" s="22" t="s">
        <v>10</v>
      </c>
      <c r="AW19" s="22" t="s">
        <v>11</v>
      </c>
      <c r="AX19" s="23" t="s">
        <v>12</v>
      </c>
      <c r="AY19" s="24" t="s">
        <v>13</v>
      </c>
      <c r="AZ19" s="25" t="s">
        <v>14</v>
      </c>
      <c r="BA19" s="25" t="s">
        <v>15</v>
      </c>
      <c r="BB19" s="25" t="s">
        <v>16</v>
      </c>
    </row>
    <row r="20" spans="1:55" ht="15.75">
      <c r="A20" s="39" t="s">
        <v>499</v>
      </c>
      <c r="B20" s="105">
        <f>580.41-294</f>
        <v>286.40999999999997</v>
      </c>
      <c r="C20" s="26" t="s">
        <v>0</v>
      </c>
      <c r="D20" s="58">
        <f>'01'!B20</f>
        <v>879</v>
      </c>
      <c r="E20" s="58">
        <f>SUM('01'!D20:F20)</f>
        <v>536.24</v>
      </c>
      <c r="F20" s="83">
        <f t="shared" ref="F20:F45" si="2">B20+D20-E20</f>
        <v>629.16999999999985</v>
      </c>
      <c r="G20" s="26" t="s">
        <v>1</v>
      </c>
      <c r="H20" s="58">
        <f>'02'!B20</f>
        <v>700</v>
      </c>
      <c r="I20" s="58">
        <f>SUM('02'!D20:F20)</f>
        <v>605.65</v>
      </c>
      <c r="J20" s="83">
        <f t="shared" ref="J20:J45" si="3">F20+H20-I20</f>
        <v>723.51999999999987</v>
      </c>
      <c r="K20" s="26" t="s">
        <v>2</v>
      </c>
      <c r="L20" s="58">
        <f>'03'!B20</f>
        <v>720.1</v>
      </c>
      <c r="M20" s="58">
        <f>SUM('03'!D20:F20)</f>
        <v>1220.8099999999997</v>
      </c>
      <c r="N20" s="83">
        <f t="shared" ref="N20:N45" si="4">J20+L20-M20</f>
        <v>222.81000000000017</v>
      </c>
      <c r="O20" s="26" t="s">
        <v>3</v>
      </c>
      <c r="P20" s="58">
        <f>'04'!B20</f>
        <v>704</v>
      </c>
      <c r="Q20" s="58">
        <f>SUM('04'!D20:F20)</f>
        <v>684.59</v>
      </c>
      <c r="R20" s="83">
        <f t="shared" ref="R20:R45" si="5">N20+P20-Q20</f>
        <v>242.22000000000014</v>
      </c>
      <c r="S20" s="26" t="s">
        <v>99</v>
      </c>
      <c r="T20" s="58">
        <f>'05'!B20</f>
        <v>804.01</v>
      </c>
      <c r="U20" s="58">
        <f>SUM('05'!D20:F20)</f>
        <v>484.17</v>
      </c>
      <c r="V20" s="83">
        <f t="shared" ref="V20:V45" si="6">R20+T20-U20</f>
        <v>562.05999999999995</v>
      </c>
      <c r="W20" s="26" t="s">
        <v>95</v>
      </c>
      <c r="X20" s="58">
        <f>'06'!B20</f>
        <v>722.33999999999992</v>
      </c>
      <c r="Y20" s="58">
        <f>SUM('06'!D20:F20)</f>
        <v>585.27</v>
      </c>
      <c r="Z20" s="83">
        <f t="shared" ref="Z20:Z45" si="7">V20+X20-Y20</f>
        <v>699.12999999999988</v>
      </c>
      <c r="AA20" s="26" t="s">
        <v>103</v>
      </c>
      <c r="AB20" s="58">
        <f>'07'!B20</f>
        <v>1043.3</v>
      </c>
      <c r="AC20" s="58">
        <f>SUM('07'!D20:F20)</f>
        <v>1375.54</v>
      </c>
      <c r="AD20" s="83">
        <f t="shared" ref="AD20:AD45" si="8">Z20+AB20-AC20</f>
        <v>366.88999999999987</v>
      </c>
      <c r="AE20" s="26" t="s">
        <v>104</v>
      </c>
      <c r="AF20" s="58">
        <f>'08'!B20</f>
        <v>269</v>
      </c>
      <c r="AG20" s="58">
        <f>SUM('08'!D20:F20)</f>
        <v>150.94999999999999</v>
      </c>
      <c r="AH20" s="83">
        <f t="shared" ref="AH20:AH45" si="9">AD20+AF20-AG20</f>
        <v>484.93999999999988</v>
      </c>
      <c r="AI20" s="26" t="s">
        <v>108</v>
      </c>
      <c r="AJ20" s="58">
        <f>'09'!B20</f>
        <v>642.71</v>
      </c>
      <c r="AK20" s="58">
        <f>SUM('09'!D20:F20)</f>
        <v>456.68</v>
      </c>
      <c r="AL20" s="83">
        <f t="shared" ref="AL20:AL45" si="10">AH20+AJ20-AK20</f>
        <v>670.9699999999998</v>
      </c>
      <c r="AM20" s="26" t="s">
        <v>109</v>
      </c>
      <c r="AN20" s="58">
        <f>'10'!B20</f>
        <v>562.14</v>
      </c>
      <c r="AO20" s="58">
        <f>SUM('10'!D20:F20)</f>
        <v>0</v>
      </c>
      <c r="AP20" s="83">
        <f t="shared" ref="AP20:AP45" si="11">AL20+AN20-AO20</f>
        <v>1233.1099999999997</v>
      </c>
      <c r="AQ20" s="26" t="s">
        <v>114</v>
      </c>
      <c r="AR20" s="58">
        <f>'11'!B20</f>
        <v>534</v>
      </c>
      <c r="AS20" s="58">
        <f>SUM('11'!D20:F20)</f>
        <v>0</v>
      </c>
      <c r="AT20" s="83">
        <f t="shared" ref="AT20:AT45" si="12">AP20+AR20-AS20</f>
        <v>1767.1099999999997</v>
      </c>
      <c r="AU20" s="26" t="s">
        <v>118</v>
      </c>
      <c r="AV20" s="58">
        <f>'12'!B20</f>
        <v>269</v>
      </c>
      <c r="AW20" s="58">
        <f>SUM('12'!D20:F20)</f>
        <v>0</v>
      </c>
      <c r="AX20" s="83">
        <f t="shared" ref="AX20:AX45" si="13">AT20+AV20-AW20</f>
        <v>2036.1099999999997</v>
      </c>
      <c r="AY20" s="40">
        <f t="shared" ref="AY20:AY27" si="14">E20+I20+M20+Q20+U20+Y20+AC20+AG20+AK20+AO20+AS20+AW20</f>
        <v>6099.9</v>
      </c>
      <c r="AZ20" s="41">
        <f t="shared" ref="AZ20:AZ45" si="15">AY20/AY$46</f>
        <v>0.15492580710049311</v>
      </c>
      <c r="BA20" s="42">
        <f>_xlfn.RANK.EQ(AZ20,$AZ$20:$AZ$45,)</f>
        <v>2</v>
      </c>
      <c r="BB20" s="42">
        <f t="shared" ref="BB20:BB45" ca="1" si="16">AY20/BB$17</f>
        <v>677.76666666666665</v>
      </c>
    </row>
    <row r="21" spans="1:55" ht="15.75">
      <c r="A21" s="44" t="s">
        <v>62</v>
      </c>
      <c r="B21" s="106">
        <v>0</v>
      </c>
      <c r="C21" s="27" t="s">
        <v>0</v>
      </c>
      <c r="D21" s="62">
        <f>'01'!B40</f>
        <v>1387.4</v>
      </c>
      <c r="E21" s="63">
        <f>SUM('01'!D40:F40)</f>
        <v>1250.77</v>
      </c>
      <c r="F21" s="84">
        <f t="shared" si="2"/>
        <v>136.63000000000011</v>
      </c>
      <c r="G21" s="27" t="s">
        <v>1</v>
      </c>
      <c r="H21" s="62">
        <f>'02'!B40</f>
        <v>1205.52</v>
      </c>
      <c r="I21" s="63">
        <f>SUM('02'!D40:F40)</f>
        <v>1068.6300000000001</v>
      </c>
      <c r="J21" s="84">
        <f t="shared" si="3"/>
        <v>273.52</v>
      </c>
      <c r="K21" s="27" t="s">
        <v>2</v>
      </c>
      <c r="L21" s="62">
        <f>'03'!B40</f>
        <v>1158</v>
      </c>
      <c r="M21" s="63">
        <f>SUM('03'!D40:F40)</f>
        <v>917.46</v>
      </c>
      <c r="N21" s="84">
        <f t="shared" si="4"/>
        <v>514.05999999999995</v>
      </c>
      <c r="O21" s="27" t="s">
        <v>3</v>
      </c>
      <c r="P21" s="62">
        <f>'04'!B40</f>
        <v>1158</v>
      </c>
      <c r="Q21" s="63">
        <f>SUM('04'!D40:F40)</f>
        <v>1293.58</v>
      </c>
      <c r="R21" s="84">
        <f t="shared" si="5"/>
        <v>378.48</v>
      </c>
      <c r="S21" s="27" t="s">
        <v>99</v>
      </c>
      <c r="T21" s="62">
        <f>'05'!B40</f>
        <v>1158</v>
      </c>
      <c r="U21" s="63">
        <f>SUM('05'!D40:F40)</f>
        <v>1021.84</v>
      </c>
      <c r="V21" s="84">
        <f t="shared" si="6"/>
        <v>514.64</v>
      </c>
      <c r="W21" s="27" t="s">
        <v>95</v>
      </c>
      <c r="X21" s="62">
        <f>'06'!B40</f>
        <v>1128</v>
      </c>
      <c r="Y21" s="63">
        <f>SUM('06'!D40:F40)</f>
        <v>1118.78</v>
      </c>
      <c r="Z21" s="84">
        <f t="shared" si="7"/>
        <v>523.8599999999999</v>
      </c>
      <c r="AA21" s="27" t="s">
        <v>103</v>
      </c>
      <c r="AB21" s="62">
        <f>'07'!B40</f>
        <v>1128</v>
      </c>
      <c r="AC21" s="63">
        <f>SUM('07'!D40:F40)</f>
        <v>1021.84</v>
      </c>
      <c r="AD21" s="84">
        <f t="shared" si="8"/>
        <v>630.01999999999987</v>
      </c>
      <c r="AE21" s="27" t="s">
        <v>104</v>
      </c>
      <c r="AF21" s="62">
        <f>'08'!B40</f>
        <v>1128</v>
      </c>
      <c r="AG21" s="63">
        <f>SUM('08'!D40:F40)</f>
        <v>1084.46</v>
      </c>
      <c r="AH21" s="84">
        <f t="shared" si="9"/>
        <v>673.56</v>
      </c>
      <c r="AI21" s="27" t="s">
        <v>108</v>
      </c>
      <c r="AJ21" s="62">
        <f>'09'!B40</f>
        <v>1128</v>
      </c>
      <c r="AK21" s="63">
        <f>SUM('09'!D40:F40)</f>
        <v>1084.46</v>
      </c>
      <c r="AL21" s="84">
        <f t="shared" si="10"/>
        <v>717.09999999999991</v>
      </c>
      <c r="AM21" s="27" t="s">
        <v>109</v>
      </c>
      <c r="AN21" s="62">
        <f>'10'!B40</f>
        <v>1128</v>
      </c>
      <c r="AO21" s="63">
        <f>SUM('10'!D40:F40)</f>
        <v>0</v>
      </c>
      <c r="AP21" s="84">
        <f t="shared" si="11"/>
        <v>1845.1</v>
      </c>
      <c r="AQ21" s="27" t="s">
        <v>114</v>
      </c>
      <c r="AR21" s="62">
        <f>'11'!B40</f>
        <v>1128</v>
      </c>
      <c r="AS21" s="63">
        <f>SUM('11'!D40:F40)</f>
        <v>0</v>
      </c>
      <c r="AT21" s="84">
        <f t="shared" si="12"/>
        <v>2973.1</v>
      </c>
      <c r="AU21" s="27" t="s">
        <v>118</v>
      </c>
      <c r="AV21" s="62">
        <f>'12'!B40</f>
        <v>1128</v>
      </c>
      <c r="AW21" s="63">
        <f>SUM('12'!D40:F40)</f>
        <v>0</v>
      </c>
      <c r="AX21" s="84">
        <f t="shared" si="13"/>
        <v>4101.1000000000004</v>
      </c>
      <c r="AY21" s="45">
        <f t="shared" si="14"/>
        <v>9861.82</v>
      </c>
      <c r="AZ21" s="41">
        <f t="shared" si="15"/>
        <v>0.25047138854403928</v>
      </c>
      <c r="BA21" s="42">
        <f t="shared" ref="BA21:BA45" si="17">_xlfn.RANK.EQ(AZ21,$AZ$20:$AZ$45,)</f>
        <v>1</v>
      </c>
      <c r="BB21" s="42">
        <f t="shared" ca="1" si="16"/>
        <v>1095.7577777777778</v>
      </c>
    </row>
    <row r="22" spans="1:55" ht="15.75">
      <c r="A22" s="46" t="s">
        <v>17</v>
      </c>
      <c r="B22" s="107">
        <v>0</v>
      </c>
      <c r="C22" s="26" t="s">
        <v>0</v>
      </c>
      <c r="D22" s="59">
        <f>'01'!B60</f>
        <v>400</v>
      </c>
      <c r="E22" s="59">
        <f>SUM('01'!D60:F60)</f>
        <v>446.3</v>
      </c>
      <c r="F22" s="85">
        <f t="shared" si="2"/>
        <v>-46.300000000000011</v>
      </c>
      <c r="G22" s="26" t="s">
        <v>1</v>
      </c>
      <c r="H22" s="59">
        <f>'02'!B60</f>
        <v>400</v>
      </c>
      <c r="I22" s="59">
        <f>SUM('02'!D60:F60)</f>
        <v>438.4</v>
      </c>
      <c r="J22" s="85">
        <f t="shared" si="3"/>
        <v>-84.699999999999989</v>
      </c>
      <c r="K22" s="26" t="s">
        <v>2</v>
      </c>
      <c r="L22" s="59">
        <f>'03'!B60</f>
        <v>471.46</v>
      </c>
      <c r="M22" s="59">
        <f>SUM('03'!D60:F60)</f>
        <v>423.7</v>
      </c>
      <c r="N22" s="85">
        <f t="shared" si="4"/>
        <v>-36.94</v>
      </c>
      <c r="O22" s="26" t="s">
        <v>3</v>
      </c>
      <c r="P22" s="59">
        <f>'04'!B60</f>
        <v>410</v>
      </c>
      <c r="Q22" s="59">
        <f>SUM('04'!D60:F60)</f>
        <v>606.42999999999995</v>
      </c>
      <c r="R22" s="85">
        <f t="shared" si="5"/>
        <v>-233.36999999999995</v>
      </c>
      <c r="S22" s="26" t="s">
        <v>99</v>
      </c>
      <c r="T22" s="59">
        <f>'05'!B60</f>
        <v>420</v>
      </c>
      <c r="U22" s="59">
        <f>SUM('05'!D60:F60)</f>
        <v>239.60999999999999</v>
      </c>
      <c r="V22" s="85">
        <f t="shared" si="6"/>
        <v>-52.979999999999933</v>
      </c>
      <c r="W22" s="26" t="s">
        <v>95</v>
      </c>
      <c r="X22" s="59">
        <f>'06'!B60</f>
        <v>478</v>
      </c>
      <c r="Y22" s="59">
        <f>SUM('06'!D60:F60)</f>
        <v>554.07000000000005</v>
      </c>
      <c r="Z22" s="85">
        <f t="shared" si="7"/>
        <v>-129.04999999999995</v>
      </c>
      <c r="AA22" s="26" t="s">
        <v>103</v>
      </c>
      <c r="AB22" s="59">
        <f>'07'!B60</f>
        <v>530</v>
      </c>
      <c r="AC22" s="59">
        <f>SUM('07'!D60:F60)</f>
        <v>389.21999999999997</v>
      </c>
      <c r="AD22" s="85">
        <f t="shared" si="8"/>
        <v>11.730000000000075</v>
      </c>
      <c r="AE22" s="26" t="s">
        <v>104</v>
      </c>
      <c r="AF22" s="59">
        <f>'08'!B60</f>
        <v>500</v>
      </c>
      <c r="AG22" s="59">
        <f>SUM('08'!D60:F60)</f>
        <v>415.88999999999993</v>
      </c>
      <c r="AH22" s="85">
        <f t="shared" si="9"/>
        <v>95.840000000000146</v>
      </c>
      <c r="AI22" s="26" t="s">
        <v>108</v>
      </c>
      <c r="AJ22" s="59">
        <f>'09'!B60</f>
        <v>460</v>
      </c>
      <c r="AK22" s="59">
        <f>SUM('09'!D60:F60)</f>
        <v>312.93999999999994</v>
      </c>
      <c r="AL22" s="85">
        <f t="shared" si="10"/>
        <v>242.9000000000002</v>
      </c>
      <c r="AM22" s="26" t="s">
        <v>109</v>
      </c>
      <c r="AN22" s="59">
        <f>'10'!B60</f>
        <v>490</v>
      </c>
      <c r="AO22" s="59">
        <f>SUM('10'!D60:F60)</f>
        <v>0</v>
      </c>
      <c r="AP22" s="85">
        <f t="shared" si="11"/>
        <v>732.9000000000002</v>
      </c>
      <c r="AQ22" s="26" t="s">
        <v>114</v>
      </c>
      <c r="AR22" s="59">
        <f>'11'!B60</f>
        <v>490</v>
      </c>
      <c r="AS22" s="59">
        <f>SUM('11'!D60:F60)</f>
        <v>0</v>
      </c>
      <c r="AT22" s="85">
        <f t="shared" si="12"/>
        <v>1222.9000000000001</v>
      </c>
      <c r="AU22" s="26" t="s">
        <v>118</v>
      </c>
      <c r="AV22" s="59">
        <f>'12'!B60</f>
        <v>510</v>
      </c>
      <c r="AW22" s="59">
        <f>SUM('12'!D60:F60)</f>
        <v>0</v>
      </c>
      <c r="AX22" s="85">
        <f t="shared" si="13"/>
        <v>1732.9</v>
      </c>
      <c r="AY22" s="43">
        <f t="shared" si="14"/>
        <v>3826.56</v>
      </c>
      <c r="AZ22" s="41">
        <f t="shared" si="15"/>
        <v>9.7187313958993257E-2</v>
      </c>
      <c r="BA22" s="42">
        <f t="shared" si="17"/>
        <v>3</v>
      </c>
      <c r="BB22" s="42">
        <f t="shared" ca="1" si="16"/>
        <v>425.17333333333335</v>
      </c>
    </row>
    <row r="23" spans="1:55" ht="15.75">
      <c r="A23" s="44" t="s">
        <v>18</v>
      </c>
      <c r="B23" s="106">
        <v>3.26</v>
      </c>
      <c r="C23" s="27" t="s">
        <v>0</v>
      </c>
      <c r="D23" s="62">
        <f>'01'!B80</f>
        <v>150</v>
      </c>
      <c r="E23" s="63">
        <f>SUM('01'!D80:F80)</f>
        <v>161.19</v>
      </c>
      <c r="F23" s="84">
        <f t="shared" si="2"/>
        <v>-7.9300000000000068</v>
      </c>
      <c r="G23" s="27" t="s">
        <v>1</v>
      </c>
      <c r="H23" s="62">
        <f>'02'!B80</f>
        <v>201</v>
      </c>
      <c r="I23" s="63">
        <f>SUM('02'!D80:F80)</f>
        <v>147.35</v>
      </c>
      <c r="J23" s="84">
        <f t="shared" si="3"/>
        <v>45.72</v>
      </c>
      <c r="K23" s="27" t="s">
        <v>2</v>
      </c>
      <c r="L23" s="62">
        <f>'03'!B80</f>
        <v>88.539999999999992</v>
      </c>
      <c r="M23" s="63">
        <f>SUM('03'!D80:F80)</f>
        <v>180.05</v>
      </c>
      <c r="N23" s="84">
        <f t="shared" si="4"/>
        <v>-45.79000000000002</v>
      </c>
      <c r="O23" s="27" t="s">
        <v>3</v>
      </c>
      <c r="P23" s="62">
        <f>'04'!B80</f>
        <v>150</v>
      </c>
      <c r="Q23" s="63">
        <f>SUM('04'!D80:F80)</f>
        <v>98.300000000000011</v>
      </c>
      <c r="R23" s="84">
        <f t="shared" si="5"/>
        <v>5.9099999999999682</v>
      </c>
      <c r="S23" s="27" t="s">
        <v>99</v>
      </c>
      <c r="T23" s="62">
        <f>'05'!B80</f>
        <v>373</v>
      </c>
      <c r="U23" s="63">
        <f>SUM('05'!D80:F80)</f>
        <v>373.97999999999996</v>
      </c>
      <c r="V23" s="84">
        <f t="shared" si="6"/>
        <v>4.9300000000000068</v>
      </c>
      <c r="W23" s="27" t="s">
        <v>95</v>
      </c>
      <c r="X23" s="62">
        <f>'06'!B80</f>
        <v>150</v>
      </c>
      <c r="Y23" s="63">
        <f>SUM('06'!D80:F80)</f>
        <v>226.57</v>
      </c>
      <c r="Z23" s="84">
        <f t="shared" si="7"/>
        <v>-71.639999999999986</v>
      </c>
      <c r="AA23" s="27" t="s">
        <v>103</v>
      </c>
      <c r="AB23" s="62">
        <f>'07'!B80</f>
        <v>221</v>
      </c>
      <c r="AC23" s="63">
        <f>SUM('07'!D80:F80)</f>
        <v>205.9</v>
      </c>
      <c r="AD23" s="84">
        <f t="shared" si="8"/>
        <v>-56.539999999999992</v>
      </c>
      <c r="AE23" s="27" t="s">
        <v>104</v>
      </c>
      <c r="AF23" s="62">
        <f>'08'!B80</f>
        <v>256.3</v>
      </c>
      <c r="AG23" s="63">
        <f>SUM('08'!D80:F80)</f>
        <v>258.8</v>
      </c>
      <c r="AH23" s="84">
        <f t="shared" si="9"/>
        <v>-59.039999999999992</v>
      </c>
      <c r="AI23" s="27" t="s">
        <v>108</v>
      </c>
      <c r="AJ23" s="62">
        <f>'09'!B80</f>
        <v>150</v>
      </c>
      <c r="AK23" s="63">
        <f>SUM('09'!D80:F80)</f>
        <v>66.009999999999991</v>
      </c>
      <c r="AL23" s="84">
        <f t="shared" si="10"/>
        <v>24.950000000000017</v>
      </c>
      <c r="AM23" s="27" t="s">
        <v>109</v>
      </c>
      <c r="AN23" s="62">
        <f>'10'!B80</f>
        <v>150</v>
      </c>
      <c r="AO23" s="63">
        <f>SUM('10'!D80:F80)</f>
        <v>0</v>
      </c>
      <c r="AP23" s="84">
        <f t="shared" si="11"/>
        <v>174.95000000000002</v>
      </c>
      <c r="AQ23" s="27" t="s">
        <v>114</v>
      </c>
      <c r="AR23" s="62">
        <f>'11'!B80</f>
        <v>150</v>
      </c>
      <c r="AS23" s="63">
        <f>SUM('11'!D80:F80)</f>
        <v>0</v>
      </c>
      <c r="AT23" s="84">
        <f t="shared" si="12"/>
        <v>324.95000000000005</v>
      </c>
      <c r="AU23" s="27" t="s">
        <v>118</v>
      </c>
      <c r="AV23" s="62">
        <f>'12'!B80</f>
        <v>150</v>
      </c>
      <c r="AW23" s="63">
        <f>SUM('12'!D80:F80)</f>
        <v>0</v>
      </c>
      <c r="AX23" s="84">
        <f t="shared" si="13"/>
        <v>474.95000000000005</v>
      </c>
      <c r="AY23" s="45">
        <f t="shared" si="14"/>
        <v>1718.1499999999999</v>
      </c>
      <c r="AZ23" s="41">
        <f t="shared" si="15"/>
        <v>4.3637727744669952E-2</v>
      </c>
      <c r="BA23" s="42">
        <f t="shared" si="17"/>
        <v>7</v>
      </c>
      <c r="BB23" s="42">
        <f t="shared" ca="1" si="16"/>
        <v>190.90555555555554</v>
      </c>
    </row>
    <row r="24" spans="1:55" ht="15.75">
      <c r="A24" s="46" t="s">
        <v>19</v>
      </c>
      <c r="B24" s="107">
        <v>74.56</v>
      </c>
      <c r="C24" s="26" t="s">
        <v>0</v>
      </c>
      <c r="D24" s="59">
        <f>'01'!B100</f>
        <v>150</v>
      </c>
      <c r="E24" s="59">
        <f>SUM('01'!D100:F100)</f>
        <v>158.34</v>
      </c>
      <c r="F24" s="85">
        <f t="shared" si="2"/>
        <v>66.22</v>
      </c>
      <c r="G24" s="26" t="s">
        <v>1</v>
      </c>
      <c r="H24" s="59">
        <f>'02'!B100</f>
        <v>150</v>
      </c>
      <c r="I24" s="59">
        <f>SUM('02'!D100:F100)</f>
        <v>182.92</v>
      </c>
      <c r="J24" s="85">
        <f t="shared" si="3"/>
        <v>33.300000000000011</v>
      </c>
      <c r="K24" s="26" t="s">
        <v>2</v>
      </c>
      <c r="L24" s="59">
        <f>'03'!B100</f>
        <v>150</v>
      </c>
      <c r="M24" s="59">
        <f>SUM('03'!D100:F100)</f>
        <v>142.01</v>
      </c>
      <c r="N24" s="85">
        <f t="shared" si="4"/>
        <v>41.29000000000002</v>
      </c>
      <c r="O24" s="26" t="s">
        <v>3</v>
      </c>
      <c r="P24" s="59">
        <f>'04'!B100</f>
        <v>150</v>
      </c>
      <c r="Q24" s="59">
        <f>SUM('04'!D100:F100)</f>
        <v>89.83</v>
      </c>
      <c r="R24" s="85">
        <f t="shared" si="5"/>
        <v>101.46000000000002</v>
      </c>
      <c r="S24" s="26" t="s">
        <v>99</v>
      </c>
      <c r="T24" s="59">
        <f>'05'!B100</f>
        <v>140</v>
      </c>
      <c r="U24" s="59">
        <f>SUM('05'!D100:F100)</f>
        <v>191.8</v>
      </c>
      <c r="V24" s="85">
        <f t="shared" si="6"/>
        <v>49.660000000000025</v>
      </c>
      <c r="W24" s="26" t="s">
        <v>95</v>
      </c>
      <c r="X24" s="59">
        <f>'06'!B100</f>
        <v>150</v>
      </c>
      <c r="Y24" s="59">
        <f>SUM('06'!D100:F100)</f>
        <v>152.04</v>
      </c>
      <c r="Z24" s="85">
        <f t="shared" si="7"/>
        <v>47.620000000000033</v>
      </c>
      <c r="AA24" s="26" t="s">
        <v>103</v>
      </c>
      <c r="AB24" s="59">
        <f>'07'!B100</f>
        <v>150</v>
      </c>
      <c r="AC24" s="59">
        <f>SUM('07'!D100:F100)</f>
        <v>159.55000000000001</v>
      </c>
      <c r="AD24" s="85">
        <f t="shared" si="8"/>
        <v>38.070000000000022</v>
      </c>
      <c r="AE24" s="26" t="s">
        <v>104</v>
      </c>
      <c r="AF24" s="59">
        <f>'08'!B100</f>
        <v>150</v>
      </c>
      <c r="AG24" s="59">
        <f>SUM('08'!D100:F100)</f>
        <v>164.92</v>
      </c>
      <c r="AH24" s="85">
        <f t="shared" si="9"/>
        <v>23.150000000000034</v>
      </c>
      <c r="AI24" s="26" t="s">
        <v>108</v>
      </c>
      <c r="AJ24" s="59">
        <f>'09'!B100</f>
        <v>150</v>
      </c>
      <c r="AK24" s="59">
        <f>SUM('09'!D100:F100)</f>
        <v>121.38000000000001</v>
      </c>
      <c r="AL24" s="85">
        <f t="shared" si="10"/>
        <v>51.770000000000024</v>
      </c>
      <c r="AM24" s="26" t="s">
        <v>109</v>
      </c>
      <c r="AN24" s="59">
        <f>'10'!B100</f>
        <v>160</v>
      </c>
      <c r="AO24" s="59">
        <f>SUM('10'!D100:F100)</f>
        <v>0</v>
      </c>
      <c r="AP24" s="85">
        <f t="shared" si="11"/>
        <v>211.77000000000004</v>
      </c>
      <c r="AQ24" s="26" t="s">
        <v>114</v>
      </c>
      <c r="AR24" s="59">
        <f>'11'!B100</f>
        <v>160</v>
      </c>
      <c r="AS24" s="59">
        <f>SUM('11'!D100:F100)</f>
        <v>0</v>
      </c>
      <c r="AT24" s="85">
        <f t="shared" si="12"/>
        <v>371.77000000000004</v>
      </c>
      <c r="AU24" s="26" t="s">
        <v>118</v>
      </c>
      <c r="AV24" s="59">
        <f>'12'!B100</f>
        <v>150</v>
      </c>
      <c r="AW24" s="59">
        <f>SUM('12'!D100:F100)</f>
        <v>0</v>
      </c>
      <c r="AX24" s="85">
        <f t="shared" si="13"/>
        <v>521.77</v>
      </c>
      <c r="AY24" s="43">
        <f t="shared" si="14"/>
        <v>1362.7900000000002</v>
      </c>
      <c r="AZ24" s="41">
        <f t="shared" si="15"/>
        <v>3.4612262604055977E-2</v>
      </c>
      <c r="BA24" s="42">
        <f t="shared" si="17"/>
        <v>9</v>
      </c>
      <c r="BB24" s="42">
        <f t="shared" ca="1" si="16"/>
        <v>151.42111111111114</v>
      </c>
    </row>
    <row r="25" spans="1:55" ht="15.75">
      <c r="A25" s="44" t="s">
        <v>63</v>
      </c>
      <c r="B25" s="106">
        <v>3074.8199999999997</v>
      </c>
      <c r="C25" s="27" t="s">
        <v>0</v>
      </c>
      <c r="D25" s="62">
        <f>'01'!B120</f>
        <v>400</v>
      </c>
      <c r="E25" s="63">
        <f>SUM('01'!D120:F120)</f>
        <v>328.82000000000005</v>
      </c>
      <c r="F25" s="84">
        <f t="shared" si="2"/>
        <v>3145.9999999999995</v>
      </c>
      <c r="G25" s="27" t="s">
        <v>1</v>
      </c>
      <c r="H25" s="62">
        <f>'02'!B120</f>
        <v>400</v>
      </c>
      <c r="I25" s="63">
        <f>SUM('02'!D120:F120)</f>
        <v>328.82000000000005</v>
      </c>
      <c r="J25" s="84">
        <f t="shared" si="3"/>
        <v>3217.1799999999994</v>
      </c>
      <c r="K25" s="27" t="s">
        <v>2</v>
      </c>
      <c r="L25" s="62">
        <f>'03'!B120</f>
        <v>400</v>
      </c>
      <c r="M25" s="63">
        <f>SUM('03'!D120:F120)</f>
        <v>328.82000000000005</v>
      </c>
      <c r="N25" s="84">
        <f t="shared" si="4"/>
        <v>3288.3599999999992</v>
      </c>
      <c r="O25" s="27" t="s">
        <v>3</v>
      </c>
      <c r="P25" s="62">
        <f>'04'!B120</f>
        <v>400</v>
      </c>
      <c r="Q25" s="63">
        <f>SUM('04'!D120:F120)</f>
        <v>328.82000000000005</v>
      </c>
      <c r="R25" s="84">
        <f t="shared" si="5"/>
        <v>3359.5399999999991</v>
      </c>
      <c r="S25" s="27" t="s">
        <v>99</v>
      </c>
      <c r="T25" s="62">
        <f>'05'!B120</f>
        <v>400</v>
      </c>
      <c r="U25" s="63">
        <f>SUM('05'!D120:F120)</f>
        <v>328.82000000000005</v>
      </c>
      <c r="V25" s="84">
        <f t="shared" si="6"/>
        <v>3430.7199999999989</v>
      </c>
      <c r="W25" s="27" t="s">
        <v>95</v>
      </c>
      <c r="X25" s="62">
        <f>'06'!B120</f>
        <v>400</v>
      </c>
      <c r="Y25" s="63">
        <f>SUM('06'!D120:F120)</f>
        <v>328.82000000000005</v>
      </c>
      <c r="Z25" s="84">
        <f t="shared" si="7"/>
        <v>3501.8999999999987</v>
      </c>
      <c r="AA25" s="27" t="s">
        <v>103</v>
      </c>
      <c r="AB25" s="62">
        <f>'07'!B120</f>
        <v>400</v>
      </c>
      <c r="AC25" s="63">
        <f>SUM('07'!D120:F120)</f>
        <v>328.82000000000005</v>
      </c>
      <c r="AD25" s="84">
        <f t="shared" si="8"/>
        <v>3573.0799999999986</v>
      </c>
      <c r="AE25" s="27" t="s">
        <v>104</v>
      </c>
      <c r="AF25" s="62">
        <f>'08'!B120</f>
        <v>400</v>
      </c>
      <c r="AG25" s="63">
        <f>SUM('08'!D120:F120)</f>
        <v>328.82000000000005</v>
      </c>
      <c r="AH25" s="84">
        <f t="shared" si="9"/>
        <v>3644.2599999999984</v>
      </c>
      <c r="AI25" s="27" t="s">
        <v>108</v>
      </c>
      <c r="AJ25" s="62">
        <f>'09'!B120</f>
        <v>400</v>
      </c>
      <c r="AK25" s="63">
        <f>SUM('09'!D120:F120)</f>
        <v>330.82000000000005</v>
      </c>
      <c r="AL25" s="84">
        <f t="shared" si="10"/>
        <v>3713.4399999999982</v>
      </c>
      <c r="AM25" s="27" t="s">
        <v>109</v>
      </c>
      <c r="AN25" s="62">
        <f>'10'!B120</f>
        <v>400</v>
      </c>
      <c r="AO25" s="63">
        <f>SUM('10'!D120:F120)</f>
        <v>0</v>
      </c>
      <c r="AP25" s="84">
        <f t="shared" si="11"/>
        <v>4113.4399999999987</v>
      </c>
      <c r="AQ25" s="27" t="s">
        <v>114</v>
      </c>
      <c r="AR25" s="62">
        <f>'11'!B120</f>
        <v>400</v>
      </c>
      <c r="AS25" s="63">
        <f>SUM('11'!D120:F120)</f>
        <v>0</v>
      </c>
      <c r="AT25" s="84">
        <f t="shared" si="12"/>
        <v>4513.4399999999987</v>
      </c>
      <c r="AU25" s="27" t="s">
        <v>118</v>
      </c>
      <c r="AV25" s="62">
        <f>'12'!B120</f>
        <v>400</v>
      </c>
      <c r="AW25" s="63">
        <f>SUM('12'!D120:F120)</f>
        <v>0</v>
      </c>
      <c r="AX25" s="84">
        <f t="shared" si="13"/>
        <v>4913.4399999999987</v>
      </c>
      <c r="AY25" s="45">
        <f t="shared" si="14"/>
        <v>2961.380000000001</v>
      </c>
      <c r="AZ25" s="41">
        <f t="shared" si="15"/>
        <v>7.5213394749300555E-2</v>
      </c>
      <c r="BA25" s="42">
        <f t="shared" si="17"/>
        <v>5</v>
      </c>
      <c r="BB25" s="42">
        <f t="shared" ca="1" si="16"/>
        <v>329.04222222222234</v>
      </c>
    </row>
    <row r="26" spans="1:55" ht="15.75">
      <c r="A26" s="46" t="s">
        <v>64</v>
      </c>
      <c r="B26" s="107">
        <v>34.47</v>
      </c>
      <c r="C26" s="26" t="s">
        <v>0</v>
      </c>
      <c r="D26" s="59">
        <f>'01'!B140</f>
        <v>47.5</v>
      </c>
      <c r="E26" s="59">
        <f>SUM('01'!D140:F140)</f>
        <v>37.5</v>
      </c>
      <c r="F26" s="85">
        <f t="shared" si="2"/>
        <v>44.47</v>
      </c>
      <c r="G26" s="26" t="s">
        <v>1</v>
      </c>
      <c r="H26" s="59">
        <f>'02'!B140</f>
        <v>50</v>
      </c>
      <c r="I26" s="59">
        <f>SUM('02'!D140:F140)</f>
        <v>47.5</v>
      </c>
      <c r="J26" s="85">
        <f t="shared" si="3"/>
        <v>46.97</v>
      </c>
      <c r="K26" s="26" t="s">
        <v>2</v>
      </c>
      <c r="L26" s="59">
        <f>'03'!B140</f>
        <v>37.5</v>
      </c>
      <c r="M26" s="59">
        <f>SUM('03'!D140:F140)</f>
        <v>42.5</v>
      </c>
      <c r="N26" s="85">
        <f t="shared" si="4"/>
        <v>41.97</v>
      </c>
      <c r="O26" s="26" t="s">
        <v>3</v>
      </c>
      <c r="P26" s="59">
        <f>'04'!B140</f>
        <v>48</v>
      </c>
      <c r="Q26" s="59">
        <f>SUM('04'!D140:F140)</f>
        <v>60.49</v>
      </c>
      <c r="R26" s="85">
        <f t="shared" si="5"/>
        <v>29.479999999999997</v>
      </c>
      <c r="S26" s="26" t="s">
        <v>99</v>
      </c>
      <c r="T26" s="59">
        <f>'05'!B140</f>
        <v>48</v>
      </c>
      <c r="U26" s="59">
        <f>SUM('05'!D140:F140)</f>
        <v>35.5</v>
      </c>
      <c r="V26" s="85">
        <f t="shared" si="6"/>
        <v>41.97999999999999</v>
      </c>
      <c r="W26" s="26" t="s">
        <v>95</v>
      </c>
      <c r="X26" s="59">
        <f>'06'!B140</f>
        <v>48</v>
      </c>
      <c r="Y26" s="59">
        <f>SUM('06'!D140:F140)</f>
        <v>60.49</v>
      </c>
      <c r="Z26" s="85">
        <f t="shared" si="7"/>
        <v>29.489999999999988</v>
      </c>
      <c r="AA26" s="26" t="s">
        <v>103</v>
      </c>
      <c r="AB26" s="59">
        <f>'07'!B140</f>
        <v>48</v>
      </c>
      <c r="AC26" s="59">
        <f>SUM('07'!D140:F140)</f>
        <v>45.49</v>
      </c>
      <c r="AD26" s="85">
        <f t="shared" si="8"/>
        <v>31.999999999999979</v>
      </c>
      <c r="AE26" s="26" t="s">
        <v>104</v>
      </c>
      <c r="AF26" s="59">
        <f>'08'!B140</f>
        <v>48</v>
      </c>
      <c r="AG26" s="59">
        <f>SUM('08'!D140:F140)</f>
        <v>50.49</v>
      </c>
      <c r="AH26" s="85">
        <f t="shared" si="9"/>
        <v>29.50999999999997</v>
      </c>
      <c r="AI26" s="26" t="s">
        <v>108</v>
      </c>
      <c r="AJ26" s="59">
        <f>'09'!B140</f>
        <v>48</v>
      </c>
      <c r="AK26" s="59">
        <f>SUM('09'!D140:F140)</f>
        <v>22.990000000000002</v>
      </c>
      <c r="AL26" s="85">
        <f t="shared" si="10"/>
        <v>54.51999999999996</v>
      </c>
      <c r="AM26" s="26" t="s">
        <v>109</v>
      </c>
      <c r="AN26" s="59">
        <f>'10'!B140</f>
        <v>48</v>
      </c>
      <c r="AO26" s="59">
        <f>SUM('10'!D140:F140)</f>
        <v>0</v>
      </c>
      <c r="AP26" s="85">
        <f t="shared" si="11"/>
        <v>102.51999999999995</v>
      </c>
      <c r="AQ26" s="26" t="s">
        <v>114</v>
      </c>
      <c r="AR26" s="59">
        <f>'11'!B140</f>
        <v>48</v>
      </c>
      <c r="AS26" s="59">
        <f>SUM('11'!D140:F140)</f>
        <v>0</v>
      </c>
      <c r="AT26" s="85">
        <f t="shared" si="12"/>
        <v>150.51999999999995</v>
      </c>
      <c r="AU26" s="26" t="s">
        <v>118</v>
      </c>
      <c r="AV26" s="59">
        <f>'12'!B140</f>
        <v>48</v>
      </c>
      <c r="AW26" s="59">
        <f>SUM('12'!D140:F140)</f>
        <v>0</v>
      </c>
      <c r="AX26" s="85">
        <f t="shared" si="13"/>
        <v>198.51999999999995</v>
      </c>
      <c r="AY26" s="43">
        <f t="shared" si="14"/>
        <v>402.95000000000005</v>
      </c>
      <c r="AZ26" s="41">
        <f t="shared" si="15"/>
        <v>1.0234160227404336E-2</v>
      </c>
      <c r="BA26" s="42">
        <f t="shared" si="17"/>
        <v>16</v>
      </c>
      <c r="BB26" s="42">
        <f t="shared" ca="1" si="16"/>
        <v>44.772222222222226</v>
      </c>
    </row>
    <row r="27" spans="1:55" ht="16.5" thickBot="1">
      <c r="A27" s="44" t="s">
        <v>20</v>
      </c>
      <c r="B27" s="108">
        <v>125.39</v>
      </c>
      <c r="C27" s="27" t="s">
        <v>0</v>
      </c>
      <c r="D27" s="62">
        <f>'01'!B160</f>
        <v>60</v>
      </c>
      <c r="E27" s="62">
        <f>SUM('01'!D160:F160)</f>
        <v>44.38</v>
      </c>
      <c r="F27" s="86">
        <f t="shared" si="2"/>
        <v>141.01</v>
      </c>
      <c r="G27" s="27" t="s">
        <v>1</v>
      </c>
      <c r="H27" s="62">
        <f>'02'!B160</f>
        <v>60</v>
      </c>
      <c r="I27" s="62">
        <f>SUM('02'!D160:F160)</f>
        <v>23.07</v>
      </c>
      <c r="J27" s="86">
        <f t="shared" si="3"/>
        <v>177.94</v>
      </c>
      <c r="K27" s="27" t="s">
        <v>2</v>
      </c>
      <c r="L27" s="62">
        <f>'03'!B160</f>
        <v>60</v>
      </c>
      <c r="M27" s="62">
        <f>SUM('03'!D160:F160)</f>
        <v>44.73</v>
      </c>
      <c r="N27" s="86">
        <f t="shared" si="4"/>
        <v>193.21</v>
      </c>
      <c r="O27" s="27" t="s">
        <v>3</v>
      </c>
      <c r="P27" s="62">
        <f>'04'!B160</f>
        <v>50</v>
      </c>
      <c r="Q27" s="62">
        <f>SUM('04'!D160:F160)</f>
        <v>103.28999999999999</v>
      </c>
      <c r="R27" s="86">
        <f t="shared" si="5"/>
        <v>139.92000000000002</v>
      </c>
      <c r="S27" s="27" t="s">
        <v>99</v>
      </c>
      <c r="T27" s="62">
        <f>'05'!B160</f>
        <v>50</v>
      </c>
      <c r="U27" s="62">
        <f>SUM('05'!D160:F160)</f>
        <v>0</v>
      </c>
      <c r="V27" s="86">
        <f t="shared" si="6"/>
        <v>189.92000000000002</v>
      </c>
      <c r="W27" s="27" t="s">
        <v>95</v>
      </c>
      <c r="X27" s="62">
        <f>'06'!B160</f>
        <v>50</v>
      </c>
      <c r="Y27" s="62">
        <f>SUM('06'!D160:F160)</f>
        <v>31.56</v>
      </c>
      <c r="Z27" s="86">
        <f t="shared" si="7"/>
        <v>208.36</v>
      </c>
      <c r="AA27" s="27" t="s">
        <v>103</v>
      </c>
      <c r="AB27" s="62">
        <f>'07'!B160</f>
        <v>50</v>
      </c>
      <c r="AC27" s="62">
        <f>SUM('07'!D160:F160)</f>
        <v>0</v>
      </c>
      <c r="AD27" s="86">
        <f t="shared" si="8"/>
        <v>258.36</v>
      </c>
      <c r="AE27" s="27" t="s">
        <v>104</v>
      </c>
      <c r="AF27" s="62">
        <f>'08'!B160</f>
        <v>50</v>
      </c>
      <c r="AG27" s="62">
        <f>SUM('08'!D160:F160)</f>
        <v>90.83</v>
      </c>
      <c r="AH27" s="86">
        <f t="shared" si="9"/>
        <v>217.53000000000003</v>
      </c>
      <c r="AI27" s="27" t="s">
        <v>108</v>
      </c>
      <c r="AJ27" s="62">
        <f>'09'!B160</f>
        <v>50</v>
      </c>
      <c r="AK27" s="62">
        <f>SUM('09'!D160:F160)</f>
        <v>0</v>
      </c>
      <c r="AL27" s="86">
        <f t="shared" si="10"/>
        <v>267.53000000000003</v>
      </c>
      <c r="AM27" s="27" t="s">
        <v>109</v>
      </c>
      <c r="AN27" s="62">
        <f>'10'!B160</f>
        <v>50</v>
      </c>
      <c r="AO27" s="62">
        <f>SUM('10'!D160:F160)</f>
        <v>0</v>
      </c>
      <c r="AP27" s="86">
        <f t="shared" si="11"/>
        <v>317.53000000000003</v>
      </c>
      <c r="AQ27" s="27" t="s">
        <v>114</v>
      </c>
      <c r="AR27" s="62">
        <f>'11'!B160</f>
        <v>50</v>
      </c>
      <c r="AS27" s="62">
        <f>SUM('11'!D160:F160)</f>
        <v>0</v>
      </c>
      <c r="AT27" s="86">
        <f t="shared" si="12"/>
        <v>367.53000000000003</v>
      </c>
      <c r="AU27" s="27" t="s">
        <v>118</v>
      </c>
      <c r="AV27" s="62">
        <f>'12'!B160</f>
        <v>50</v>
      </c>
      <c r="AW27" s="62">
        <f>SUM('12'!D160:F160)</f>
        <v>0</v>
      </c>
      <c r="AX27" s="86">
        <f t="shared" si="13"/>
        <v>417.53000000000003</v>
      </c>
      <c r="AY27" s="45">
        <f t="shared" si="14"/>
        <v>337.86</v>
      </c>
      <c r="AZ27" s="41">
        <f t="shared" si="15"/>
        <v>8.5809985716114381E-3</v>
      </c>
      <c r="BA27" s="42">
        <f t="shared" si="17"/>
        <v>17</v>
      </c>
      <c r="BB27" s="42">
        <f t="shared" ca="1" si="16"/>
        <v>37.54</v>
      </c>
    </row>
    <row r="28" spans="1:55" ht="15.75">
      <c r="A28" s="46" t="s">
        <v>21</v>
      </c>
      <c r="B28" s="105">
        <v>12.36</v>
      </c>
      <c r="C28" s="26" t="s">
        <v>0</v>
      </c>
      <c r="D28" s="59">
        <f>'01'!B180</f>
        <v>900</v>
      </c>
      <c r="E28" s="59">
        <f>SUM('01'!D180:F180)</f>
        <v>1057.42</v>
      </c>
      <c r="F28" s="87">
        <f t="shared" si="2"/>
        <v>-145.06000000000006</v>
      </c>
      <c r="G28" s="26" t="s">
        <v>1</v>
      </c>
      <c r="H28" s="59">
        <f>'02'!B180</f>
        <v>647.43000000000006</v>
      </c>
      <c r="I28" s="59">
        <f>SUM('02'!D180:F180)</f>
        <v>447.43</v>
      </c>
      <c r="J28" s="87">
        <f t="shared" si="3"/>
        <v>54.94</v>
      </c>
      <c r="K28" s="26" t="s">
        <v>2</v>
      </c>
      <c r="L28" s="59">
        <f>'03'!B180</f>
        <v>200</v>
      </c>
      <c r="M28" s="59">
        <f>SUM('03'!D180:F180)</f>
        <v>140</v>
      </c>
      <c r="N28" s="87">
        <f t="shared" si="4"/>
        <v>114.94</v>
      </c>
      <c r="O28" s="26" t="s">
        <v>3</v>
      </c>
      <c r="P28" s="59">
        <f>'04'!B180</f>
        <v>280.10000000000002</v>
      </c>
      <c r="Q28" s="59">
        <f>SUM('04'!D180:F180)</f>
        <v>182.6</v>
      </c>
      <c r="R28" s="87">
        <f t="shared" si="5"/>
        <v>212.44000000000003</v>
      </c>
      <c r="S28" s="26" t="s">
        <v>99</v>
      </c>
      <c r="T28" s="59">
        <f>'05'!B180</f>
        <v>200</v>
      </c>
      <c r="U28" s="59">
        <f>SUM('05'!D180:F180)</f>
        <v>0</v>
      </c>
      <c r="V28" s="87">
        <f t="shared" si="6"/>
        <v>412.44000000000005</v>
      </c>
      <c r="W28" s="26" t="s">
        <v>95</v>
      </c>
      <c r="X28" s="59">
        <f>'06'!B180</f>
        <v>200</v>
      </c>
      <c r="Y28" s="59">
        <f>SUM('06'!D180:F180)</f>
        <v>318.27999999999997</v>
      </c>
      <c r="Z28" s="87">
        <f t="shared" si="7"/>
        <v>294.16000000000008</v>
      </c>
      <c r="AA28" s="26" t="s">
        <v>103</v>
      </c>
      <c r="AB28" s="59">
        <f>'07'!B180</f>
        <v>200</v>
      </c>
      <c r="AC28" s="59">
        <f>SUM('07'!D180:F180)</f>
        <v>9.5</v>
      </c>
      <c r="AD28" s="87">
        <f t="shared" si="8"/>
        <v>484.66000000000008</v>
      </c>
      <c r="AE28" s="26" t="s">
        <v>104</v>
      </c>
      <c r="AF28" s="59">
        <f>'08'!B180</f>
        <v>200</v>
      </c>
      <c r="AG28" s="59">
        <f>SUM('08'!D180:F180)</f>
        <v>304.88</v>
      </c>
      <c r="AH28" s="87">
        <f t="shared" si="9"/>
        <v>379.78000000000009</v>
      </c>
      <c r="AI28" s="26" t="s">
        <v>108</v>
      </c>
      <c r="AJ28" s="59">
        <f>'09'!B180</f>
        <v>200</v>
      </c>
      <c r="AK28" s="59">
        <f>SUM('09'!D180:F180)</f>
        <v>1038.21</v>
      </c>
      <c r="AL28" s="87">
        <f t="shared" si="10"/>
        <v>-458.42999999999995</v>
      </c>
      <c r="AM28" s="26" t="s">
        <v>109</v>
      </c>
      <c r="AN28" s="59">
        <f>'10'!B180</f>
        <v>240</v>
      </c>
      <c r="AO28" s="59">
        <f>SUM('10'!D180:F180)</f>
        <v>0</v>
      </c>
      <c r="AP28" s="87">
        <f t="shared" si="11"/>
        <v>-218.42999999999995</v>
      </c>
      <c r="AQ28" s="26" t="s">
        <v>114</v>
      </c>
      <c r="AR28" s="59">
        <f>'11'!B180</f>
        <v>200</v>
      </c>
      <c r="AS28" s="59">
        <f>SUM('11'!D180:F180)</f>
        <v>0</v>
      </c>
      <c r="AT28" s="87">
        <f t="shared" si="12"/>
        <v>-18.42999999999995</v>
      </c>
      <c r="AU28" s="26" t="s">
        <v>118</v>
      </c>
      <c r="AV28" s="59">
        <f>'12'!B180</f>
        <v>200</v>
      </c>
      <c r="AW28" s="59">
        <f>SUM('12'!D180:F180)</f>
        <v>0</v>
      </c>
      <c r="AX28" s="87">
        <f t="shared" si="13"/>
        <v>181.57000000000005</v>
      </c>
      <c r="AY28" s="40">
        <f t="shared" ref="AY28:AY45" si="18">E28+I28+M28+Q28+U28+Y28+AC28+AG28+AK28+AO28+AS28+AW28</f>
        <v>3498.32</v>
      </c>
      <c r="AZ28" s="41">
        <f t="shared" si="15"/>
        <v>8.8850645009884932E-2</v>
      </c>
      <c r="BA28" s="42">
        <f t="shared" si="17"/>
        <v>4</v>
      </c>
      <c r="BB28" s="42">
        <f t="shared" ca="1" si="16"/>
        <v>388.70222222222225</v>
      </c>
    </row>
    <row r="29" spans="1:55" ht="15.75">
      <c r="A29" s="44" t="s">
        <v>22</v>
      </c>
      <c r="B29" s="106">
        <v>216.28000000000003</v>
      </c>
      <c r="C29" s="27" t="s">
        <v>0</v>
      </c>
      <c r="D29" s="62">
        <f>'01'!B200</f>
        <v>50</v>
      </c>
      <c r="E29" s="63">
        <f>SUM('01'!D200:F200)</f>
        <v>218.53</v>
      </c>
      <c r="F29" s="88">
        <f t="shared" si="2"/>
        <v>47.750000000000028</v>
      </c>
      <c r="G29" s="27" t="s">
        <v>1</v>
      </c>
      <c r="H29" s="62">
        <f>'02'!B200</f>
        <v>50</v>
      </c>
      <c r="I29" s="63">
        <f>SUM('02'!D200:F200)</f>
        <v>58.319999999999993</v>
      </c>
      <c r="J29" s="88">
        <f t="shared" si="3"/>
        <v>39.430000000000035</v>
      </c>
      <c r="K29" s="27" t="s">
        <v>2</v>
      </c>
      <c r="L29" s="62">
        <f>'03'!B200</f>
        <v>50</v>
      </c>
      <c r="M29" s="63">
        <f>SUM('03'!D200:F200)</f>
        <v>144.17000000000002</v>
      </c>
      <c r="N29" s="88">
        <f t="shared" si="4"/>
        <v>-54.739999999999981</v>
      </c>
      <c r="O29" s="27" t="s">
        <v>3</v>
      </c>
      <c r="P29" s="62">
        <f>'04'!B200</f>
        <v>60</v>
      </c>
      <c r="Q29" s="63">
        <f>SUM('04'!D200:F200)</f>
        <v>86</v>
      </c>
      <c r="R29" s="88">
        <f t="shared" si="5"/>
        <v>-80.739999999999981</v>
      </c>
      <c r="S29" s="27" t="s">
        <v>99</v>
      </c>
      <c r="T29" s="62">
        <f>'05'!B200</f>
        <v>60</v>
      </c>
      <c r="U29" s="63">
        <f>SUM('05'!D200:F200)</f>
        <v>108.25</v>
      </c>
      <c r="V29" s="88">
        <f t="shared" si="6"/>
        <v>-128.98999999999998</v>
      </c>
      <c r="W29" s="27" t="s">
        <v>95</v>
      </c>
      <c r="X29" s="62">
        <f>'06'!B200</f>
        <v>60</v>
      </c>
      <c r="Y29" s="63">
        <f>SUM('06'!D200:F200)</f>
        <v>14.99</v>
      </c>
      <c r="Z29" s="88">
        <f t="shared" si="7"/>
        <v>-83.979999999999976</v>
      </c>
      <c r="AA29" s="27" t="s">
        <v>103</v>
      </c>
      <c r="AB29" s="62">
        <f>'07'!B200</f>
        <v>60</v>
      </c>
      <c r="AC29" s="63">
        <f>SUM('07'!D200:F200)</f>
        <v>120.06999999999998</v>
      </c>
      <c r="AD29" s="88">
        <f t="shared" si="8"/>
        <v>-144.04999999999995</v>
      </c>
      <c r="AE29" s="27" t="s">
        <v>104</v>
      </c>
      <c r="AF29" s="62">
        <f>'08'!B200</f>
        <v>214.05</v>
      </c>
      <c r="AG29" s="63">
        <f>SUM('08'!D200:F200)</f>
        <v>25</v>
      </c>
      <c r="AH29" s="88">
        <f t="shared" si="9"/>
        <v>45.000000000000057</v>
      </c>
      <c r="AI29" s="27" t="s">
        <v>108</v>
      </c>
      <c r="AJ29" s="62">
        <f>'09'!B200</f>
        <v>70</v>
      </c>
      <c r="AK29" s="63">
        <f>SUM('09'!D200:F200)</f>
        <v>33.799999999999997</v>
      </c>
      <c r="AL29" s="88">
        <f t="shared" si="10"/>
        <v>81.20000000000006</v>
      </c>
      <c r="AM29" s="27" t="s">
        <v>109</v>
      </c>
      <c r="AN29" s="62">
        <f>'10'!B200</f>
        <v>70</v>
      </c>
      <c r="AO29" s="63">
        <f>SUM('10'!D200:F200)</f>
        <v>0</v>
      </c>
      <c r="AP29" s="88">
        <f t="shared" si="11"/>
        <v>151.20000000000005</v>
      </c>
      <c r="AQ29" s="27" t="s">
        <v>114</v>
      </c>
      <c r="AR29" s="62">
        <f>'11'!B200</f>
        <v>70</v>
      </c>
      <c r="AS29" s="63">
        <f>SUM('11'!D200:F200)</f>
        <v>0</v>
      </c>
      <c r="AT29" s="88">
        <f t="shared" si="12"/>
        <v>221.20000000000005</v>
      </c>
      <c r="AU29" s="27" t="s">
        <v>118</v>
      </c>
      <c r="AV29" s="62">
        <f>'12'!B200</f>
        <v>60</v>
      </c>
      <c r="AW29" s="63">
        <f>SUM('12'!D200:F200)</f>
        <v>0</v>
      </c>
      <c r="AX29" s="88">
        <f t="shared" si="13"/>
        <v>281.20000000000005</v>
      </c>
      <c r="AY29" s="45">
        <f t="shared" si="18"/>
        <v>809.12999999999988</v>
      </c>
      <c r="AZ29" s="41">
        <f t="shared" si="15"/>
        <v>2.0550356284401709E-2</v>
      </c>
      <c r="BA29" s="42">
        <f t="shared" si="17"/>
        <v>11</v>
      </c>
      <c r="BB29" s="42">
        <f t="shared" ca="1" si="16"/>
        <v>89.903333333333322</v>
      </c>
    </row>
    <row r="30" spans="1:55" ht="15.75">
      <c r="A30" s="46" t="s">
        <v>23</v>
      </c>
      <c r="B30" s="107">
        <v>43.870000000000005</v>
      </c>
      <c r="C30" s="26" t="s">
        <v>0</v>
      </c>
      <c r="D30" s="59">
        <f>'01'!B220</f>
        <v>35</v>
      </c>
      <c r="E30" s="59">
        <f>SUM('01'!D220:F220)</f>
        <v>122.37</v>
      </c>
      <c r="F30" s="89">
        <f t="shared" si="2"/>
        <v>-43.5</v>
      </c>
      <c r="G30" s="26" t="s">
        <v>1</v>
      </c>
      <c r="H30" s="59">
        <f>'02'!B220</f>
        <v>35</v>
      </c>
      <c r="I30" s="59">
        <f>SUM('02'!D220:F220)</f>
        <v>0</v>
      </c>
      <c r="J30" s="89">
        <f t="shared" si="3"/>
        <v>-8.5</v>
      </c>
      <c r="K30" s="26" t="s">
        <v>2</v>
      </c>
      <c r="L30" s="59">
        <f>'03'!B220</f>
        <v>35</v>
      </c>
      <c r="M30" s="59">
        <f>SUM('03'!D220:F220)</f>
        <v>40</v>
      </c>
      <c r="N30" s="89">
        <f t="shared" si="4"/>
        <v>-13.5</v>
      </c>
      <c r="O30" s="26" t="s">
        <v>3</v>
      </c>
      <c r="P30" s="59">
        <f>'04'!B220</f>
        <v>35</v>
      </c>
      <c r="Q30" s="59">
        <f>SUM('04'!D220:F220)</f>
        <v>31.54</v>
      </c>
      <c r="R30" s="89">
        <f t="shared" si="5"/>
        <v>-10.039999999999999</v>
      </c>
      <c r="S30" s="26" t="s">
        <v>99</v>
      </c>
      <c r="T30" s="59">
        <f>'05'!B220</f>
        <v>35</v>
      </c>
      <c r="U30" s="59">
        <f>SUM('05'!D220:F220)</f>
        <v>0</v>
      </c>
      <c r="V30" s="89">
        <f t="shared" si="6"/>
        <v>24.96</v>
      </c>
      <c r="W30" s="26" t="s">
        <v>95</v>
      </c>
      <c r="X30" s="59">
        <f>'06'!B220</f>
        <v>35</v>
      </c>
      <c r="Y30" s="59">
        <f>SUM('06'!D220:F220)</f>
        <v>44.87</v>
      </c>
      <c r="Z30" s="89">
        <f t="shared" si="7"/>
        <v>15.090000000000003</v>
      </c>
      <c r="AA30" s="26" t="s">
        <v>103</v>
      </c>
      <c r="AB30" s="59">
        <f>'07'!B220</f>
        <v>35</v>
      </c>
      <c r="AC30" s="59">
        <f>SUM('07'!D220:F220)</f>
        <v>10.050000000000001</v>
      </c>
      <c r="AD30" s="89">
        <f t="shared" si="8"/>
        <v>40.040000000000006</v>
      </c>
      <c r="AE30" s="26" t="s">
        <v>104</v>
      </c>
      <c r="AF30" s="59">
        <f>'08'!B220</f>
        <v>35</v>
      </c>
      <c r="AG30" s="59">
        <f>SUM('08'!D220:F220)</f>
        <v>77.38</v>
      </c>
      <c r="AH30" s="89">
        <f t="shared" si="9"/>
        <v>-2.3399999999999892</v>
      </c>
      <c r="AI30" s="26" t="s">
        <v>108</v>
      </c>
      <c r="AJ30" s="59">
        <f>'09'!B220</f>
        <v>35</v>
      </c>
      <c r="AK30" s="59">
        <f>SUM('09'!D220:F220)</f>
        <v>0</v>
      </c>
      <c r="AL30" s="89">
        <f t="shared" si="10"/>
        <v>32.660000000000011</v>
      </c>
      <c r="AM30" s="26" t="s">
        <v>109</v>
      </c>
      <c r="AN30" s="59">
        <f>'10'!B220</f>
        <v>35</v>
      </c>
      <c r="AO30" s="59">
        <f>SUM('10'!D220:F220)</f>
        <v>0</v>
      </c>
      <c r="AP30" s="89">
        <f t="shared" si="11"/>
        <v>67.660000000000011</v>
      </c>
      <c r="AQ30" s="26" t="s">
        <v>114</v>
      </c>
      <c r="AR30" s="59">
        <f>'11'!B220</f>
        <v>35</v>
      </c>
      <c r="AS30" s="59">
        <f>SUM('11'!D220:F220)</f>
        <v>0</v>
      </c>
      <c r="AT30" s="89">
        <f t="shared" si="12"/>
        <v>102.66000000000001</v>
      </c>
      <c r="AU30" s="26" t="s">
        <v>118</v>
      </c>
      <c r="AV30" s="59">
        <f>'12'!B220</f>
        <v>35</v>
      </c>
      <c r="AW30" s="59">
        <f>SUM('12'!D220:F220)</f>
        <v>0</v>
      </c>
      <c r="AX30" s="89">
        <f t="shared" si="13"/>
        <v>137.66000000000003</v>
      </c>
      <c r="AY30" s="43">
        <f t="shared" si="18"/>
        <v>326.21000000000004</v>
      </c>
      <c r="AZ30" s="41">
        <f t="shared" si="15"/>
        <v>8.2851108271040294E-3</v>
      </c>
      <c r="BA30" s="42">
        <f t="shared" si="17"/>
        <v>18</v>
      </c>
      <c r="BB30" s="42">
        <f t="shared" ca="1" si="16"/>
        <v>36.245555555555562</v>
      </c>
    </row>
    <row r="31" spans="1:55" ht="15.75">
      <c r="A31" s="44" t="s">
        <v>24</v>
      </c>
      <c r="B31" s="106">
        <v>132</v>
      </c>
      <c r="C31" s="27" t="s">
        <v>0</v>
      </c>
      <c r="D31" s="62">
        <f>'01'!B240</f>
        <v>70</v>
      </c>
      <c r="E31" s="63">
        <f>SUM('01'!D240:F240)</f>
        <v>140</v>
      </c>
      <c r="F31" s="88">
        <f t="shared" si="2"/>
        <v>62</v>
      </c>
      <c r="G31" s="27" t="s">
        <v>1</v>
      </c>
      <c r="H31" s="62">
        <f>'02'!B240</f>
        <v>70</v>
      </c>
      <c r="I31" s="63">
        <f>SUM('02'!D240:F240)</f>
        <v>20</v>
      </c>
      <c r="J31" s="88">
        <f t="shared" si="3"/>
        <v>112</v>
      </c>
      <c r="K31" s="27" t="s">
        <v>2</v>
      </c>
      <c r="L31" s="62">
        <f>'03'!B240</f>
        <v>85</v>
      </c>
      <c r="M31" s="63">
        <f>SUM('03'!D240:F240)</f>
        <v>200</v>
      </c>
      <c r="N31" s="88">
        <f t="shared" si="4"/>
        <v>-3</v>
      </c>
      <c r="O31" s="27" t="s">
        <v>3</v>
      </c>
      <c r="P31" s="62">
        <f>'04'!B240</f>
        <v>85</v>
      </c>
      <c r="Q31" s="63">
        <f>SUM('04'!D240:F240)</f>
        <v>20</v>
      </c>
      <c r="R31" s="88">
        <f t="shared" si="5"/>
        <v>62</v>
      </c>
      <c r="S31" s="27" t="s">
        <v>99</v>
      </c>
      <c r="T31" s="62">
        <f>'05'!B240</f>
        <v>85</v>
      </c>
      <c r="U31" s="63">
        <f>SUM('05'!D240:F240)</f>
        <v>20</v>
      </c>
      <c r="V31" s="88">
        <f t="shared" si="6"/>
        <v>127</v>
      </c>
      <c r="W31" s="27" t="s">
        <v>95</v>
      </c>
      <c r="X31" s="62">
        <f>'06'!B240</f>
        <v>90</v>
      </c>
      <c r="Y31" s="63">
        <f>SUM('06'!D240:F240)</f>
        <v>215</v>
      </c>
      <c r="Z31" s="88">
        <f t="shared" si="7"/>
        <v>2</v>
      </c>
      <c r="AA31" s="27" t="s">
        <v>103</v>
      </c>
      <c r="AB31" s="62">
        <f>'07'!B240</f>
        <v>90</v>
      </c>
      <c r="AC31" s="63">
        <f>SUM('07'!D240:F240)</f>
        <v>20</v>
      </c>
      <c r="AD31" s="88">
        <f t="shared" si="8"/>
        <v>72</v>
      </c>
      <c r="AE31" s="27" t="s">
        <v>104</v>
      </c>
      <c r="AF31" s="62">
        <f>'08'!B240</f>
        <v>25</v>
      </c>
      <c r="AG31" s="63">
        <f>SUM('08'!D240:F240)</f>
        <v>0</v>
      </c>
      <c r="AH31" s="88">
        <f t="shared" si="9"/>
        <v>97</v>
      </c>
      <c r="AI31" s="27" t="s">
        <v>108</v>
      </c>
      <c r="AJ31" s="62">
        <f>'09'!B240</f>
        <v>20</v>
      </c>
      <c r="AK31" s="63">
        <f>SUM('09'!D240:F240)</f>
        <v>20</v>
      </c>
      <c r="AL31" s="88">
        <f t="shared" si="10"/>
        <v>97</v>
      </c>
      <c r="AM31" s="27" t="s">
        <v>109</v>
      </c>
      <c r="AN31" s="62">
        <f>'10'!B240</f>
        <v>20</v>
      </c>
      <c r="AO31" s="63">
        <f>SUM('10'!D240:F240)</f>
        <v>0</v>
      </c>
      <c r="AP31" s="88">
        <f t="shared" si="11"/>
        <v>117</v>
      </c>
      <c r="AQ31" s="27" t="s">
        <v>114</v>
      </c>
      <c r="AR31" s="62">
        <f>'11'!B240</f>
        <v>20</v>
      </c>
      <c r="AS31" s="63">
        <f>SUM('11'!D240:F240)</f>
        <v>0</v>
      </c>
      <c r="AT31" s="88">
        <f t="shared" si="12"/>
        <v>137</v>
      </c>
      <c r="AU31" s="27" t="s">
        <v>118</v>
      </c>
      <c r="AV31" s="62">
        <f>'12'!B240</f>
        <v>25</v>
      </c>
      <c r="AW31" s="63">
        <f>SUM('12'!D240:F240)</f>
        <v>0</v>
      </c>
      <c r="AX31" s="88">
        <f t="shared" si="13"/>
        <v>162</v>
      </c>
      <c r="AY31" s="45">
        <f t="shared" si="18"/>
        <v>655</v>
      </c>
      <c r="AZ31" s="41">
        <f t="shared" si="15"/>
        <v>1.6635748725523862E-2</v>
      </c>
      <c r="BA31" s="42">
        <f t="shared" si="17"/>
        <v>13</v>
      </c>
      <c r="BB31" s="42">
        <f t="shared" ca="1" si="16"/>
        <v>72.777777777777771</v>
      </c>
    </row>
    <row r="32" spans="1:55" ht="15.75">
      <c r="A32" s="46" t="s">
        <v>205</v>
      </c>
      <c r="B32" s="107">
        <v>0</v>
      </c>
      <c r="C32" s="26" t="s">
        <v>0</v>
      </c>
      <c r="D32" s="59">
        <f>'01'!B260</f>
        <v>50</v>
      </c>
      <c r="E32" s="59">
        <f>SUM('01'!D260:F260)</f>
        <v>167.38</v>
      </c>
      <c r="F32" s="89">
        <f t="shared" si="2"/>
        <v>-117.38</v>
      </c>
      <c r="G32" s="26" t="s">
        <v>1</v>
      </c>
      <c r="H32" s="59">
        <f>'02'!B260</f>
        <v>50</v>
      </c>
      <c r="I32" s="59">
        <f>SUM('02'!D260:F260)</f>
        <v>65.16</v>
      </c>
      <c r="J32" s="89">
        <f t="shared" si="3"/>
        <v>-132.54</v>
      </c>
      <c r="K32" s="26" t="s">
        <v>2</v>
      </c>
      <c r="L32" s="59">
        <f>'03'!B260</f>
        <v>70</v>
      </c>
      <c r="M32" s="59">
        <f>SUM('03'!D260:F260)</f>
        <v>26.520000000000003</v>
      </c>
      <c r="N32" s="89">
        <f t="shared" si="4"/>
        <v>-89.06</v>
      </c>
      <c r="O32" s="26" t="s">
        <v>3</v>
      </c>
      <c r="P32" s="59">
        <f>'04'!B260</f>
        <v>70</v>
      </c>
      <c r="Q32" s="59">
        <f>SUM('04'!D260:F260)</f>
        <v>195.24</v>
      </c>
      <c r="R32" s="89">
        <f t="shared" si="5"/>
        <v>-214.3</v>
      </c>
      <c r="S32" s="26" t="s">
        <v>99</v>
      </c>
      <c r="T32" s="59">
        <f>'05'!B260</f>
        <v>80</v>
      </c>
      <c r="U32" s="59">
        <f>SUM('05'!D260:F260)</f>
        <v>87.43</v>
      </c>
      <c r="V32" s="89">
        <f t="shared" si="6"/>
        <v>-221.73000000000002</v>
      </c>
      <c r="W32" s="26" t="s">
        <v>95</v>
      </c>
      <c r="X32" s="59">
        <f>'06'!B260</f>
        <v>80</v>
      </c>
      <c r="Y32" s="59">
        <f>SUM('06'!D260:F260)</f>
        <v>2.38</v>
      </c>
      <c r="Z32" s="89">
        <f t="shared" si="7"/>
        <v>-144.11000000000001</v>
      </c>
      <c r="AA32" s="26" t="s">
        <v>103</v>
      </c>
      <c r="AB32" s="59">
        <f>'07'!B260</f>
        <v>80</v>
      </c>
      <c r="AC32" s="59">
        <f>SUM('07'!D260:F260)</f>
        <v>502.48</v>
      </c>
      <c r="AD32" s="89">
        <f t="shared" si="8"/>
        <v>-566.59</v>
      </c>
      <c r="AE32" s="26" t="s">
        <v>104</v>
      </c>
      <c r="AF32" s="59">
        <f>'08'!B260</f>
        <v>616.59</v>
      </c>
      <c r="AG32" s="59">
        <f>SUM('08'!D260:F260)</f>
        <v>35.629999999999995</v>
      </c>
      <c r="AH32" s="89">
        <f t="shared" si="9"/>
        <v>14.370000000000005</v>
      </c>
      <c r="AI32" s="26" t="s">
        <v>108</v>
      </c>
      <c r="AJ32" s="59">
        <f>'09'!B260</f>
        <v>50</v>
      </c>
      <c r="AK32" s="59">
        <f>SUM('09'!D260:F260)</f>
        <v>10.4</v>
      </c>
      <c r="AL32" s="89">
        <f t="shared" si="10"/>
        <v>53.970000000000006</v>
      </c>
      <c r="AM32" s="26" t="s">
        <v>109</v>
      </c>
      <c r="AN32" s="59">
        <f>'10'!B260</f>
        <v>50</v>
      </c>
      <c r="AO32" s="59">
        <f>SUM('10'!D260:F260)</f>
        <v>0</v>
      </c>
      <c r="AP32" s="89">
        <f t="shared" si="11"/>
        <v>103.97</v>
      </c>
      <c r="AQ32" s="26" t="s">
        <v>114</v>
      </c>
      <c r="AR32" s="59">
        <f>'11'!B260</f>
        <v>50</v>
      </c>
      <c r="AS32" s="59">
        <f>SUM('11'!D260:F260)</f>
        <v>0</v>
      </c>
      <c r="AT32" s="89">
        <f t="shared" si="12"/>
        <v>153.97</v>
      </c>
      <c r="AU32" s="26" t="s">
        <v>118</v>
      </c>
      <c r="AV32" s="59">
        <f>'12'!B260</f>
        <v>80</v>
      </c>
      <c r="AW32" s="59">
        <f>SUM('12'!D260:F260)</f>
        <v>0</v>
      </c>
      <c r="AX32" s="89">
        <f t="shared" si="13"/>
        <v>233.97</v>
      </c>
      <c r="AY32" s="43">
        <f t="shared" si="18"/>
        <v>1092.6200000000003</v>
      </c>
      <c r="AZ32" s="41">
        <f t="shared" si="15"/>
        <v>2.775046072134639E-2</v>
      </c>
      <c r="BA32" s="42">
        <f t="shared" si="17"/>
        <v>10</v>
      </c>
      <c r="BB32" s="42">
        <f t="shared" ca="1" si="16"/>
        <v>121.40222222222226</v>
      </c>
    </row>
    <row r="33" spans="1:54" ht="15.75">
      <c r="A33" s="44" t="s">
        <v>122</v>
      </c>
      <c r="B33" s="106">
        <v>60</v>
      </c>
      <c r="C33" s="27" t="s">
        <v>0</v>
      </c>
      <c r="D33" s="62">
        <f>'01'!B280</f>
        <v>10</v>
      </c>
      <c r="E33" s="63">
        <f>SUM('01'!D280:F280)</f>
        <v>0</v>
      </c>
      <c r="F33" s="88">
        <f t="shared" si="2"/>
        <v>70</v>
      </c>
      <c r="G33" s="27" t="s">
        <v>1</v>
      </c>
      <c r="H33" s="62">
        <f>'02'!B280</f>
        <v>10</v>
      </c>
      <c r="I33" s="63">
        <f>SUM('02'!D280:F280)</f>
        <v>0</v>
      </c>
      <c r="J33" s="88">
        <f t="shared" si="3"/>
        <v>80</v>
      </c>
      <c r="K33" s="27" t="s">
        <v>2</v>
      </c>
      <c r="L33" s="62">
        <f>'03'!B280</f>
        <v>20</v>
      </c>
      <c r="M33" s="63">
        <f>SUM('03'!D280:F280)</f>
        <v>31.54</v>
      </c>
      <c r="N33" s="88">
        <f t="shared" si="4"/>
        <v>68.460000000000008</v>
      </c>
      <c r="O33" s="27" t="s">
        <v>3</v>
      </c>
      <c r="P33" s="62">
        <f>'04'!B280</f>
        <v>20</v>
      </c>
      <c r="Q33" s="63">
        <f>SUM('04'!D280:F280)</f>
        <v>0</v>
      </c>
      <c r="R33" s="88">
        <f t="shared" si="5"/>
        <v>88.460000000000008</v>
      </c>
      <c r="S33" s="27" t="s">
        <v>99</v>
      </c>
      <c r="T33" s="62">
        <f>'05'!B280</f>
        <v>11.54</v>
      </c>
      <c r="U33" s="63">
        <f>SUM('05'!D280:F280)</f>
        <v>0</v>
      </c>
      <c r="V33" s="88">
        <f t="shared" si="6"/>
        <v>100</v>
      </c>
      <c r="W33" s="27" t="s">
        <v>95</v>
      </c>
      <c r="X33" s="62">
        <f>'06'!B280</f>
        <v>10</v>
      </c>
      <c r="Y33" s="63">
        <f>SUM('06'!D280:F280)</f>
        <v>0</v>
      </c>
      <c r="Z33" s="88">
        <f t="shared" si="7"/>
        <v>110</v>
      </c>
      <c r="AA33" s="27" t="s">
        <v>103</v>
      </c>
      <c r="AB33" s="62">
        <f>'07'!B280</f>
        <v>10</v>
      </c>
      <c r="AC33" s="63">
        <f>SUM('07'!D280:F280)</f>
        <v>0</v>
      </c>
      <c r="AD33" s="88">
        <f t="shared" si="8"/>
        <v>120</v>
      </c>
      <c r="AE33" s="27" t="s">
        <v>104</v>
      </c>
      <c r="AF33" s="62">
        <f>'08'!B280</f>
        <v>50</v>
      </c>
      <c r="AG33" s="63">
        <f>SUM('08'!D280:F280)</f>
        <v>0</v>
      </c>
      <c r="AH33" s="88">
        <f t="shared" si="9"/>
        <v>170</v>
      </c>
      <c r="AI33" s="27" t="s">
        <v>108</v>
      </c>
      <c r="AJ33" s="62">
        <f>'09'!B280</f>
        <v>50</v>
      </c>
      <c r="AK33" s="63">
        <f>SUM('09'!D280:F280)</f>
        <v>0</v>
      </c>
      <c r="AL33" s="88">
        <f t="shared" si="10"/>
        <v>220</v>
      </c>
      <c r="AM33" s="27" t="s">
        <v>109</v>
      </c>
      <c r="AN33" s="62">
        <f>'10'!B280</f>
        <v>50</v>
      </c>
      <c r="AO33" s="63">
        <f>SUM('10'!D280:F280)</f>
        <v>0</v>
      </c>
      <c r="AP33" s="88">
        <f t="shared" si="11"/>
        <v>270</v>
      </c>
      <c r="AQ33" s="27" t="s">
        <v>114</v>
      </c>
      <c r="AR33" s="62">
        <f>'11'!B280</f>
        <v>50</v>
      </c>
      <c r="AS33" s="63">
        <f>SUM('11'!D280:F280)</f>
        <v>0</v>
      </c>
      <c r="AT33" s="88">
        <f t="shared" si="12"/>
        <v>320</v>
      </c>
      <c r="AU33" s="27" t="s">
        <v>118</v>
      </c>
      <c r="AV33" s="62">
        <f>'12'!B280</f>
        <v>60</v>
      </c>
      <c r="AW33" s="63">
        <f>SUM('12'!D280:F280)</f>
        <v>0</v>
      </c>
      <c r="AX33" s="88">
        <f t="shared" si="13"/>
        <v>380</v>
      </c>
      <c r="AY33" s="45">
        <f t="shared" si="18"/>
        <v>31.54</v>
      </c>
      <c r="AZ33" s="41">
        <f t="shared" si="15"/>
        <v>8.010557477908741E-4</v>
      </c>
      <c r="BA33" s="42">
        <f t="shared" si="17"/>
        <v>22</v>
      </c>
      <c r="BB33" s="42">
        <f t="shared" ca="1" si="16"/>
        <v>3.5044444444444443</v>
      </c>
    </row>
    <row r="34" spans="1:54" ht="15.75">
      <c r="A34" s="46" t="s">
        <v>25</v>
      </c>
      <c r="B34" s="107">
        <v>104.33000000000001</v>
      </c>
      <c r="C34" s="26" t="s">
        <v>0</v>
      </c>
      <c r="D34" s="59">
        <f>'01'!B300</f>
        <v>894</v>
      </c>
      <c r="E34" s="59">
        <f>SUM('01'!D300:F300)</f>
        <v>1063.25</v>
      </c>
      <c r="F34" s="89">
        <f t="shared" si="2"/>
        <v>-64.919999999999959</v>
      </c>
      <c r="G34" s="26" t="s">
        <v>1</v>
      </c>
      <c r="H34" s="59">
        <f>'02'!B300</f>
        <v>120</v>
      </c>
      <c r="I34" s="59">
        <f>SUM('02'!D300:F300)</f>
        <v>85</v>
      </c>
      <c r="J34" s="89">
        <f t="shared" si="3"/>
        <v>-29.919999999999959</v>
      </c>
      <c r="K34" s="26" t="s">
        <v>2</v>
      </c>
      <c r="L34" s="59">
        <f>'03'!B300</f>
        <v>120</v>
      </c>
      <c r="M34" s="59">
        <f>SUM('03'!D300:F300)</f>
        <v>75.09</v>
      </c>
      <c r="N34" s="89">
        <f t="shared" si="4"/>
        <v>14.990000000000038</v>
      </c>
      <c r="O34" s="26" t="s">
        <v>3</v>
      </c>
      <c r="P34" s="59">
        <f>'04'!B300</f>
        <v>374.6</v>
      </c>
      <c r="Q34" s="59">
        <f>SUM('04'!D300:F300)</f>
        <v>271.98</v>
      </c>
      <c r="R34" s="89">
        <f t="shared" si="5"/>
        <v>117.61000000000001</v>
      </c>
      <c r="S34" s="26" t="s">
        <v>99</v>
      </c>
      <c r="T34" s="59">
        <f>'05'!B300</f>
        <v>150</v>
      </c>
      <c r="U34" s="59">
        <f>SUM('05'!D300:F300)</f>
        <v>173.54000000000002</v>
      </c>
      <c r="V34" s="89">
        <f t="shared" si="6"/>
        <v>94.07</v>
      </c>
      <c r="W34" s="26" t="s">
        <v>95</v>
      </c>
      <c r="X34" s="59">
        <f>'06'!B300</f>
        <v>150</v>
      </c>
      <c r="Y34" s="59">
        <f>SUM('06'!D300:F300)</f>
        <v>155.10000000000002</v>
      </c>
      <c r="Z34" s="89">
        <f t="shared" si="7"/>
        <v>88.96999999999997</v>
      </c>
      <c r="AA34" s="26" t="s">
        <v>103</v>
      </c>
      <c r="AB34" s="59">
        <f>'07'!B300</f>
        <v>320</v>
      </c>
      <c r="AC34" s="59">
        <f>SUM('07'!D300:F300)</f>
        <v>75.539999999999992</v>
      </c>
      <c r="AD34" s="89">
        <f t="shared" si="8"/>
        <v>333.42999999999995</v>
      </c>
      <c r="AE34" s="26" t="s">
        <v>104</v>
      </c>
      <c r="AF34" s="59">
        <f>'08'!B300</f>
        <v>120</v>
      </c>
      <c r="AG34" s="59">
        <f>SUM('08'!D300:F300)</f>
        <v>4</v>
      </c>
      <c r="AH34" s="89">
        <f t="shared" si="9"/>
        <v>449.42999999999995</v>
      </c>
      <c r="AI34" s="26" t="s">
        <v>108</v>
      </c>
      <c r="AJ34" s="59">
        <f>'09'!B300</f>
        <v>100</v>
      </c>
      <c r="AK34" s="59">
        <f>SUM('09'!D300:F300)</f>
        <v>38.549999999999997</v>
      </c>
      <c r="AL34" s="89">
        <f t="shared" si="10"/>
        <v>510.87999999999994</v>
      </c>
      <c r="AM34" s="26" t="s">
        <v>109</v>
      </c>
      <c r="AN34" s="59">
        <f>'10'!B300</f>
        <v>60</v>
      </c>
      <c r="AO34" s="59">
        <f>SUM('10'!D300:F300)</f>
        <v>0</v>
      </c>
      <c r="AP34" s="89">
        <f t="shared" si="11"/>
        <v>570.87999999999988</v>
      </c>
      <c r="AQ34" s="26" t="s">
        <v>114</v>
      </c>
      <c r="AR34" s="59">
        <f>'11'!B300</f>
        <v>100</v>
      </c>
      <c r="AS34" s="59">
        <f>SUM('11'!D300:F300)</f>
        <v>0</v>
      </c>
      <c r="AT34" s="89">
        <f t="shared" si="12"/>
        <v>670.87999999999988</v>
      </c>
      <c r="AU34" s="26" t="s">
        <v>118</v>
      </c>
      <c r="AV34" s="59">
        <f>'12'!B300</f>
        <v>120</v>
      </c>
      <c r="AW34" s="59">
        <f>SUM('12'!D300:F300)</f>
        <v>0</v>
      </c>
      <c r="AX34" s="89">
        <f t="shared" si="13"/>
        <v>790.87999999999988</v>
      </c>
      <c r="AY34" s="43">
        <f>E34+I34+M34+Q34+U34+Y34+AC34+AG34+AK34+AO34+AS34+AW34+(E36+I36+M36)</f>
        <v>2630.3</v>
      </c>
      <c r="AZ34" s="41">
        <f t="shared" si="15"/>
        <v>6.6804595225565519E-2</v>
      </c>
      <c r="BA34" s="42">
        <f t="shared" si="17"/>
        <v>6</v>
      </c>
      <c r="BB34" s="42">
        <f t="shared" ca="1" si="16"/>
        <v>292.25555555555559</v>
      </c>
    </row>
    <row r="35" spans="1:54" ht="16.5" thickBot="1">
      <c r="A35" s="51" t="s">
        <v>123</v>
      </c>
      <c r="B35" s="108">
        <v>2079.1000000000004</v>
      </c>
      <c r="C35" s="27" t="s">
        <v>0</v>
      </c>
      <c r="D35" s="62">
        <f>'01'!B320</f>
        <v>100</v>
      </c>
      <c r="E35" s="62">
        <f>SUM('01'!D320:F320)</f>
        <v>257.46000000000004</v>
      </c>
      <c r="F35" s="86">
        <f t="shared" si="2"/>
        <v>1921.6400000000003</v>
      </c>
      <c r="G35" s="27" t="s">
        <v>1</v>
      </c>
      <c r="H35" s="62">
        <f>'02'!B320</f>
        <v>100</v>
      </c>
      <c r="I35" s="62">
        <f>SUM('02'!D320:F320)</f>
        <v>220.79000000000002</v>
      </c>
      <c r="J35" s="86">
        <f t="shared" si="3"/>
        <v>1800.8500000000004</v>
      </c>
      <c r="K35" s="27" t="s">
        <v>2</v>
      </c>
      <c r="L35" s="62">
        <f>'03'!B320</f>
        <v>100</v>
      </c>
      <c r="M35" s="62">
        <f>SUM('03'!D320:F320)</f>
        <v>243.64999999999998</v>
      </c>
      <c r="N35" s="86">
        <f t="shared" si="4"/>
        <v>1657.2000000000003</v>
      </c>
      <c r="O35" s="27" t="s">
        <v>3</v>
      </c>
      <c r="P35" s="62">
        <f>'04'!B320</f>
        <v>100</v>
      </c>
      <c r="Q35" s="62">
        <f>SUM('04'!D320:F320)</f>
        <v>197.51999999999998</v>
      </c>
      <c r="R35" s="86">
        <f t="shared" si="5"/>
        <v>1559.6800000000003</v>
      </c>
      <c r="S35" s="27" t="s">
        <v>99</v>
      </c>
      <c r="T35" s="62">
        <f>'05'!B320</f>
        <v>100</v>
      </c>
      <c r="U35" s="62">
        <f>SUM('05'!D320:F320)</f>
        <v>134.93</v>
      </c>
      <c r="V35" s="86">
        <f t="shared" si="6"/>
        <v>1524.7500000000002</v>
      </c>
      <c r="W35" s="27" t="s">
        <v>95</v>
      </c>
      <c r="X35" s="62">
        <f>'06'!B320</f>
        <v>100</v>
      </c>
      <c r="Y35" s="62">
        <f>SUM('06'!D320:F320)</f>
        <v>164.22</v>
      </c>
      <c r="Z35" s="86">
        <f t="shared" si="7"/>
        <v>1460.5300000000002</v>
      </c>
      <c r="AA35" s="27" t="s">
        <v>103</v>
      </c>
      <c r="AB35" s="62">
        <f>'07'!B320</f>
        <v>100</v>
      </c>
      <c r="AC35" s="62">
        <f>SUM('07'!D320:F320)</f>
        <v>169.52999999999997</v>
      </c>
      <c r="AD35" s="86">
        <f t="shared" si="8"/>
        <v>1391.0000000000002</v>
      </c>
      <c r="AE35" s="27" t="s">
        <v>104</v>
      </c>
      <c r="AF35" s="62">
        <f>'08'!B320</f>
        <v>100</v>
      </c>
      <c r="AG35" s="62">
        <f>SUM('08'!D320:F320)</f>
        <v>125</v>
      </c>
      <c r="AH35" s="86">
        <f t="shared" si="9"/>
        <v>1366.0000000000002</v>
      </c>
      <c r="AI35" s="27" t="s">
        <v>108</v>
      </c>
      <c r="AJ35" s="62">
        <f>'09'!B320</f>
        <v>110</v>
      </c>
      <c r="AK35" s="62">
        <f>SUM('09'!D320:F320)</f>
        <v>73.61</v>
      </c>
      <c r="AL35" s="86">
        <f t="shared" si="10"/>
        <v>1402.3900000000003</v>
      </c>
      <c r="AM35" s="27" t="s">
        <v>109</v>
      </c>
      <c r="AN35" s="62">
        <f>'10'!B320</f>
        <v>110</v>
      </c>
      <c r="AO35" s="62">
        <f>SUM('10'!D320:F320)</f>
        <v>0</v>
      </c>
      <c r="AP35" s="86">
        <f t="shared" si="11"/>
        <v>1512.3900000000003</v>
      </c>
      <c r="AQ35" s="27" t="s">
        <v>114</v>
      </c>
      <c r="AR35" s="62">
        <f>'11'!B320</f>
        <v>115</v>
      </c>
      <c r="AS35" s="62">
        <f>SUM('11'!D320:F320)</f>
        <v>0</v>
      </c>
      <c r="AT35" s="86">
        <f t="shared" si="12"/>
        <v>1627.3900000000003</v>
      </c>
      <c r="AU35" s="27" t="s">
        <v>118</v>
      </c>
      <c r="AV35" s="62">
        <f>'12'!B320</f>
        <v>100</v>
      </c>
      <c r="AW35" s="62">
        <f>SUM('12'!D320:F320)</f>
        <v>0</v>
      </c>
      <c r="AX35" s="86">
        <f t="shared" si="13"/>
        <v>1727.3900000000003</v>
      </c>
      <c r="AY35" s="45">
        <f t="shared" si="18"/>
        <v>1586.71</v>
      </c>
      <c r="AZ35" s="41">
        <f t="shared" si="15"/>
        <v>4.0299402840115975E-2</v>
      </c>
      <c r="BA35" s="42">
        <f t="shared" si="17"/>
        <v>8</v>
      </c>
      <c r="BB35" s="42">
        <f t="shared" ca="1" si="16"/>
        <v>176.30111111111111</v>
      </c>
    </row>
    <row r="36" spans="1:54" ht="15.75">
      <c r="A36" s="47" t="s">
        <v>388</v>
      </c>
      <c r="B36" s="105">
        <v>782.85</v>
      </c>
      <c r="C36" s="26" t="s">
        <v>0</v>
      </c>
      <c r="D36" s="64">
        <f>'01'!B340</f>
        <v>50</v>
      </c>
      <c r="E36" s="64">
        <f>SUM('01'!D340:F340)</f>
        <v>0</v>
      </c>
      <c r="F36" s="85">
        <f t="shared" si="2"/>
        <v>832.85</v>
      </c>
      <c r="G36" s="26" t="s">
        <v>1</v>
      </c>
      <c r="H36" s="64">
        <f>'02'!B340</f>
        <v>50</v>
      </c>
      <c r="I36" s="64">
        <f>SUM('02'!D340:F340)</f>
        <v>600</v>
      </c>
      <c r="J36" s="85">
        <f t="shared" si="3"/>
        <v>282.85000000000002</v>
      </c>
      <c r="K36" s="26" t="s">
        <v>2</v>
      </c>
      <c r="L36" s="64">
        <f>'03'!B340</f>
        <v>30</v>
      </c>
      <c r="M36" s="64">
        <f>SUM('03'!D340:F340)</f>
        <v>88.25</v>
      </c>
      <c r="N36" s="85">
        <f t="shared" si="4"/>
        <v>224.60000000000002</v>
      </c>
      <c r="O36" s="26" t="s">
        <v>3</v>
      </c>
      <c r="P36" s="64">
        <f>'04'!B340</f>
        <v>-224.6</v>
      </c>
      <c r="Q36" s="64">
        <f>SUM('04'!D340:F340)</f>
        <v>0</v>
      </c>
      <c r="R36" s="85">
        <f t="shared" si="5"/>
        <v>2.8421709430404007E-14</v>
      </c>
      <c r="S36" s="26" t="s">
        <v>99</v>
      </c>
      <c r="T36" s="64">
        <f>'05'!B340</f>
        <v>4</v>
      </c>
      <c r="U36" s="64">
        <f>SUM('05'!D340:F340)</f>
        <v>4</v>
      </c>
      <c r="V36" s="85">
        <f t="shared" si="6"/>
        <v>2.8421709430404007E-14</v>
      </c>
      <c r="W36" s="26" t="s">
        <v>95</v>
      </c>
      <c r="X36" s="64">
        <f>'06'!B340</f>
        <v>10</v>
      </c>
      <c r="Y36" s="64">
        <f>SUM('06'!D340:F340)</f>
        <v>89</v>
      </c>
      <c r="Z36" s="85">
        <f t="shared" si="7"/>
        <v>-78.999999999999972</v>
      </c>
      <c r="AA36" s="26" t="s">
        <v>103</v>
      </c>
      <c r="AB36" s="64">
        <f>'07'!B340</f>
        <v>10</v>
      </c>
      <c r="AC36" s="64">
        <f>SUM('07'!D340:F340)</f>
        <v>172.71</v>
      </c>
      <c r="AD36" s="85">
        <f t="shared" si="8"/>
        <v>-241.70999999999998</v>
      </c>
      <c r="AE36" s="26" t="s">
        <v>104</v>
      </c>
      <c r="AF36" s="64">
        <f>'08'!B340</f>
        <v>331.73</v>
      </c>
      <c r="AG36" s="64">
        <f>SUM('08'!D340:F340)</f>
        <v>4.3499999999999996</v>
      </c>
      <c r="AH36" s="85">
        <f t="shared" si="9"/>
        <v>85.670000000000044</v>
      </c>
      <c r="AI36" s="26" t="s">
        <v>108</v>
      </c>
      <c r="AJ36" s="64">
        <f>'09'!B340</f>
        <v>90</v>
      </c>
      <c r="AK36" s="64">
        <f>SUM('09'!D340:F340)</f>
        <v>348</v>
      </c>
      <c r="AL36" s="85">
        <f t="shared" si="10"/>
        <v>-172.32999999999996</v>
      </c>
      <c r="AM36" s="26" t="s">
        <v>109</v>
      </c>
      <c r="AN36" s="64">
        <f>'10'!B340</f>
        <v>90</v>
      </c>
      <c r="AO36" s="64">
        <f>SUM('10'!D340:F340)</f>
        <v>0</v>
      </c>
      <c r="AP36" s="85">
        <f t="shared" si="11"/>
        <v>-82.329999999999956</v>
      </c>
      <c r="AQ36" s="26" t="s">
        <v>114</v>
      </c>
      <c r="AR36" s="64">
        <f>'11'!B340</f>
        <v>90</v>
      </c>
      <c r="AS36" s="64">
        <f>SUM('11'!D340:F340)</f>
        <v>0</v>
      </c>
      <c r="AT36" s="85">
        <f t="shared" si="12"/>
        <v>7.6700000000000443</v>
      </c>
      <c r="AU36" s="26" t="s">
        <v>118</v>
      </c>
      <c r="AV36" s="64">
        <f>'12'!B340</f>
        <v>70.02</v>
      </c>
      <c r="AW36" s="64">
        <f>SUM('12'!D340:F340)</f>
        <v>0</v>
      </c>
      <c r="AX36" s="85">
        <f t="shared" si="13"/>
        <v>77.69000000000004</v>
      </c>
      <c r="AY36" s="40">
        <f>Q36+U36+Y36+AC36+AG36+AK36+AO36+AS36+AW36</f>
        <v>618.06000000000006</v>
      </c>
      <c r="AZ36" s="41">
        <f t="shared" si="15"/>
        <v>1.5697543293583631E-2</v>
      </c>
      <c r="BA36" s="42">
        <f t="shared" si="17"/>
        <v>14</v>
      </c>
      <c r="BB36" s="42">
        <f t="shared" ca="1" si="16"/>
        <v>68.673333333333346</v>
      </c>
    </row>
    <row r="37" spans="1:54" ht="15.75">
      <c r="A37" s="44" t="s">
        <v>26</v>
      </c>
      <c r="B37" s="106">
        <v>458.51</v>
      </c>
      <c r="C37" s="27" t="s">
        <v>0</v>
      </c>
      <c r="D37" s="60">
        <f>'01'!B360</f>
        <v>30</v>
      </c>
      <c r="E37" s="60">
        <f>SUM('01'!D360:F360)</f>
        <v>416.13</v>
      </c>
      <c r="F37" s="84">
        <f t="shared" si="2"/>
        <v>72.38</v>
      </c>
      <c r="G37" s="27" t="s">
        <v>1</v>
      </c>
      <c r="H37" s="60">
        <f>'02'!B360</f>
        <v>30</v>
      </c>
      <c r="I37" s="60">
        <f>SUM('02'!D360:F360)</f>
        <v>0</v>
      </c>
      <c r="J37" s="84">
        <f t="shared" si="3"/>
        <v>102.38</v>
      </c>
      <c r="K37" s="27" t="s">
        <v>2</v>
      </c>
      <c r="L37" s="60">
        <f>'03'!B360</f>
        <v>30</v>
      </c>
      <c r="M37" s="60">
        <f>SUM('03'!D360:F360)</f>
        <v>0</v>
      </c>
      <c r="N37" s="84">
        <f t="shared" si="4"/>
        <v>132.38</v>
      </c>
      <c r="O37" s="27" t="s">
        <v>3</v>
      </c>
      <c r="P37" s="60">
        <f>'04'!B360</f>
        <v>30</v>
      </c>
      <c r="Q37" s="60">
        <f>SUM('04'!D360:F360)</f>
        <v>0</v>
      </c>
      <c r="R37" s="84">
        <f t="shared" si="5"/>
        <v>162.38</v>
      </c>
      <c r="S37" s="27" t="s">
        <v>99</v>
      </c>
      <c r="T37" s="60">
        <f>'05'!B360</f>
        <v>30</v>
      </c>
      <c r="U37" s="60">
        <f>SUM('05'!D360:F360)</f>
        <v>0</v>
      </c>
      <c r="V37" s="84">
        <f t="shared" si="6"/>
        <v>192.38</v>
      </c>
      <c r="W37" s="27" t="s">
        <v>95</v>
      </c>
      <c r="X37" s="60">
        <f>'06'!B360</f>
        <v>30</v>
      </c>
      <c r="Y37" s="60">
        <f>SUM('06'!D360:F360)</f>
        <v>0</v>
      </c>
      <c r="Z37" s="84">
        <f t="shared" si="7"/>
        <v>222.38</v>
      </c>
      <c r="AA37" s="27" t="s">
        <v>103</v>
      </c>
      <c r="AB37" s="60">
        <f>'07'!B360</f>
        <v>30</v>
      </c>
      <c r="AC37" s="60">
        <f>SUM('07'!D360:F360)</f>
        <v>86</v>
      </c>
      <c r="AD37" s="84">
        <f t="shared" si="8"/>
        <v>166.38</v>
      </c>
      <c r="AE37" s="27" t="s">
        <v>104</v>
      </c>
      <c r="AF37" s="60">
        <f>'08'!B360</f>
        <v>50</v>
      </c>
      <c r="AG37" s="60">
        <f>SUM('08'!D360:F360)</f>
        <v>0</v>
      </c>
      <c r="AH37" s="84">
        <f t="shared" si="9"/>
        <v>216.38</v>
      </c>
      <c r="AI37" s="27" t="s">
        <v>108</v>
      </c>
      <c r="AJ37" s="60">
        <f>'09'!B360</f>
        <v>60</v>
      </c>
      <c r="AK37" s="60">
        <f>SUM('09'!D360:F360)</f>
        <v>65</v>
      </c>
      <c r="AL37" s="84">
        <f t="shared" si="10"/>
        <v>211.38</v>
      </c>
      <c r="AM37" s="27" t="s">
        <v>109</v>
      </c>
      <c r="AN37" s="60">
        <f>'10'!B360</f>
        <v>60</v>
      </c>
      <c r="AO37" s="60">
        <f>SUM('10'!D360:F360)</f>
        <v>0</v>
      </c>
      <c r="AP37" s="84">
        <f t="shared" si="11"/>
        <v>271.38</v>
      </c>
      <c r="AQ37" s="27" t="s">
        <v>114</v>
      </c>
      <c r="AR37" s="60">
        <f>'11'!B360</f>
        <v>40</v>
      </c>
      <c r="AS37" s="60">
        <f>SUM('11'!D360:F360)</f>
        <v>0</v>
      </c>
      <c r="AT37" s="84">
        <f t="shared" si="12"/>
        <v>311.38</v>
      </c>
      <c r="AU37" s="27" t="s">
        <v>118</v>
      </c>
      <c r="AV37" s="60">
        <f>'12'!B360</f>
        <v>50</v>
      </c>
      <c r="AW37" s="60">
        <f>SUM('12'!D360:F360)</f>
        <v>0</v>
      </c>
      <c r="AX37" s="84">
        <f t="shared" si="13"/>
        <v>361.38</v>
      </c>
      <c r="AY37" s="45">
        <f t="shared" si="18"/>
        <v>567.13</v>
      </c>
      <c r="AZ37" s="41">
        <f t="shared" si="15"/>
        <v>1.4404018587337935E-2</v>
      </c>
      <c r="BA37" s="42">
        <f t="shared" si="17"/>
        <v>15</v>
      </c>
      <c r="BB37" s="42">
        <f t="shared" ca="1" si="16"/>
        <v>63.014444444444443</v>
      </c>
    </row>
    <row r="38" spans="1:54" ht="15.75">
      <c r="A38" s="46" t="s">
        <v>27</v>
      </c>
      <c r="B38" s="107">
        <v>71.02000000000001</v>
      </c>
      <c r="C38" s="26" t="s">
        <v>0</v>
      </c>
      <c r="D38" s="61">
        <f>'01'!B380</f>
        <v>30</v>
      </c>
      <c r="E38" s="61">
        <f>SUM('01'!D380:F380)</f>
        <v>34.99</v>
      </c>
      <c r="F38" s="85">
        <f t="shared" si="2"/>
        <v>66.03</v>
      </c>
      <c r="G38" s="26" t="s">
        <v>1</v>
      </c>
      <c r="H38" s="61">
        <f>'02'!B380</f>
        <v>50</v>
      </c>
      <c r="I38" s="61">
        <f>SUM('02'!D380:F380)</f>
        <v>123.72</v>
      </c>
      <c r="J38" s="85">
        <f t="shared" si="3"/>
        <v>-7.6899999999999977</v>
      </c>
      <c r="K38" s="26" t="s">
        <v>2</v>
      </c>
      <c r="L38" s="61">
        <f>'03'!B380</f>
        <v>40</v>
      </c>
      <c r="M38" s="61">
        <f>SUM('03'!D380:F380)</f>
        <v>28.3</v>
      </c>
      <c r="N38" s="85">
        <f t="shared" si="4"/>
        <v>4.0100000000000016</v>
      </c>
      <c r="O38" s="26" t="s">
        <v>3</v>
      </c>
      <c r="P38" s="61">
        <f>'04'!B380</f>
        <v>40</v>
      </c>
      <c r="Q38" s="61">
        <f>SUM('04'!D380:F380)</f>
        <v>69.490000000000009</v>
      </c>
      <c r="R38" s="85">
        <f t="shared" si="5"/>
        <v>-25.480000000000004</v>
      </c>
      <c r="S38" s="26" t="s">
        <v>99</v>
      </c>
      <c r="T38" s="61">
        <f>'05'!B380</f>
        <v>50</v>
      </c>
      <c r="U38" s="61">
        <f>SUM('05'!D380:F380)</f>
        <v>76.52</v>
      </c>
      <c r="V38" s="85">
        <f t="shared" si="6"/>
        <v>-52</v>
      </c>
      <c r="W38" s="26" t="s">
        <v>95</v>
      </c>
      <c r="X38" s="61">
        <f>'06'!B380</f>
        <v>100</v>
      </c>
      <c r="Y38" s="61">
        <f>SUM('06'!D380:F380)</f>
        <v>87.449999999999989</v>
      </c>
      <c r="Z38" s="85">
        <f t="shared" si="7"/>
        <v>-39.449999999999989</v>
      </c>
      <c r="AA38" s="26" t="s">
        <v>103</v>
      </c>
      <c r="AB38" s="61">
        <f>'07'!B380</f>
        <v>103</v>
      </c>
      <c r="AC38" s="61">
        <f>SUM('07'!D380:F380)</f>
        <v>90.669999999999987</v>
      </c>
      <c r="AD38" s="85">
        <f t="shared" si="8"/>
        <v>-27.119999999999976</v>
      </c>
      <c r="AE38" s="26" t="s">
        <v>104</v>
      </c>
      <c r="AF38" s="61">
        <f>'08'!B380</f>
        <v>96.77</v>
      </c>
      <c r="AG38" s="61">
        <f>SUM('08'!D380:F380)</f>
        <v>139.63999999999999</v>
      </c>
      <c r="AH38" s="85">
        <f t="shared" si="9"/>
        <v>-69.989999999999966</v>
      </c>
      <c r="AI38" s="26" t="s">
        <v>108</v>
      </c>
      <c r="AJ38" s="61">
        <f>'09'!B380</f>
        <v>70</v>
      </c>
      <c r="AK38" s="61">
        <f>SUM('09'!D380:F380)</f>
        <v>45.64</v>
      </c>
      <c r="AL38" s="85">
        <f t="shared" si="10"/>
        <v>-45.629999999999967</v>
      </c>
      <c r="AM38" s="26" t="s">
        <v>109</v>
      </c>
      <c r="AN38" s="61">
        <f>'10'!B380</f>
        <v>70</v>
      </c>
      <c r="AO38" s="61">
        <f>SUM('10'!D380:F380)</f>
        <v>0</v>
      </c>
      <c r="AP38" s="85">
        <f t="shared" si="11"/>
        <v>24.370000000000033</v>
      </c>
      <c r="AQ38" s="26" t="s">
        <v>114</v>
      </c>
      <c r="AR38" s="61">
        <f>'11'!B380</f>
        <v>70</v>
      </c>
      <c r="AS38" s="61">
        <f>SUM('11'!D380:F380)</f>
        <v>0</v>
      </c>
      <c r="AT38" s="85">
        <f t="shared" si="12"/>
        <v>94.370000000000033</v>
      </c>
      <c r="AU38" s="26" t="s">
        <v>118</v>
      </c>
      <c r="AV38" s="61">
        <f>'12'!B380</f>
        <v>60</v>
      </c>
      <c r="AW38" s="61">
        <f>SUM('12'!D380:F380)</f>
        <v>0</v>
      </c>
      <c r="AX38" s="85">
        <f t="shared" si="13"/>
        <v>154.37000000000003</v>
      </c>
      <c r="AY38" s="43">
        <f t="shared" si="18"/>
        <v>696.42</v>
      </c>
      <c r="AZ38" s="41">
        <f t="shared" si="15"/>
        <v>1.7687737599128742E-2</v>
      </c>
      <c r="BA38" s="42">
        <f t="shared" si="17"/>
        <v>12</v>
      </c>
      <c r="BB38" s="42">
        <f t="shared" ca="1" si="16"/>
        <v>77.38</v>
      </c>
    </row>
    <row r="39" spans="1:54" ht="15.75">
      <c r="A39" s="44" t="s">
        <v>28</v>
      </c>
      <c r="B39" s="106">
        <v>1000</v>
      </c>
      <c r="C39" s="27" t="s">
        <v>0</v>
      </c>
      <c r="D39" s="60">
        <f>'01'!B400</f>
        <v>10</v>
      </c>
      <c r="E39" s="60">
        <f>SUM('01'!D400:F400)</f>
        <v>0</v>
      </c>
      <c r="F39" s="84">
        <f t="shared" si="2"/>
        <v>1010</v>
      </c>
      <c r="G39" s="27" t="s">
        <v>1</v>
      </c>
      <c r="H39" s="60">
        <f>'02'!B400</f>
        <v>10</v>
      </c>
      <c r="I39" s="60">
        <f>SUM('02'!D400:F400)</f>
        <v>0</v>
      </c>
      <c r="J39" s="84">
        <f t="shared" si="3"/>
        <v>1020</v>
      </c>
      <c r="K39" s="27" t="s">
        <v>2</v>
      </c>
      <c r="L39" s="60">
        <f>'03'!B400</f>
        <v>10</v>
      </c>
      <c r="M39" s="60">
        <f>SUM('03'!D400:F400)</f>
        <v>0</v>
      </c>
      <c r="N39" s="84">
        <f t="shared" si="4"/>
        <v>1030</v>
      </c>
      <c r="O39" s="27" t="s">
        <v>3</v>
      </c>
      <c r="P39" s="60">
        <f>'04'!B400</f>
        <v>10</v>
      </c>
      <c r="Q39" s="60">
        <f>SUM('04'!D400:F400)</f>
        <v>0</v>
      </c>
      <c r="R39" s="84">
        <f t="shared" si="5"/>
        <v>1040</v>
      </c>
      <c r="S39" s="27" t="s">
        <v>99</v>
      </c>
      <c r="T39" s="60">
        <f>'05'!B400</f>
        <v>10</v>
      </c>
      <c r="U39" s="60">
        <f>SUM('05'!D400:F400)</f>
        <v>0</v>
      </c>
      <c r="V39" s="84">
        <f t="shared" si="6"/>
        <v>1050</v>
      </c>
      <c r="W39" s="27" t="s">
        <v>95</v>
      </c>
      <c r="X39" s="60">
        <f>'06'!B400</f>
        <v>10</v>
      </c>
      <c r="Y39" s="60">
        <f>SUM('06'!D400:F400)</f>
        <v>0</v>
      </c>
      <c r="Z39" s="84">
        <f t="shared" si="7"/>
        <v>1060</v>
      </c>
      <c r="AA39" s="27" t="s">
        <v>103</v>
      </c>
      <c r="AB39" s="60">
        <f>'07'!B400</f>
        <v>10</v>
      </c>
      <c r="AC39" s="60">
        <f>SUM('07'!D400:F400)</f>
        <v>0</v>
      </c>
      <c r="AD39" s="84">
        <f t="shared" si="8"/>
        <v>1070</v>
      </c>
      <c r="AE39" s="27" t="s">
        <v>104</v>
      </c>
      <c r="AF39" s="60">
        <f>'08'!B400</f>
        <v>10</v>
      </c>
      <c r="AG39" s="60">
        <f>SUM('08'!D400:F400)</f>
        <v>0</v>
      </c>
      <c r="AH39" s="84">
        <f t="shared" si="9"/>
        <v>1080</v>
      </c>
      <c r="AI39" s="27" t="s">
        <v>108</v>
      </c>
      <c r="AJ39" s="60">
        <f>'09'!B400</f>
        <v>20</v>
      </c>
      <c r="AK39" s="60">
        <f>SUM('09'!D400:F400)</f>
        <v>0</v>
      </c>
      <c r="AL39" s="84">
        <f t="shared" si="10"/>
        <v>1100</v>
      </c>
      <c r="AM39" s="27" t="s">
        <v>109</v>
      </c>
      <c r="AN39" s="60">
        <f>'10'!B400</f>
        <v>20</v>
      </c>
      <c r="AO39" s="60">
        <f>SUM('10'!D400:F400)</f>
        <v>0</v>
      </c>
      <c r="AP39" s="84">
        <f t="shared" si="11"/>
        <v>1120</v>
      </c>
      <c r="AQ39" s="27" t="s">
        <v>114</v>
      </c>
      <c r="AR39" s="60">
        <f>'11'!B400</f>
        <v>20</v>
      </c>
      <c r="AS39" s="60">
        <f>SUM('11'!D400:F400)</f>
        <v>0</v>
      </c>
      <c r="AT39" s="84">
        <f t="shared" si="12"/>
        <v>1140</v>
      </c>
      <c r="AU39" s="27" t="s">
        <v>118</v>
      </c>
      <c r="AV39" s="60">
        <f>'12'!B400</f>
        <v>20</v>
      </c>
      <c r="AW39" s="60">
        <f>SUM('12'!D400:F400)</f>
        <v>0</v>
      </c>
      <c r="AX39" s="84">
        <f t="shared" si="13"/>
        <v>1160</v>
      </c>
      <c r="AY39" s="45">
        <f t="shared" si="18"/>
        <v>0</v>
      </c>
      <c r="AZ39" s="41">
        <f t="shared" si="15"/>
        <v>0</v>
      </c>
      <c r="BA39" s="42">
        <f t="shared" si="17"/>
        <v>23</v>
      </c>
      <c r="BB39" s="42">
        <f t="shared" ca="1" si="16"/>
        <v>0</v>
      </c>
    </row>
    <row r="40" spans="1:54" ht="15.75">
      <c r="A40" s="46" t="s">
        <v>65</v>
      </c>
      <c r="B40" s="107">
        <v>3403.7200000000003</v>
      </c>
      <c r="C40" s="26" t="s">
        <v>0</v>
      </c>
      <c r="D40" s="61">
        <f>'01'!B420</f>
        <v>2487.4700000000003</v>
      </c>
      <c r="E40" s="61">
        <f>SUM('01'!D420:F420)</f>
        <v>42.88</v>
      </c>
      <c r="F40" s="85">
        <f t="shared" si="2"/>
        <v>5848.31</v>
      </c>
      <c r="G40" s="26" t="s">
        <v>1</v>
      </c>
      <c r="H40" s="61">
        <f>'02'!B420</f>
        <v>-5092.08</v>
      </c>
      <c r="I40" s="61">
        <f>SUM('02'!D420:F420)</f>
        <v>56.01</v>
      </c>
      <c r="J40" s="85">
        <f t="shared" si="3"/>
        <v>700.22000000000048</v>
      </c>
      <c r="K40" s="26" t="s">
        <v>2</v>
      </c>
      <c r="L40" s="61">
        <f>'03'!B420</f>
        <v>0</v>
      </c>
      <c r="M40" s="61">
        <f>SUM('03'!D420:F420)</f>
        <v>0</v>
      </c>
      <c r="N40" s="85">
        <f>J40+L40-M40</f>
        <v>700.22000000000048</v>
      </c>
      <c r="O40" s="26" t="s">
        <v>3</v>
      </c>
      <c r="P40" s="61">
        <f>'04'!B420</f>
        <v>0.03</v>
      </c>
      <c r="Q40" s="61">
        <f>SUM('04'!D420:F420)</f>
        <v>20</v>
      </c>
      <c r="R40" s="85">
        <f t="shared" si="5"/>
        <v>680.25000000000045</v>
      </c>
      <c r="S40" s="26" t="s">
        <v>99</v>
      </c>
      <c r="T40" s="61">
        <f>'05'!B420</f>
        <v>38.64</v>
      </c>
      <c r="U40" s="61">
        <f>SUM('05'!D420:F420)</f>
        <v>0</v>
      </c>
      <c r="V40" s="85">
        <f t="shared" si="6"/>
        <v>718.89000000000044</v>
      </c>
      <c r="W40" s="26" t="s">
        <v>95</v>
      </c>
      <c r="X40" s="61">
        <f>'06'!B420</f>
        <v>0</v>
      </c>
      <c r="Y40" s="61">
        <f>SUM('06'!D420:F420)</f>
        <v>0</v>
      </c>
      <c r="Z40" s="85">
        <f t="shared" si="7"/>
        <v>718.89000000000044</v>
      </c>
      <c r="AA40" s="26" t="s">
        <v>103</v>
      </c>
      <c r="AB40" s="61">
        <f>'07'!B420</f>
        <v>0</v>
      </c>
      <c r="AC40" s="61">
        <f>SUM('07'!D420:F420)</f>
        <v>0</v>
      </c>
      <c r="AD40" s="85">
        <f t="shared" si="8"/>
        <v>718.89000000000044</v>
      </c>
      <c r="AE40" s="26" t="s">
        <v>104</v>
      </c>
      <c r="AF40" s="61">
        <f>'08'!B420</f>
        <v>0</v>
      </c>
      <c r="AG40" s="61">
        <f>SUM('08'!D420:F420)</f>
        <v>0</v>
      </c>
      <c r="AH40" s="85">
        <f t="shared" si="9"/>
        <v>718.89000000000044</v>
      </c>
      <c r="AI40" s="26" t="s">
        <v>108</v>
      </c>
      <c r="AJ40" s="61">
        <f>'09'!B420</f>
        <v>0</v>
      </c>
      <c r="AK40" s="61">
        <f>SUM('09'!D420:F420)</f>
        <v>0</v>
      </c>
      <c r="AL40" s="85">
        <f t="shared" si="10"/>
        <v>718.89000000000044</v>
      </c>
      <c r="AM40" s="26" t="s">
        <v>109</v>
      </c>
      <c r="AN40" s="61">
        <f>'10'!B420</f>
        <v>10</v>
      </c>
      <c r="AO40" s="61">
        <f>SUM('10'!D420:F420)</f>
        <v>0</v>
      </c>
      <c r="AP40" s="85">
        <f t="shared" si="11"/>
        <v>728.89000000000044</v>
      </c>
      <c r="AQ40" s="26" t="s">
        <v>114</v>
      </c>
      <c r="AR40" s="61">
        <f>'11'!B420</f>
        <v>30</v>
      </c>
      <c r="AS40" s="61">
        <f>SUM('11'!D420:F420)</f>
        <v>0</v>
      </c>
      <c r="AT40" s="85">
        <f t="shared" si="12"/>
        <v>758.89000000000044</v>
      </c>
      <c r="AU40" s="26" t="s">
        <v>118</v>
      </c>
      <c r="AV40" s="61">
        <f>'12'!B420</f>
        <v>0</v>
      </c>
      <c r="AW40" s="61">
        <f>SUM('12'!D420:F420)</f>
        <v>0</v>
      </c>
      <c r="AX40" s="85">
        <f t="shared" si="13"/>
        <v>758.89000000000044</v>
      </c>
      <c r="AY40" s="43">
        <f t="shared" si="18"/>
        <v>118.89</v>
      </c>
      <c r="AZ40" s="41">
        <f t="shared" si="15"/>
        <v>3.0195788793550104E-3</v>
      </c>
      <c r="BA40" s="42">
        <f t="shared" si="17"/>
        <v>19</v>
      </c>
      <c r="BB40" s="42">
        <f t="shared" ca="1" si="16"/>
        <v>13.21</v>
      </c>
    </row>
    <row r="41" spans="1:54" ht="15.75">
      <c r="A41" s="44" t="s">
        <v>29</v>
      </c>
      <c r="B41" s="106">
        <v>5305.51</v>
      </c>
      <c r="C41" s="27" t="s">
        <v>0</v>
      </c>
      <c r="D41" s="60">
        <f>'01'!B440</f>
        <v>-636.14</v>
      </c>
      <c r="E41" s="60">
        <f>SUM('01'!D440:F440)</f>
        <v>0</v>
      </c>
      <c r="F41" s="84">
        <f t="shared" si="2"/>
        <v>4669.37</v>
      </c>
      <c r="G41" s="27" t="s">
        <v>1</v>
      </c>
      <c r="H41" s="60">
        <f>'02'!B440</f>
        <v>1117.3900000000001</v>
      </c>
      <c r="I41" s="60">
        <f>SUM('02'!D440:F440)</f>
        <v>0</v>
      </c>
      <c r="J41" s="84">
        <f t="shared" si="3"/>
        <v>5786.76</v>
      </c>
      <c r="K41" s="27" t="s">
        <v>2</v>
      </c>
      <c r="L41" s="60">
        <f>'03'!B440</f>
        <v>-59.16</v>
      </c>
      <c r="M41" s="60">
        <f>SUM('03'!D440:F440)</f>
        <v>0</v>
      </c>
      <c r="N41" s="84">
        <f t="shared" si="4"/>
        <v>5727.6</v>
      </c>
      <c r="O41" s="27" t="s">
        <v>3</v>
      </c>
      <c r="P41" s="60">
        <f>'04'!B440</f>
        <v>2565.52</v>
      </c>
      <c r="Q41" s="60">
        <f>SUM('04'!D440:F440)</f>
        <v>0</v>
      </c>
      <c r="R41" s="84">
        <f t="shared" si="5"/>
        <v>8293.1200000000008</v>
      </c>
      <c r="S41" s="27" t="s">
        <v>99</v>
      </c>
      <c r="T41" s="60">
        <f>'05'!B440</f>
        <v>-250.52</v>
      </c>
      <c r="U41" s="60">
        <f>SUM('05'!D440:F440)</f>
        <v>0</v>
      </c>
      <c r="V41" s="84">
        <f t="shared" si="6"/>
        <v>8042.6</v>
      </c>
      <c r="W41" s="27" t="s">
        <v>95</v>
      </c>
      <c r="X41" s="60">
        <f>'06'!B440</f>
        <v>1436.9700000000003</v>
      </c>
      <c r="Y41" s="60">
        <f>SUM('06'!D440:F440)</f>
        <v>0</v>
      </c>
      <c r="Z41" s="84">
        <f t="shared" si="7"/>
        <v>9479.57</v>
      </c>
      <c r="AA41" s="27" t="s">
        <v>103</v>
      </c>
      <c r="AB41" s="60">
        <f>'07'!B440</f>
        <v>-190.40000000000055</v>
      </c>
      <c r="AC41" s="60">
        <f>SUM('07'!D440:F440)</f>
        <v>0</v>
      </c>
      <c r="AD41" s="84">
        <f t="shared" si="8"/>
        <v>9289.1699999999983</v>
      </c>
      <c r="AE41" s="27" t="s">
        <v>104</v>
      </c>
      <c r="AF41" s="60">
        <f>'08'!B440</f>
        <v>-1589.8899999999999</v>
      </c>
      <c r="AG41" s="60">
        <f>SUM('08'!D440:F440)</f>
        <v>0</v>
      </c>
      <c r="AH41" s="84">
        <f t="shared" si="9"/>
        <v>7699.2799999999988</v>
      </c>
      <c r="AI41" s="27" t="s">
        <v>108</v>
      </c>
      <c r="AJ41" s="60">
        <f>'09'!B440</f>
        <v>-2747.67</v>
      </c>
      <c r="AK41" s="60">
        <f>SUM('09'!D440:F440)</f>
        <v>0</v>
      </c>
      <c r="AL41" s="84">
        <f t="shared" si="10"/>
        <v>4951.6099999999988</v>
      </c>
      <c r="AM41" s="27" t="s">
        <v>109</v>
      </c>
      <c r="AN41" s="60">
        <f>'10'!B440</f>
        <v>0</v>
      </c>
      <c r="AO41" s="60">
        <f>SUM('10'!D440:F440)</f>
        <v>0</v>
      </c>
      <c r="AP41" s="84">
        <f t="shared" si="11"/>
        <v>4951.6099999999988</v>
      </c>
      <c r="AQ41" s="27" t="s">
        <v>114</v>
      </c>
      <c r="AR41" s="60">
        <f>'11'!B440</f>
        <v>0</v>
      </c>
      <c r="AS41" s="60">
        <f>SUM('11'!D440:F440)</f>
        <v>0</v>
      </c>
      <c r="AT41" s="84">
        <f t="shared" si="12"/>
        <v>4951.6099999999988</v>
      </c>
      <c r="AU41" s="27" t="s">
        <v>118</v>
      </c>
      <c r="AV41" s="60">
        <f>'12'!B440</f>
        <v>3385.5499999999997</v>
      </c>
      <c r="AW41" s="60">
        <f>SUM('12'!D440:F440)</f>
        <v>0</v>
      </c>
      <c r="AX41" s="84">
        <f t="shared" si="13"/>
        <v>8337.159999999998</v>
      </c>
      <c r="AY41" s="45">
        <f t="shared" si="18"/>
        <v>0</v>
      </c>
      <c r="AZ41" s="41">
        <f t="shared" si="15"/>
        <v>0</v>
      </c>
      <c r="BA41" s="42">
        <f t="shared" si="17"/>
        <v>23</v>
      </c>
      <c r="BB41" s="42">
        <f t="shared" ca="1" si="16"/>
        <v>0</v>
      </c>
    </row>
    <row r="42" spans="1:54" ht="15.75">
      <c r="A42" s="46" t="s">
        <v>264</v>
      </c>
      <c r="B42" s="107">
        <v>0</v>
      </c>
      <c r="C42" s="26" t="s">
        <v>0</v>
      </c>
      <c r="D42" s="61">
        <f>'01'!B460</f>
        <v>1800.04</v>
      </c>
      <c r="E42" s="61">
        <f>SUM('01'!D460:F460)</f>
        <v>0</v>
      </c>
      <c r="F42" s="85">
        <f t="shared" si="2"/>
        <v>1800.04</v>
      </c>
      <c r="G42" s="26" t="s">
        <v>1</v>
      </c>
      <c r="H42" s="61">
        <f>'02'!B460</f>
        <v>5092.08</v>
      </c>
      <c r="I42" s="61">
        <f>SUM('02'!D460:F460)</f>
        <v>0</v>
      </c>
      <c r="J42" s="85">
        <f t="shared" si="3"/>
        <v>6892.12</v>
      </c>
      <c r="K42" s="26" t="s">
        <v>2</v>
      </c>
      <c r="L42" s="61">
        <f>'03'!B460</f>
        <v>0</v>
      </c>
      <c r="M42" s="61">
        <f>SUM('03'!D460:F460)</f>
        <v>0</v>
      </c>
      <c r="N42" s="85">
        <f t="shared" si="4"/>
        <v>6892.12</v>
      </c>
      <c r="O42" s="26" t="s">
        <v>3</v>
      </c>
      <c r="P42" s="61">
        <f>'04'!B460</f>
        <v>0</v>
      </c>
      <c r="Q42" s="61">
        <f>SUM('04'!D460:F460)</f>
        <v>0</v>
      </c>
      <c r="R42" s="85">
        <f t="shared" si="5"/>
        <v>6892.12</v>
      </c>
      <c r="S42" s="26" t="s">
        <v>99</v>
      </c>
      <c r="T42" s="61">
        <f>'05'!B460</f>
        <v>0</v>
      </c>
      <c r="U42" s="61">
        <f>SUM('05'!D460:F460)</f>
        <v>0</v>
      </c>
      <c r="V42" s="85">
        <f t="shared" si="6"/>
        <v>6892.12</v>
      </c>
      <c r="W42" s="26" t="s">
        <v>95</v>
      </c>
      <c r="X42" s="61">
        <f>'06'!B460</f>
        <v>0</v>
      </c>
      <c r="Y42" s="61">
        <f>SUM('06'!D460:F460)</f>
        <v>0</v>
      </c>
      <c r="Z42" s="85">
        <f t="shared" si="7"/>
        <v>6892.12</v>
      </c>
      <c r="AA42" s="26" t="s">
        <v>103</v>
      </c>
      <c r="AB42" s="61">
        <f>'07'!B460</f>
        <v>0</v>
      </c>
      <c r="AC42" s="61">
        <f>SUM('07'!D460:F460)</f>
        <v>0</v>
      </c>
      <c r="AD42" s="85">
        <f t="shared" si="8"/>
        <v>6892.12</v>
      </c>
      <c r="AE42" s="26" t="s">
        <v>104</v>
      </c>
      <c r="AF42" s="61">
        <f>'08'!B460</f>
        <v>0</v>
      </c>
      <c r="AG42" s="61">
        <f>SUM('08'!D460:F460)</f>
        <v>0</v>
      </c>
      <c r="AH42" s="85">
        <f t="shared" si="9"/>
        <v>6892.12</v>
      </c>
      <c r="AI42" s="26" t="s">
        <v>108</v>
      </c>
      <c r="AJ42" s="61">
        <f>'09'!B460</f>
        <v>0</v>
      </c>
      <c r="AK42" s="61">
        <f>SUM('09'!D460:F460)</f>
        <v>0</v>
      </c>
      <c r="AL42" s="85">
        <f t="shared" si="10"/>
        <v>6892.12</v>
      </c>
      <c r="AM42" s="26" t="s">
        <v>109</v>
      </c>
      <c r="AN42" s="61">
        <f>'10'!B460</f>
        <v>0</v>
      </c>
      <c r="AO42" s="61">
        <f>SUM('10'!D460:F460)</f>
        <v>0</v>
      </c>
      <c r="AP42" s="85">
        <f t="shared" si="11"/>
        <v>6892.12</v>
      </c>
      <c r="AQ42" s="26" t="s">
        <v>114</v>
      </c>
      <c r="AR42" s="61">
        <f>'11'!B460</f>
        <v>0</v>
      </c>
      <c r="AS42" s="61">
        <f>SUM('11'!D460:F460)</f>
        <v>0</v>
      </c>
      <c r="AT42" s="85">
        <f t="shared" si="12"/>
        <v>6892.12</v>
      </c>
      <c r="AU42" s="26" t="s">
        <v>118</v>
      </c>
      <c r="AV42" s="61">
        <f>'12'!B460</f>
        <v>0</v>
      </c>
      <c r="AW42" s="61">
        <f>SUM('12'!D460:F460)</f>
        <v>0</v>
      </c>
      <c r="AX42" s="85">
        <f t="shared" si="13"/>
        <v>6892.12</v>
      </c>
      <c r="AY42" s="43">
        <f t="shared" si="18"/>
        <v>0</v>
      </c>
      <c r="AZ42" s="41">
        <f t="shared" si="15"/>
        <v>0</v>
      </c>
      <c r="BA42" s="42">
        <f t="shared" si="17"/>
        <v>23</v>
      </c>
      <c r="BB42" s="42">
        <f t="shared" ca="1" si="16"/>
        <v>0</v>
      </c>
    </row>
    <row r="43" spans="1:54" ht="15.75">
      <c r="A43" s="51" t="s">
        <v>469</v>
      </c>
      <c r="B43" s="108">
        <v>0</v>
      </c>
      <c r="C43" s="27" t="s">
        <v>0</v>
      </c>
      <c r="D43" s="62">
        <f>'01'!B480</f>
        <v>0</v>
      </c>
      <c r="E43" s="62">
        <f>SUM('01'!D480:F480)</f>
        <v>0</v>
      </c>
      <c r="F43" s="84">
        <f t="shared" si="2"/>
        <v>0</v>
      </c>
      <c r="G43" s="27" t="s">
        <v>1</v>
      </c>
      <c r="H43" s="62">
        <f>'02'!B480</f>
        <v>0</v>
      </c>
      <c r="I43" s="62">
        <f>SUM('02'!D480:F480)</f>
        <v>0</v>
      </c>
      <c r="J43" s="84">
        <f t="shared" si="3"/>
        <v>0</v>
      </c>
      <c r="K43" s="27" t="s">
        <v>2</v>
      </c>
      <c r="L43" s="62">
        <f>'03'!B480</f>
        <v>0</v>
      </c>
      <c r="M43" s="62">
        <f>SUM('03'!D480:F480)</f>
        <v>0</v>
      </c>
      <c r="N43" s="84">
        <f t="shared" si="4"/>
        <v>0</v>
      </c>
      <c r="O43" s="27" t="s">
        <v>3</v>
      </c>
      <c r="P43" s="62">
        <f>'04'!B480</f>
        <v>0</v>
      </c>
      <c r="Q43" s="62">
        <f>SUM('04'!D480:F480)</f>
        <v>0</v>
      </c>
      <c r="R43" s="84">
        <f t="shared" si="5"/>
        <v>0</v>
      </c>
      <c r="S43" s="27" t="s">
        <v>99</v>
      </c>
      <c r="T43" s="62">
        <f>'05'!B480</f>
        <v>0</v>
      </c>
      <c r="U43" s="62">
        <f>SUM('05'!D480:F480)</f>
        <v>0</v>
      </c>
      <c r="V43" s="84">
        <f t="shared" si="6"/>
        <v>0</v>
      </c>
      <c r="W43" s="27" t="s">
        <v>95</v>
      </c>
      <c r="X43" s="62">
        <f>'06'!B480</f>
        <v>0</v>
      </c>
      <c r="Y43" s="62">
        <f>SUM('06'!D480:F480)</f>
        <v>0</v>
      </c>
      <c r="Z43" s="84">
        <f t="shared" si="7"/>
        <v>0</v>
      </c>
      <c r="AA43" s="27" t="s">
        <v>103</v>
      </c>
      <c r="AB43" s="62">
        <f>'07'!B480</f>
        <v>0</v>
      </c>
      <c r="AC43" s="62">
        <f>SUM('07'!D480:F480)</f>
        <v>0</v>
      </c>
      <c r="AD43" s="84">
        <f t="shared" si="8"/>
        <v>0</v>
      </c>
      <c r="AE43" s="27" t="s">
        <v>104</v>
      </c>
      <c r="AF43" s="62">
        <f>'08'!B480</f>
        <v>315</v>
      </c>
      <c r="AG43" s="62">
        <f>SUM('08'!D480:F480)</f>
        <v>0</v>
      </c>
      <c r="AH43" s="84">
        <f t="shared" si="9"/>
        <v>315</v>
      </c>
      <c r="AI43" s="27" t="s">
        <v>108</v>
      </c>
      <c r="AJ43" s="62">
        <f>'09'!B480</f>
        <v>56</v>
      </c>
      <c r="AK43" s="62">
        <f>SUM('09'!D480:F480)</f>
        <v>100</v>
      </c>
      <c r="AL43" s="84">
        <f t="shared" si="10"/>
        <v>271</v>
      </c>
      <c r="AM43" s="27" t="s">
        <v>109</v>
      </c>
      <c r="AN43" s="62">
        <f>'10'!B480</f>
        <v>55</v>
      </c>
      <c r="AO43" s="62">
        <f>SUM('10'!D480:F480)</f>
        <v>0</v>
      </c>
      <c r="AP43" s="84">
        <f t="shared" si="11"/>
        <v>326</v>
      </c>
      <c r="AQ43" s="27" t="s">
        <v>114</v>
      </c>
      <c r="AR43" s="62">
        <f>'11'!B480</f>
        <v>50</v>
      </c>
      <c r="AS43" s="62">
        <f>SUM('11'!D480:F480)</f>
        <v>0</v>
      </c>
      <c r="AT43" s="84">
        <f t="shared" si="12"/>
        <v>376</v>
      </c>
      <c r="AU43" s="27" t="s">
        <v>118</v>
      </c>
      <c r="AV43" s="62">
        <f>'12'!B480</f>
        <v>315</v>
      </c>
      <c r="AW43" s="62">
        <f>SUM('12'!D480:F480)</f>
        <v>0</v>
      </c>
      <c r="AX43" s="84">
        <f t="shared" si="13"/>
        <v>691</v>
      </c>
      <c r="AY43" s="45">
        <f t="shared" si="18"/>
        <v>100</v>
      </c>
      <c r="AZ43" s="41">
        <f t="shared" si="15"/>
        <v>2.5398089657288339E-3</v>
      </c>
      <c r="BA43" s="42">
        <f t="shared" si="17"/>
        <v>20</v>
      </c>
      <c r="BB43" s="42">
        <f t="shared" ca="1" si="16"/>
        <v>11.111111111111111</v>
      </c>
    </row>
    <row r="44" spans="1:54" ht="15.75">
      <c r="A44" s="96" t="s">
        <v>31</v>
      </c>
      <c r="B44" s="109">
        <v>0</v>
      </c>
      <c r="C44" s="26" t="s">
        <v>0</v>
      </c>
      <c r="D44" s="97">
        <f>'01'!B500</f>
        <v>0</v>
      </c>
      <c r="E44" s="97">
        <f>SUM('01'!D500:F500)</f>
        <v>0</v>
      </c>
      <c r="F44" s="98">
        <f t="shared" si="2"/>
        <v>0</v>
      </c>
      <c r="G44" s="26" t="s">
        <v>1</v>
      </c>
      <c r="H44" s="97">
        <f>'02'!B500</f>
        <v>0</v>
      </c>
      <c r="I44" s="97">
        <f>SUM('02'!D500:F500)</f>
        <v>0</v>
      </c>
      <c r="J44" s="98">
        <f t="shared" si="3"/>
        <v>0</v>
      </c>
      <c r="K44" s="26" t="s">
        <v>2</v>
      </c>
      <c r="L44" s="97">
        <f>'03'!B500</f>
        <v>0</v>
      </c>
      <c r="M44" s="97">
        <f>SUM('03'!D500:F500)</f>
        <v>0</v>
      </c>
      <c r="N44" s="98">
        <f t="shared" si="4"/>
        <v>0</v>
      </c>
      <c r="O44" s="26" t="s">
        <v>3</v>
      </c>
      <c r="P44" s="97">
        <f>'04'!B500</f>
        <v>0</v>
      </c>
      <c r="Q44" s="97">
        <f>SUM('04'!D500:F500)</f>
        <v>0</v>
      </c>
      <c r="R44" s="98">
        <f t="shared" si="5"/>
        <v>0</v>
      </c>
      <c r="S44" s="26" t="s">
        <v>99</v>
      </c>
      <c r="T44" s="97">
        <f>'05'!B500</f>
        <v>0</v>
      </c>
      <c r="U44" s="97">
        <f>SUM('05'!D500:F500)</f>
        <v>0</v>
      </c>
      <c r="V44" s="98">
        <f t="shared" si="6"/>
        <v>0</v>
      </c>
      <c r="W44" s="26" t="s">
        <v>95</v>
      </c>
      <c r="X44" s="97">
        <f>'06'!B500</f>
        <v>0</v>
      </c>
      <c r="Y44" s="97">
        <f>SUM('06'!D500:F500)</f>
        <v>0</v>
      </c>
      <c r="Z44" s="98">
        <f t="shared" si="7"/>
        <v>0</v>
      </c>
      <c r="AA44" s="26" t="s">
        <v>103</v>
      </c>
      <c r="AB44" s="97">
        <f>'07'!B500</f>
        <v>0</v>
      </c>
      <c r="AC44" s="97">
        <f>SUM('07'!D500:F500)</f>
        <v>0</v>
      </c>
      <c r="AD44" s="98">
        <f t="shared" si="8"/>
        <v>0</v>
      </c>
      <c r="AE44" s="26" t="s">
        <v>104</v>
      </c>
      <c r="AF44" s="97">
        <f>'08'!B500</f>
        <v>0</v>
      </c>
      <c r="AG44" s="97">
        <f>SUM('08'!D500:F500)</f>
        <v>0</v>
      </c>
      <c r="AH44" s="98">
        <f t="shared" si="9"/>
        <v>0</v>
      </c>
      <c r="AI44" s="26" t="s">
        <v>108</v>
      </c>
      <c r="AJ44" s="97">
        <f>'09'!B500</f>
        <v>0</v>
      </c>
      <c r="AK44" s="97">
        <f>SUM('09'!D500:F500)</f>
        <v>0</v>
      </c>
      <c r="AL44" s="98">
        <f t="shared" si="10"/>
        <v>0</v>
      </c>
      <c r="AM44" s="26" t="s">
        <v>109</v>
      </c>
      <c r="AN44" s="97">
        <f>'10'!B500</f>
        <v>0</v>
      </c>
      <c r="AO44" s="97">
        <f>SUM('10'!D500:F500)</f>
        <v>0</v>
      </c>
      <c r="AP44" s="98">
        <f t="shared" si="11"/>
        <v>0</v>
      </c>
      <c r="AQ44" s="26" t="s">
        <v>114</v>
      </c>
      <c r="AR44" s="97">
        <f>'11'!B500</f>
        <v>0</v>
      </c>
      <c r="AS44" s="97">
        <f>SUM('11'!D500:F500)</f>
        <v>0</v>
      </c>
      <c r="AT44" s="98">
        <f t="shared" si="12"/>
        <v>0</v>
      </c>
      <c r="AU44" s="26" t="s">
        <v>118</v>
      </c>
      <c r="AV44" s="97">
        <f>'12'!B500</f>
        <v>0</v>
      </c>
      <c r="AW44" s="97">
        <f>SUM('12'!D500:F500)</f>
        <v>0</v>
      </c>
      <c r="AX44" s="98">
        <f t="shared" si="13"/>
        <v>0</v>
      </c>
      <c r="AY44" s="43">
        <f t="shared" si="18"/>
        <v>0</v>
      </c>
      <c r="AZ44" s="41">
        <f t="shared" si="15"/>
        <v>0</v>
      </c>
      <c r="BA44" s="42">
        <f t="shared" si="17"/>
        <v>23</v>
      </c>
      <c r="BB44" s="42">
        <f t="shared" ca="1" si="16"/>
        <v>0</v>
      </c>
    </row>
    <row r="45" spans="1:54" ht="16.5" thickBot="1">
      <c r="A45" s="99" t="s">
        <v>30</v>
      </c>
      <c r="B45" s="110">
        <v>68.220000000000027</v>
      </c>
      <c r="C45" s="100" t="s">
        <v>0</v>
      </c>
      <c r="D45" s="101">
        <f>'01'!B520</f>
        <v>10</v>
      </c>
      <c r="E45" s="102">
        <f>SUM('01'!D520:F520)</f>
        <v>0</v>
      </c>
      <c r="F45" s="103">
        <f t="shared" si="2"/>
        <v>78.220000000000027</v>
      </c>
      <c r="G45" s="100" t="s">
        <v>1</v>
      </c>
      <c r="H45" s="101">
        <f>'02'!B520</f>
        <v>10</v>
      </c>
      <c r="I45" s="102">
        <f>SUM('02'!D520:F520)</f>
        <v>0</v>
      </c>
      <c r="J45" s="103">
        <f t="shared" si="3"/>
        <v>88.220000000000027</v>
      </c>
      <c r="K45" s="100" t="s">
        <v>2</v>
      </c>
      <c r="L45" s="101">
        <f>'03'!B520</f>
        <v>10</v>
      </c>
      <c r="M45" s="102">
        <f>SUM('03'!D520:F520)</f>
        <v>3.5</v>
      </c>
      <c r="N45" s="103">
        <f t="shared" si="4"/>
        <v>94.720000000000027</v>
      </c>
      <c r="O45" s="100" t="s">
        <v>3</v>
      </c>
      <c r="P45" s="101">
        <f>'04'!B520</f>
        <v>10</v>
      </c>
      <c r="Q45" s="102">
        <f>SUM('04'!D520:F520)</f>
        <v>0</v>
      </c>
      <c r="R45" s="103">
        <f t="shared" si="5"/>
        <v>104.72000000000003</v>
      </c>
      <c r="S45" s="100" t="s">
        <v>99</v>
      </c>
      <c r="T45" s="101">
        <f>'05'!B520</f>
        <v>0</v>
      </c>
      <c r="U45" s="102">
        <f>SUM('05'!D520:F520)</f>
        <v>0</v>
      </c>
      <c r="V45" s="103">
        <f t="shared" si="6"/>
        <v>104.72000000000003</v>
      </c>
      <c r="W45" s="100" t="s">
        <v>95</v>
      </c>
      <c r="X45" s="101">
        <f>'06'!B520</f>
        <v>0</v>
      </c>
      <c r="Y45" s="102">
        <f>SUM('06'!D520:F520)</f>
        <v>0</v>
      </c>
      <c r="Z45" s="103">
        <f t="shared" si="7"/>
        <v>104.72000000000003</v>
      </c>
      <c r="AA45" s="100" t="s">
        <v>103</v>
      </c>
      <c r="AB45" s="101">
        <f>'07'!B520</f>
        <v>0</v>
      </c>
      <c r="AC45" s="102">
        <f>SUM('07'!D520:F520)</f>
        <v>67.8</v>
      </c>
      <c r="AD45" s="103">
        <f t="shared" si="8"/>
        <v>36.92000000000003</v>
      </c>
      <c r="AE45" s="100" t="s">
        <v>104</v>
      </c>
      <c r="AF45" s="101">
        <f>'08'!B520</f>
        <v>10</v>
      </c>
      <c r="AG45" s="102">
        <f>SUM('08'!D520:F520)</f>
        <v>0</v>
      </c>
      <c r="AH45" s="103">
        <f t="shared" si="9"/>
        <v>46.92000000000003</v>
      </c>
      <c r="AI45" s="100" t="s">
        <v>108</v>
      </c>
      <c r="AJ45" s="101">
        <f>'09'!B520</f>
        <v>49</v>
      </c>
      <c r="AK45" s="102">
        <f>SUM('09'!D520:F520)</f>
        <v>0</v>
      </c>
      <c r="AL45" s="103">
        <f t="shared" si="10"/>
        <v>95.92000000000003</v>
      </c>
      <c r="AM45" s="100" t="s">
        <v>109</v>
      </c>
      <c r="AN45" s="101">
        <f>'10'!B520</f>
        <v>0</v>
      </c>
      <c r="AO45" s="102">
        <f>SUM('10'!D520:F520)</f>
        <v>0</v>
      </c>
      <c r="AP45" s="103">
        <f t="shared" si="11"/>
        <v>95.92000000000003</v>
      </c>
      <c r="AQ45" s="100" t="s">
        <v>114</v>
      </c>
      <c r="AR45" s="101">
        <f>'11'!B520</f>
        <v>0</v>
      </c>
      <c r="AS45" s="102">
        <f>SUM('11'!D520:F520)</f>
        <v>0</v>
      </c>
      <c r="AT45" s="103">
        <f t="shared" si="12"/>
        <v>95.92000000000003</v>
      </c>
      <c r="AU45" s="100" t="s">
        <v>118</v>
      </c>
      <c r="AV45" s="101">
        <f>'12'!B520</f>
        <v>0</v>
      </c>
      <c r="AW45" s="102">
        <f>SUM('12'!D520:F520)</f>
        <v>0</v>
      </c>
      <c r="AX45" s="103">
        <f t="shared" si="13"/>
        <v>95.92000000000003</v>
      </c>
      <c r="AY45" s="104">
        <f t="shared" si="18"/>
        <v>71.3</v>
      </c>
      <c r="AZ45" s="41">
        <f t="shared" si="15"/>
        <v>1.8108837925646583E-3</v>
      </c>
      <c r="BA45" s="42">
        <f t="shared" si="17"/>
        <v>21</v>
      </c>
      <c r="BB45" s="42">
        <f t="shared" ca="1" si="16"/>
        <v>7.9222222222222216</v>
      </c>
    </row>
    <row r="46" spans="1:54" ht="17.25" thickTop="1" thickBot="1">
      <c r="A46" s="112" t="s">
        <v>5</v>
      </c>
      <c r="B46" s="113">
        <f>SUM(B20:B45)</f>
        <v>17336.68</v>
      </c>
      <c r="C46" s="114"/>
      <c r="D46" s="115">
        <f>SUM(D20:D45)</f>
        <v>9364.27</v>
      </c>
      <c r="E46" s="115">
        <f>SUM(E20:E45)</f>
        <v>6483.9500000000007</v>
      </c>
      <c r="F46" s="116">
        <f>SUM(F20:F45)</f>
        <v>20217</v>
      </c>
      <c r="G46" s="114"/>
      <c r="H46" s="115">
        <f>SUM(H20:H45)</f>
        <v>5516.34</v>
      </c>
      <c r="I46" s="115">
        <f>SUM(I20:I45)</f>
        <v>4518.7700000000013</v>
      </c>
      <c r="J46" s="116">
        <f>SUM(J20:J45)</f>
        <v>21214.570000000003</v>
      </c>
      <c r="K46" s="114"/>
      <c r="L46" s="115">
        <f>SUM(L20:L45)</f>
        <v>3826.44</v>
      </c>
      <c r="M46" s="115">
        <f>SUM(M20:M45)</f>
        <v>4321.1000000000004</v>
      </c>
      <c r="N46" s="116">
        <f>SUM(N20:N45)</f>
        <v>20719.91</v>
      </c>
      <c r="O46" s="114"/>
      <c r="P46" s="115">
        <f>SUM(P20:P45)</f>
        <v>6525.65</v>
      </c>
      <c r="Q46" s="115">
        <f>SUM(Q20:Q45)</f>
        <v>4339.7</v>
      </c>
      <c r="R46" s="116">
        <f>SUM(R20:R45)</f>
        <v>22905.86</v>
      </c>
      <c r="S46" s="114"/>
      <c r="T46" s="115">
        <f>SUM(T20:T45)</f>
        <v>3996.6700000000005</v>
      </c>
      <c r="U46" s="115">
        <f>SUM(U20:U45)</f>
        <v>3280.39</v>
      </c>
      <c r="V46" s="116">
        <f>SUM(V20:V45)</f>
        <v>23622.14</v>
      </c>
      <c r="W46" s="114"/>
      <c r="X46" s="115">
        <f>SUM(X20:X45)</f>
        <v>5438.31</v>
      </c>
      <c r="Y46" s="115">
        <f>SUM(Y20:Y45)</f>
        <v>4148.8899999999994</v>
      </c>
      <c r="Z46" s="116">
        <f>SUM(Z20:Z45)</f>
        <v>24911.56</v>
      </c>
      <c r="AA46" s="114"/>
      <c r="AB46" s="115">
        <f>SUM(AB20:AB45)</f>
        <v>4427.8999999999996</v>
      </c>
      <c r="AC46" s="115">
        <f>SUM(AC20:AC45)</f>
        <v>4850.7100000000009</v>
      </c>
      <c r="AD46" s="116">
        <f>SUM(AD20:AD45)</f>
        <v>24488.749999999996</v>
      </c>
      <c r="AE46" s="114"/>
      <c r="AF46" s="115">
        <f>SUM(AF20:AF45)</f>
        <v>3385.5500000000006</v>
      </c>
      <c r="AG46" s="115">
        <f>SUM(AG20:AG45)</f>
        <v>3261.04</v>
      </c>
      <c r="AH46" s="116">
        <f>SUM(AH20:AH45)</f>
        <v>24613.26</v>
      </c>
      <c r="AI46" s="114"/>
      <c r="AJ46" s="115">
        <f>SUM(AJ20:AJ45)</f>
        <v>1261.04</v>
      </c>
      <c r="AK46" s="115">
        <f>SUM(AK20:AK45)</f>
        <v>4168.49</v>
      </c>
      <c r="AL46" s="116">
        <f>SUM(AL20:AL45)</f>
        <v>21705.809999999994</v>
      </c>
      <c r="AM46" s="114"/>
      <c r="AN46" s="115">
        <f>SUM(AN20:AN45)</f>
        <v>3928.14</v>
      </c>
      <c r="AO46" s="115">
        <f>SUM(AO20:AO45)</f>
        <v>0</v>
      </c>
      <c r="AP46" s="116">
        <f>SUM(AP20:AP45)</f>
        <v>25633.949999999993</v>
      </c>
      <c r="AQ46" s="114"/>
      <c r="AR46" s="115">
        <f>SUM(AR20:AR45)</f>
        <v>3900</v>
      </c>
      <c r="AS46" s="115">
        <f>SUM(AS20:AS45)-AS40</f>
        <v>0</v>
      </c>
      <c r="AT46" s="116">
        <f>SUM(AT20:AT45)</f>
        <v>29533.949999999993</v>
      </c>
      <c r="AU46" s="114"/>
      <c r="AV46" s="115">
        <f>SUM(AV20:AV45)</f>
        <v>7285.57</v>
      </c>
      <c r="AW46" s="115">
        <f>SUM(AW20:AW45)-AW40</f>
        <v>0</v>
      </c>
      <c r="AX46" s="116">
        <f>SUM(AX20:AX45)</f>
        <v>36819.519999999997</v>
      </c>
      <c r="AY46" s="28">
        <f>SUM(AY20:AY45)</f>
        <v>39373.040000000001</v>
      </c>
      <c r="AZ46" s="1"/>
      <c r="BA46" s="1"/>
      <c r="BB46" s="29">
        <f ca="1">SUM(BB20:BB45)</f>
        <v>4374.782222222223</v>
      </c>
    </row>
    <row r="47" spans="1:54" s="81" customFormat="1" ht="12.75">
      <c r="A47" s="80" t="s">
        <v>315</v>
      </c>
      <c r="B47" s="80"/>
      <c r="C47" s="82">
        <f>C5-B46</f>
        <v>0</v>
      </c>
      <c r="D47" s="82">
        <f>C17-D46</f>
        <v>0</v>
      </c>
      <c r="E47" s="82">
        <f>C17-E46</f>
        <v>2880.3199999999997</v>
      </c>
      <c r="F47" s="82"/>
      <c r="G47" s="82">
        <f>G5-F46</f>
        <v>0</v>
      </c>
      <c r="H47" s="82">
        <f>G17-H46</f>
        <v>0</v>
      </c>
      <c r="I47" s="82">
        <f>G17-I46</f>
        <v>997.56999999999971</v>
      </c>
      <c r="J47" s="82"/>
      <c r="K47" s="82">
        <f>K5-J46</f>
        <v>0</v>
      </c>
      <c r="L47" s="82">
        <f>K17-L46</f>
        <v>0</v>
      </c>
      <c r="M47" s="82">
        <f>K17-M46</f>
        <v>-494.66000000000031</v>
      </c>
      <c r="N47" s="82"/>
      <c r="O47" s="82">
        <f>O5-N46</f>
        <v>0</v>
      </c>
      <c r="P47" s="82">
        <f>O17-P46</f>
        <v>0</v>
      </c>
      <c r="Q47" s="82">
        <f>O17-Q46</f>
        <v>2185.9500000000007</v>
      </c>
      <c r="R47" s="82"/>
      <c r="S47" s="82">
        <f>S5-R46</f>
        <v>0</v>
      </c>
      <c r="T47" s="82">
        <f>S17-T46</f>
        <v>0.99999999999954525</v>
      </c>
      <c r="U47" s="82">
        <f>S17-U46</f>
        <v>717.2800000000002</v>
      </c>
      <c r="V47" s="82"/>
      <c r="W47" s="82">
        <f>W5-V46</f>
        <v>0</v>
      </c>
      <c r="X47" s="82">
        <f>W17-X46</f>
        <v>0</v>
      </c>
      <c r="Y47" s="82">
        <f>W17-Y46</f>
        <v>1289.420000000001</v>
      </c>
      <c r="Z47" s="82"/>
      <c r="AA47" s="82">
        <f>AA5-Z46</f>
        <v>0</v>
      </c>
      <c r="AB47" s="82">
        <f>AA17-AB46</f>
        <v>0</v>
      </c>
      <c r="AC47" s="82">
        <f>AA17-AC46</f>
        <v>-422.81000000000131</v>
      </c>
      <c r="AD47" s="82"/>
      <c r="AE47" s="82">
        <f>AE5-AD46</f>
        <v>0</v>
      </c>
      <c r="AF47" s="82">
        <f>AE17-AF46</f>
        <v>0</v>
      </c>
      <c r="AG47" s="82">
        <f>AE17-AG46</f>
        <v>124.50999999999976</v>
      </c>
      <c r="AH47" s="82"/>
      <c r="AI47" s="82">
        <f>AI5-AH46</f>
        <v>0</v>
      </c>
      <c r="AJ47" s="82">
        <f>AI17-AJ46</f>
        <v>0</v>
      </c>
      <c r="AK47" s="82">
        <f>AI17-AK46</f>
        <v>-2907.45</v>
      </c>
      <c r="AL47" s="82"/>
      <c r="AM47" s="82">
        <f>AM5-AL46</f>
        <v>-6603.9199999999928</v>
      </c>
      <c r="AN47" s="82">
        <f>AM17-AN46</f>
        <v>-3928.14</v>
      </c>
      <c r="AO47" s="82">
        <f>AM17-AO46</f>
        <v>0</v>
      </c>
      <c r="AP47" s="82"/>
      <c r="AQ47" s="82">
        <f>AQ5-AP46</f>
        <v>-10532.059999999992</v>
      </c>
      <c r="AR47" s="82">
        <f>AQ17-AR46</f>
        <v>-3900</v>
      </c>
      <c r="AS47" s="82">
        <f>AQ17-AS46</f>
        <v>0</v>
      </c>
      <c r="AT47" s="82"/>
      <c r="AU47" s="82">
        <f>AU5-AT46</f>
        <v>-15982.059999999992</v>
      </c>
      <c r="AV47" s="82">
        <f>AU17-AV46</f>
        <v>-7285.57</v>
      </c>
      <c r="AW47" s="82">
        <f>AU17-AW46</f>
        <v>0</v>
      </c>
      <c r="AX47" s="82"/>
      <c r="AY47" s="82"/>
      <c r="AZ47" s="80"/>
      <c r="BA47" s="80"/>
      <c r="BB47" s="80"/>
    </row>
    <row r="48" spans="1:54" ht="15.75">
      <c r="A48" s="1"/>
      <c r="B48" s="1"/>
      <c r="C48" s="5"/>
      <c r="D48" s="5"/>
      <c r="E48" s="5"/>
      <c r="F48" s="5"/>
      <c r="G48" s="5"/>
      <c r="H48" s="30"/>
      <c r="I48" s="30"/>
      <c r="J48" s="30"/>
      <c r="K48" s="5"/>
      <c r="L48" s="30"/>
      <c r="M48" s="1"/>
      <c r="N48" s="1"/>
      <c r="O48" s="5"/>
      <c r="P48" s="5"/>
      <c r="Q48" s="5"/>
      <c r="R48" s="5"/>
      <c r="S48" s="5"/>
      <c r="T48" s="5"/>
      <c r="U48" s="5"/>
      <c r="V48" s="5"/>
      <c r="W48" s="5"/>
      <c r="X48" s="30"/>
      <c r="Y48" s="30"/>
      <c r="Z48" s="30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 t="s">
        <v>203</v>
      </c>
      <c r="AW48" s="5"/>
      <c r="AX48" s="5"/>
      <c r="AY48" s="82">
        <v>46128</v>
      </c>
      <c r="AZ48" s="1"/>
      <c r="BA48" s="1"/>
      <c r="BB48" s="1"/>
    </row>
    <row r="49" spans="1:51">
      <c r="C49" s="122"/>
      <c r="AY49" s="122"/>
    </row>
    <row r="50" spans="1:51">
      <c r="A50" t="s">
        <v>252</v>
      </c>
      <c r="E50" s="122">
        <f>E22+20-60</f>
        <v>406.3</v>
      </c>
      <c r="I50" s="122">
        <f>I22+20+20-75.1</f>
        <v>403.29999999999995</v>
      </c>
      <c r="M50" s="122">
        <f>M22+20+20-61.46</f>
        <v>402.24</v>
      </c>
      <c r="Q50" s="122">
        <f>Q22+20+20</f>
        <v>646.42999999999995</v>
      </c>
      <c r="U50" s="122">
        <f>U22+20+122.9+31.71+66.04</f>
        <v>480.26</v>
      </c>
      <c r="Y50" s="122">
        <f>Y22+28-97.8</f>
        <v>484.27000000000004</v>
      </c>
      <c r="AC50" s="122">
        <f>AC22+28</f>
        <v>417.21999999999997</v>
      </c>
      <c r="AG50" s="122">
        <f>AG22+28</f>
        <v>443.88999999999993</v>
      </c>
      <c r="AK50" s="122">
        <f>AK22+28</f>
        <v>340.93999999999994</v>
      </c>
      <c r="AO50" s="122">
        <f>AO22</f>
        <v>0</v>
      </c>
      <c r="AS50" s="122">
        <f>AS22</f>
        <v>0</v>
      </c>
      <c r="AW50" s="122">
        <f>AW22</f>
        <v>0</v>
      </c>
    </row>
    <row r="51" spans="1:51" ht="15.75" thickBot="1"/>
    <row r="52" spans="1:51">
      <c r="C52" s="240" t="s">
        <v>197</v>
      </c>
      <c r="D52" s="241"/>
      <c r="E52" s="241"/>
      <c r="F52" s="242"/>
      <c r="G52" s="240" t="s">
        <v>197</v>
      </c>
      <c r="H52" s="241"/>
      <c r="I52" s="241"/>
      <c r="J52" s="242"/>
      <c r="K52" s="240" t="s">
        <v>197</v>
      </c>
      <c r="L52" s="241"/>
      <c r="M52" s="241"/>
      <c r="N52" s="242"/>
      <c r="O52" s="240" t="s">
        <v>197</v>
      </c>
      <c r="P52" s="241"/>
      <c r="Q52" s="241"/>
      <c r="R52" s="242"/>
      <c r="S52" s="240" t="s">
        <v>197</v>
      </c>
      <c r="T52" s="241"/>
      <c r="U52" s="241"/>
      <c r="V52" s="242"/>
      <c r="W52" s="240" t="s">
        <v>197</v>
      </c>
      <c r="X52" s="241"/>
      <c r="Y52" s="241"/>
      <c r="Z52" s="242"/>
      <c r="AA52" s="240" t="s">
        <v>197</v>
      </c>
      <c r="AB52" s="241"/>
      <c r="AC52" s="241"/>
      <c r="AD52" s="242"/>
      <c r="AE52" s="240" t="s">
        <v>197</v>
      </c>
      <c r="AF52" s="241"/>
      <c r="AG52" s="241"/>
      <c r="AH52" s="242"/>
      <c r="AI52" s="240" t="s">
        <v>197</v>
      </c>
      <c r="AJ52" s="241"/>
      <c r="AK52" s="241"/>
      <c r="AL52" s="242"/>
      <c r="AM52" s="240" t="s">
        <v>197</v>
      </c>
      <c r="AN52" s="241"/>
      <c r="AO52" s="241"/>
      <c r="AP52" s="242"/>
      <c r="AQ52" s="240" t="s">
        <v>197</v>
      </c>
      <c r="AR52" s="241"/>
      <c r="AS52" s="241"/>
      <c r="AT52" s="242"/>
      <c r="AU52" s="240" t="s">
        <v>197</v>
      </c>
      <c r="AV52" s="241"/>
      <c r="AW52" s="241"/>
      <c r="AX52" s="242"/>
    </row>
    <row r="53" spans="1:51" ht="15.75" thickBot="1">
      <c r="C53" s="179" t="s">
        <v>198</v>
      </c>
      <c r="D53" s="243" t="s">
        <v>33</v>
      </c>
      <c r="E53" s="244"/>
      <c r="F53" s="180" t="s">
        <v>134</v>
      </c>
      <c r="G53" s="179" t="s">
        <v>198</v>
      </c>
      <c r="H53" s="243" t="s">
        <v>33</v>
      </c>
      <c r="I53" s="244"/>
      <c r="J53" s="180" t="s">
        <v>134</v>
      </c>
      <c r="K53" s="179" t="s">
        <v>198</v>
      </c>
      <c r="L53" s="243" t="s">
        <v>33</v>
      </c>
      <c r="M53" s="244"/>
      <c r="N53" s="180" t="s">
        <v>134</v>
      </c>
      <c r="O53" s="179" t="s">
        <v>198</v>
      </c>
      <c r="P53" s="243" t="s">
        <v>33</v>
      </c>
      <c r="Q53" s="244"/>
      <c r="R53" s="180" t="s">
        <v>134</v>
      </c>
      <c r="S53" s="179" t="s">
        <v>198</v>
      </c>
      <c r="T53" s="243" t="s">
        <v>33</v>
      </c>
      <c r="U53" s="244"/>
      <c r="V53" s="180" t="s">
        <v>134</v>
      </c>
      <c r="W53" s="179" t="s">
        <v>198</v>
      </c>
      <c r="X53" s="243" t="s">
        <v>33</v>
      </c>
      <c r="Y53" s="244"/>
      <c r="Z53" s="180" t="s">
        <v>134</v>
      </c>
      <c r="AA53" s="179" t="s">
        <v>198</v>
      </c>
      <c r="AB53" s="243" t="s">
        <v>33</v>
      </c>
      <c r="AC53" s="244"/>
      <c r="AD53" s="180" t="s">
        <v>134</v>
      </c>
      <c r="AE53" s="179" t="s">
        <v>198</v>
      </c>
      <c r="AF53" s="243" t="s">
        <v>33</v>
      </c>
      <c r="AG53" s="244"/>
      <c r="AH53" s="180" t="s">
        <v>134</v>
      </c>
      <c r="AI53" s="179" t="s">
        <v>198</v>
      </c>
      <c r="AJ53" s="243" t="s">
        <v>33</v>
      </c>
      <c r="AK53" s="244"/>
      <c r="AL53" s="180" t="s">
        <v>134</v>
      </c>
      <c r="AM53" s="179" t="s">
        <v>198</v>
      </c>
      <c r="AN53" s="243" t="s">
        <v>33</v>
      </c>
      <c r="AO53" s="244"/>
      <c r="AP53" s="180" t="s">
        <v>134</v>
      </c>
      <c r="AQ53" s="179" t="s">
        <v>198</v>
      </c>
      <c r="AR53" s="243" t="s">
        <v>33</v>
      </c>
      <c r="AS53" s="244"/>
      <c r="AT53" s="180" t="s">
        <v>134</v>
      </c>
      <c r="AU53" s="179" t="s">
        <v>198</v>
      </c>
      <c r="AV53" s="243" t="s">
        <v>33</v>
      </c>
      <c r="AW53" s="244"/>
      <c r="AX53" s="180" t="s">
        <v>134</v>
      </c>
    </row>
    <row r="54" spans="1:51">
      <c r="C54" s="181">
        <v>43112</v>
      </c>
      <c r="D54" s="245" t="s">
        <v>199</v>
      </c>
      <c r="E54" s="246"/>
      <c r="F54" s="184">
        <v>10</v>
      </c>
      <c r="G54" s="181">
        <v>43137</v>
      </c>
      <c r="H54" s="245" t="s">
        <v>220</v>
      </c>
      <c r="I54" s="246"/>
      <c r="J54" s="186">
        <v>10</v>
      </c>
      <c r="K54" s="181">
        <v>43166</v>
      </c>
      <c r="L54" s="251" t="s">
        <v>288</v>
      </c>
      <c r="M54" s="252"/>
      <c r="N54" s="186"/>
      <c r="O54" s="181">
        <v>43195</v>
      </c>
      <c r="P54" s="251" t="s">
        <v>220</v>
      </c>
      <c r="Q54" s="252"/>
      <c r="R54" s="192">
        <v>10</v>
      </c>
      <c r="S54" s="181">
        <v>43224</v>
      </c>
      <c r="T54" s="251" t="s">
        <v>288</v>
      </c>
      <c r="U54" s="252"/>
      <c r="V54" s="193"/>
      <c r="W54" s="182">
        <v>43264</v>
      </c>
      <c r="X54" s="255" t="s">
        <v>199</v>
      </c>
      <c r="Y54" s="256"/>
      <c r="Z54" s="194">
        <v>15</v>
      </c>
      <c r="AA54" s="181"/>
      <c r="AB54" s="265" t="s">
        <v>371</v>
      </c>
      <c r="AC54" s="266"/>
      <c r="AD54" s="186">
        <f>1452-580.8</f>
        <v>871.2</v>
      </c>
      <c r="AE54" s="181"/>
      <c r="AF54" s="267"/>
      <c r="AG54" s="268"/>
      <c r="AH54" s="186"/>
      <c r="AI54" s="181">
        <v>43370</v>
      </c>
      <c r="AJ54" s="269" t="s">
        <v>220</v>
      </c>
      <c r="AK54" s="270"/>
      <c r="AL54" s="186">
        <v>10</v>
      </c>
      <c r="AM54" s="181"/>
      <c r="AN54" s="267"/>
      <c r="AO54" s="268"/>
      <c r="AP54" s="186"/>
      <c r="AQ54" s="181"/>
      <c r="AR54" s="245"/>
      <c r="AS54" s="246"/>
      <c r="AT54" s="186"/>
      <c r="AU54" s="181"/>
      <c r="AV54" s="245"/>
      <c r="AW54" s="246"/>
      <c r="AX54" s="186"/>
    </row>
    <row r="55" spans="1:51">
      <c r="C55" s="182"/>
      <c r="D55" s="249"/>
      <c r="E55" s="250"/>
      <c r="F55" s="184"/>
      <c r="G55" s="182">
        <v>43146</v>
      </c>
      <c r="H55" s="249" t="s">
        <v>273</v>
      </c>
      <c r="I55" s="250"/>
      <c r="J55" s="186">
        <v>10</v>
      </c>
      <c r="K55" s="182">
        <v>43168</v>
      </c>
      <c r="L55" s="253" t="s">
        <v>273</v>
      </c>
      <c r="M55" s="254"/>
      <c r="N55" s="186">
        <v>15</v>
      </c>
      <c r="O55" s="182">
        <v>43209</v>
      </c>
      <c r="P55" s="255" t="s">
        <v>199</v>
      </c>
      <c r="Q55" s="256"/>
      <c r="R55" s="192">
        <v>15</v>
      </c>
      <c r="S55" s="182">
        <v>43238</v>
      </c>
      <c r="T55" s="255" t="s">
        <v>360</v>
      </c>
      <c r="U55" s="256"/>
      <c r="V55" s="186"/>
      <c r="W55" s="182">
        <v>43253</v>
      </c>
      <c r="X55" s="255" t="s">
        <v>220</v>
      </c>
      <c r="Y55" s="256"/>
      <c r="Z55" s="186">
        <v>10</v>
      </c>
      <c r="AA55" s="182"/>
      <c r="AB55" s="249" t="s">
        <v>372</v>
      </c>
      <c r="AC55" s="250"/>
      <c r="AD55" s="186">
        <f>200-43.62+(76.38*6)</f>
        <v>614.66</v>
      </c>
      <c r="AE55" s="182">
        <v>43318</v>
      </c>
      <c r="AF55" s="255" t="s">
        <v>199</v>
      </c>
      <c r="AG55" s="256"/>
      <c r="AH55" s="186">
        <v>15</v>
      </c>
      <c r="AI55" s="182">
        <v>43361</v>
      </c>
      <c r="AJ55" s="255" t="s">
        <v>199</v>
      </c>
      <c r="AK55" s="256"/>
      <c r="AL55" s="186">
        <v>15</v>
      </c>
      <c r="AM55" s="182"/>
      <c r="AN55" s="259"/>
      <c r="AO55" s="260"/>
      <c r="AP55" s="186"/>
      <c r="AQ55" s="182"/>
      <c r="AR55" s="249"/>
      <c r="AS55" s="250"/>
      <c r="AT55" s="186"/>
      <c r="AU55" s="182"/>
      <c r="AV55" s="249"/>
      <c r="AW55" s="250"/>
      <c r="AX55" s="186"/>
    </row>
    <row r="56" spans="1:51">
      <c r="C56" s="182">
        <v>43117</v>
      </c>
      <c r="D56" s="249" t="s">
        <v>200</v>
      </c>
      <c r="E56" s="250"/>
      <c r="F56" s="184"/>
      <c r="G56" s="182">
        <v>43147</v>
      </c>
      <c r="H56" s="249" t="s">
        <v>284</v>
      </c>
      <c r="I56" s="250"/>
      <c r="J56" s="186"/>
      <c r="K56" s="182">
        <v>43189</v>
      </c>
      <c r="L56" s="249" t="s">
        <v>293</v>
      </c>
      <c r="M56" s="250"/>
      <c r="N56" s="186"/>
      <c r="O56" s="182">
        <v>43193</v>
      </c>
      <c r="P56" s="255" t="s">
        <v>329</v>
      </c>
      <c r="Q56" s="256"/>
      <c r="R56" s="192">
        <v>258.52</v>
      </c>
      <c r="S56" s="182">
        <v>43249</v>
      </c>
      <c r="T56" s="249" t="s">
        <v>375</v>
      </c>
      <c r="U56" s="250"/>
      <c r="V56" s="186"/>
      <c r="W56" s="182">
        <v>43249</v>
      </c>
      <c r="X56" s="249" t="s">
        <v>380</v>
      </c>
      <c r="Y56" s="250"/>
      <c r="Z56" s="186"/>
      <c r="AA56" s="182"/>
      <c r="AB56" s="249" t="s">
        <v>373</v>
      </c>
      <c r="AC56" s="250"/>
      <c r="AD56" s="186">
        <f>AD54-AD55</f>
        <v>256.54000000000008</v>
      </c>
      <c r="AE56" s="182">
        <v>43341</v>
      </c>
      <c r="AF56" s="255" t="s">
        <v>288</v>
      </c>
      <c r="AG56" s="256"/>
      <c r="AH56" s="186"/>
      <c r="AI56" s="182">
        <v>43347</v>
      </c>
      <c r="AJ56" s="257" t="s">
        <v>379</v>
      </c>
      <c r="AK56" s="258"/>
      <c r="AL56" s="186"/>
      <c r="AM56" s="182"/>
      <c r="AN56" s="259"/>
      <c r="AO56" s="260"/>
      <c r="AP56" s="186"/>
      <c r="AQ56" s="182"/>
      <c r="AR56" s="249"/>
      <c r="AS56" s="250"/>
      <c r="AT56" s="186"/>
      <c r="AU56" s="182"/>
      <c r="AV56" s="249"/>
      <c r="AW56" s="250"/>
      <c r="AX56" s="186"/>
    </row>
    <row r="57" spans="1:51">
      <c r="C57" s="182"/>
      <c r="D57" s="249" t="s">
        <v>201</v>
      </c>
      <c r="E57" s="250"/>
      <c r="F57" s="184"/>
      <c r="G57" s="182"/>
      <c r="H57" s="249" t="s">
        <v>285</v>
      </c>
      <c r="I57" s="250"/>
      <c r="J57" s="186"/>
      <c r="K57" s="182"/>
      <c r="L57" s="249" t="s">
        <v>294</v>
      </c>
      <c r="M57" s="250"/>
      <c r="N57" s="186"/>
      <c r="O57" s="182"/>
      <c r="P57" s="255" t="s">
        <v>300</v>
      </c>
      <c r="Q57" s="256"/>
      <c r="R57" s="186">
        <v>2290.23</v>
      </c>
      <c r="S57" s="182"/>
      <c r="T57" s="249" t="s">
        <v>376</v>
      </c>
      <c r="U57" s="250"/>
      <c r="V57" s="186"/>
      <c r="W57" s="182"/>
      <c r="X57" s="249" t="s">
        <v>381</v>
      </c>
      <c r="Y57" s="250"/>
      <c r="Z57" s="186"/>
      <c r="AA57" s="182">
        <v>43282</v>
      </c>
      <c r="AB57" s="255" t="s">
        <v>288</v>
      </c>
      <c r="AC57" s="256"/>
      <c r="AD57" s="186"/>
      <c r="AE57" s="182">
        <v>43189</v>
      </c>
      <c r="AF57" s="249" t="s">
        <v>384</v>
      </c>
      <c r="AG57" s="250"/>
      <c r="AH57" s="186"/>
      <c r="AI57" s="182"/>
      <c r="AJ57" s="259"/>
      <c r="AK57" s="260"/>
      <c r="AL57" s="186"/>
      <c r="AM57" s="182"/>
      <c r="AN57" s="259"/>
      <c r="AO57" s="260"/>
      <c r="AP57" s="186"/>
      <c r="AQ57" s="182"/>
      <c r="AR57" s="249"/>
      <c r="AS57" s="250"/>
      <c r="AT57" s="186"/>
      <c r="AU57" s="182"/>
      <c r="AV57" s="249"/>
      <c r="AW57" s="250"/>
      <c r="AX57" s="186"/>
    </row>
    <row r="58" spans="1:51">
      <c r="C58" s="182"/>
      <c r="D58" s="249" t="s">
        <v>202</v>
      </c>
      <c r="E58" s="250"/>
      <c r="F58" s="184"/>
      <c r="G58" s="182"/>
      <c r="H58" s="249" t="s">
        <v>286</v>
      </c>
      <c r="I58" s="250"/>
      <c r="J58" s="186"/>
      <c r="K58" s="182"/>
      <c r="L58" s="249" t="s">
        <v>295</v>
      </c>
      <c r="M58" s="250"/>
      <c r="N58" s="186"/>
      <c r="O58" s="182"/>
      <c r="P58" s="249"/>
      <c r="Q58" s="250"/>
      <c r="R58" s="186"/>
      <c r="S58" s="182"/>
      <c r="T58" s="249" t="s">
        <v>377</v>
      </c>
      <c r="U58" s="250"/>
      <c r="V58" s="186"/>
      <c r="W58" s="182"/>
      <c r="X58" s="249" t="s">
        <v>382</v>
      </c>
      <c r="Y58" s="250"/>
      <c r="Z58" s="186"/>
      <c r="AA58" s="182"/>
      <c r="AB58" s="255" t="s">
        <v>360</v>
      </c>
      <c r="AC58" s="256"/>
      <c r="AD58" s="186"/>
      <c r="AE58" s="182"/>
      <c r="AF58" s="249" t="s">
        <v>385</v>
      </c>
      <c r="AG58" s="250"/>
      <c r="AH58" s="186"/>
      <c r="AI58" s="182"/>
      <c r="AJ58" s="259"/>
      <c r="AK58" s="260"/>
      <c r="AL58" s="186"/>
      <c r="AM58" s="182"/>
      <c r="AN58" s="259"/>
      <c r="AO58" s="260"/>
      <c r="AP58" s="186"/>
      <c r="AQ58" s="182"/>
      <c r="AR58" s="249"/>
      <c r="AS58" s="250"/>
      <c r="AT58" s="186"/>
      <c r="AU58" s="182"/>
      <c r="AV58" s="249"/>
      <c r="AW58" s="250"/>
      <c r="AX58" s="186"/>
    </row>
    <row r="59" spans="1:51">
      <c r="C59" s="182"/>
      <c r="D59" s="249"/>
      <c r="E59" s="250"/>
      <c r="F59" s="184"/>
      <c r="G59" s="182"/>
      <c r="H59" s="249"/>
      <c r="I59" s="250"/>
      <c r="J59" s="186"/>
      <c r="K59" s="182"/>
      <c r="L59" s="249"/>
      <c r="M59" s="250"/>
      <c r="N59" s="186"/>
      <c r="O59" s="182"/>
      <c r="P59" s="249"/>
      <c r="Q59" s="250"/>
      <c r="R59" s="186"/>
      <c r="S59" s="182">
        <v>43236</v>
      </c>
      <c r="T59" s="257" t="s">
        <v>379</v>
      </c>
      <c r="U59" s="258"/>
      <c r="V59" s="186"/>
      <c r="W59" s="182">
        <v>43263</v>
      </c>
      <c r="X59" s="257" t="s">
        <v>379</v>
      </c>
      <c r="Y59" s="258"/>
      <c r="Z59" s="186"/>
      <c r="AA59" s="182"/>
      <c r="AB59" s="257" t="s">
        <v>454</v>
      </c>
      <c r="AC59" s="258"/>
      <c r="AD59" s="186">
        <f>(50*7)-'01'!D13-'03'!E13</f>
        <v>285.02</v>
      </c>
      <c r="AE59" s="182"/>
      <c r="AF59" s="249" t="s">
        <v>386</v>
      </c>
      <c r="AG59" s="250"/>
      <c r="AH59" s="186"/>
      <c r="AI59" s="182"/>
      <c r="AJ59" s="259"/>
      <c r="AK59" s="260"/>
      <c r="AL59" s="186"/>
      <c r="AM59" s="182"/>
      <c r="AN59" s="259"/>
      <c r="AO59" s="260"/>
      <c r="AP59" s="186"/>
      <c r="AQ59" s="182"/>
      <c r="AR59" s="249"/>
      <c r="AS59" s="250"/>
      <c r="AT59" s="186"/>
      <c r="AU59" s="182">
        <v>43189</v>
      </c>
      <c r="AV59" s="249" t="s">
        <v>441</v>
      </c>
      <c r="AW59" s="250"/>
      <c r="AX59" s="186"/>
    </row>
    <row r="60" spans="1:51">
      <c r="C60" s="182"/>
      <c r="D60" s="249"/>
      <c r="E60" s="250"/>
      <c r="F60" s="184"/>
      <c r="G60" s="182"/>
      <c r="H60" s="249"/>
      <c r="I60" s="250"/>
      <c r="J60" s="186"/>
      <c r="K60" s="182"/>
      <c r="L60" s="249"/>
      <c r="M60" s="250"/>
      <c r="N60" s="186"/>
      <c r="O60" s="182"/>
      <c r="P60" s="249"/>
      <c r="Q60" s="250"/>
      <c r="R60" s="186"/>
      <c r="S60" s="182"/>
      <c r="T60" s="257"/>
      <c r="U60" s="258"/>
      <c r="V60" s="186"/>
      <c r="W60" s="182"/>
      <c r="X60" s="259" t="s">
        <v>309</v>
      </c>
      <c r="Y60" s="260"/>
      <c r="Z60" s="186">
        <f>622.46*2</f>
        <v>1244.92</v>
      </c>
      <c r="AA60" s="182"/>
      <c r="AB60" s="259"/>
      <c r="AC60" s="260"/>
      <c r="AD60" s="186"/>
      <c r="AE60" s="182">
        <v>43319</v>
      </c>
      <c r="AF60" s="257" t="s">
        <v>379</v>
      </c>
      <c r="AG60" s="258"/>
      <c r="AH60" s="186"/>
      <c r="AI60" s="182"/>
      <c r="AJ60" s="259"/>
      <c r="AK60" s="260"/>
      <c r="AL60" s="186"/>
      <c r="AM60" s="182"/>
      <c r="AN60" s="259"/>
      <c r="AO60" s="260"/>
      <c r="AP60" s="186"/>
      <c r="AQ60" s="182"/>
      <c r="AR60" s="249"/>
      <c r="AS60" s="250"/>
      <c r="AT60" s="186"/>
      <c r="AU60" s="182"/>
      <c r="AV60" s="249" t="s">
        <v>294</v>
      </c>
      <c r="AW60" s="250"/>
      <c r="AX60" s="186"/>
    </row>
    <row r="61" spans="1:51">
      <c r="C61" s="182"/>
      <c r="D61" s="249"/>
      <c r="E61" s="250"/>
      <c r="F61" s="184"/>
      <c r="G61" s="182"/>
      <c r="H61" s="249"/>
      <c r="I61" s="250"/>
      <c r="J61" s="186"/>
      <c r="K61" s="182"/>
      <c r="L61" s="249"/>
      <c r="M61" s="250"/>
      <c r="N61" s="186"/>
      <c r="O61" s="182"/>
      <c r="P61" s="249"/>
      <c r="Q61" s="250"/>
      <c r="R61" s="186"/>
      <c r="S61" s="182"/>
      <c r="T61" s="257"/>
      <c r="U61" s="258"/>
      <c r="V61" s="186"/>
      <c r="W61" s="182"/>
      <c r="X61" s="259"/>
      <c r="Y61" s="260"/>
      <c r="Z61" s="186"/>
      <c r="AA61" s="182"/>
      <c r="AB61" s="259"/>
      <c r="AC61" s="260"/>
      <c r="AD61" s="186"/>
      <c r="AE61" s="182"/>
      <c r="AF61" s="259"/>
      <c r="AG61" s="260"/>
      <c r="AH61" s="186"/>
      <c r="AI61" s="182"/>
      <c r="AJ61" s="259"/>
      <c r="AK61" s="260"/>
      <c r="AL61" s="186"/>
      <c r="AM61" s="182"/>
      <c r="AN61" s="259"/>
      <c r="AO61" s="260"/>
      <c r="AP61" s="186"/>
      <c r="AQ61" s="182"/>
      <c r="AR61" s="249"/>
      <c r="AS61" s="250"/>
      <c r="AT61" s="186"/>
      <c r="AU61" s="182"/>
      <c r="AV61" s="249" t="s">
        <v>442</v>
      </c>
      <c r="AW61" s="250"/>
      <c r="AX61" s="186"/>
    </row>
    <row r="62" spans="1:51">
      <c r="C62" s="182"/>
      <c r="D62" s="249"/>
      <c r="E62" s="250"/>
      <c r="F62" s="184"/>
      <c r="G62" s="182"/>
      <c r="H62" s="249"/>
      <c r="I62" s="250"/>
      <c r="J62" s="186"/>
      <c r="K62" s="182"/>
      <c r="L62" s="249"/>
      <c r="M62" s="250"/>
      <c r="N62" s="186"/>
      <c r="O62" s="182"/>
      <c r="P62" s="249"/>
      <c r="Q62" s="250"/>
      <c r="R62" s="186"/>
      <c r="S62" s="182"/>
      <c r="T62" s="257"/>
      <c r="U62" s="258"/>
      <c r="V62" s="186"/>
      <c r="W62" s="182"/>
      <c r="X62" s="259"/>
      <c r="Y62" s="260"/>
      <c r="Z62" s="186"/>
      <c r="AA62" s="182"/>
      <c r="AB62" s="259"/>
      <c r="AC62" s="260"/>
      <c r="AD62" s="186"/>
      <c r="AE62" s="182"/>
      <c r="AF62" s="259"/>
      <c r="AG62" s="260"/>
      <c r="AH62" s="186"/>
      <c r="AI62" s="182"/>
      <c r="AJ62" s="259"/>
      <c r="AK62" s="260"/>
      <c r="AL62" s="186"/>
      <c r="AM62" s="182"/>
      <c r="AN62" s="259"/>
      <c r="AO62" s="260"/>
      <c r="AP62" s="186"/>
      <c r="AQ62" s="182"/>
      <c r="AR62" s="249"/>
      <c r="AS62" s="250"/>
      <c r="AT62" s="186"/>
      <c r="AU62" s="182"/>
      <c r="AV62" s="249"/>
      <c r="AW62" s="250"/>
      <c r="AX62" s="186"/>
    </row>
    <row r="63" spans="1:51">
      <c r="C63" s="182"/>
      <c r="D63" s="249"/>
      <c r="E63" s="250"/>
      <c r="F63" s="184"/>
      <c r="G63" s="182"/>
      <c r="H63" s="249"/>
      <c r="I63" s="250"/>
      <c r="J63" s="186"/>
      <c r="K63" s="182"/>
      <c r="L63" s="249"/>
      <c r="M63" s="250"/>
      <c r="N63" s="186"/>
      <c r="O63" s="182"/>
      <c r="P63" s="249"/>
      <c r="Q63" s="250"/>
      <c r="R63" s="186"/>
      <c r="S63" s="182"/>
      <c r="T63" s="257"/>
      <c r="U63" s="258"/>
      <c r="V63" s="186"/>
      <c r="W63" s="182"/>
      <c r="X63" s="259"/>
      <c r="Y63" s="260"/>
      <c r="Z63" s="186"/>
      <c r="AA63" s="182"/>
      <c r="AB63" s="259"/>
      <c r="AC63" s="260"/>
      <c r="AD63" s="186"/>
      <c r="AE63" s="182"/>
      <c r="AF63" s="259"/>
      <c r="AG63" s="260"/>
      <c r="AH63" s="186"/>
      <c r="AI63" s="182"/>
      <c r="AJ63" s="259"/>
      <c r="AK63" s="260"/>
      <c r="AL63" s="186"/>
      <c r="AM63" s="182"/>
      <c r="AN63" s="259"/>
      <c r="AO63" s="260"/>
      <c r="AP63" s="186"/>
      <c r="AQ63" s="182"/>
      <c r="AR63" s="249"/>
      <c r="AS63" s="250"/>
      <c r="AT63" s="186"/>
      <c r="AU63" s="182"/>
      <c r="AV63" s="249"/>
      <c r="AW63" s="250"/>
      <c r="AX63" s="186"/>
    </row>
    <row r="64" spans="1:51">
      <c r="C64" s="182"/>
      <c r="D64" s="249"/>
      <c r="E64" s="250"/>
      <c r="F64" s="184"/>
      <c r="G64" s="182"/>
      <c r="H64" s="249"/>
      <c r="I64" s="250"/>
      <c r="J64" s="186"/>
      <c r="K64" s="182"/>
      <c r="L64" s="249"/>
      <c r="M64" s="250"/>
      <c r="N64" s="186"/>
      <c r="O64" s="182"/>
      <c r="P64" s="249"/>
      <c r="Q64" s="250"/>
      <c r="R64" s="186"/>
      <c r="S64" s="182"/>
      <c r="T64" s="257"/>
      <c r="U64" s="258"/>
      <c r="V64" s="186"/>
      <c r="W64" s="182"/>
      <c r="X64" s="259"/>
      <c r="Y64" s="260"/>
      <c r="Z64" s="186"/>
      <c r="AA64" s="182"/>
      <c r="AB64" s="259"/>
      <c r="AC64" s="260"/>
      <c r="AD64" s="186"/>
      <c r="AE64" s="182"/>
      <c r="AF64" s="259"/>
      <c r="AG64" s="260"/>
      <c r="AH64" s="186"/>
      <c r="AI64" s="182"/>
      <c r="AJ64" s="259"/>
      <c r="AK64" s="260"/>
      <c r="AL64" s="186"/>
      <c r="AM64" s="182"/>
      <c r="AN64" s="259"/>
      <c r="AO64" s="260"/>
      <c r="AP64" s="186"/>
      <c r="AQ64" s="182"/>
      <c r="AR64" s="249"/>
      <c r="AS64" s="250"/>
      <c r="AT64" s="186"/>
      <c r="AU64" s="182"/>
      <c r="AV64" s="249"/>
      <c r="AW64" s="250"/>
      <c r="AX64" s="186"/>
    </row>
    <row r="65" spans="3:50">
      <c r="C65" s="182"/>
      <c r="D65" s="249"/>
      <c r="E65" s="250"/>
      <c r="F65" s="184"/>
      <c r="G65" s="182"/>
      <c r="H65" s="249"/>
      <c r="I65" s="250"/>
      <c r="J65" s="186"/>
      <c r="K65" s="182"/>
      <c r="L65" s="249"/>
      <c r="M65" s="250"/>
      <c r="N65" s="186"/>
      <c r="O65" s="182"/>
      <c r="P65" s="249"/>
      <c r="Q65" s="250"/>
      <c r="R65" s="186"/>
      <c r="S65" s="182"/>
      <c r="T65" s="257"/>
      <c r="U65" s="258"/>
      <c r="V65" s="186"/>
      <c r="W65" s="182"/>
      <c r="X65" s="259"/>
      <c r="Y65" s="260"/>
      <c r="Z65" s="186"/>
      <c r="AA65" s="182"/>
      <c r="AB65" s="259"/>
      <c r="AC65" s="260"/>
      <c r="AD65" s="186"/>
      <c r="AE65" s="182"/>
      <c r="AF65" s="259"/>
      <c r="AG65" s="260"/>
      <c r="AH65" s="186"/>
      <c r="AI65" s="182"/>
      <c r="AJ65" s="259"/>
      <c r="AK65" s="260"/>
      <c r="AL65" s="186"/>
      <c r="AM65" s="182"/>
      <c r="AN65" s="259"/>
      <c r="AO65" s="260"/>
      <c r="AP65" s="186"/>
      <c r="AQ65" s="182"/>
      <c r="AR65" s="249"/>
      <c r="AS65" s="250"/>
      <c r="AT65" s="186"/>
      <c r="AU65" s="182"/>
      <c r="AV65" s="249"/>
      <c r="AW65" s="250"/>
      <c r="AX65" s="186"/>
    </row>
    <row r="66" spans="3:50">
      <c r="C66" s="182"/>
      <c r="D66" s="249"/>
      <c r="E66" s="250"/>
      <c r="F66" s="184"/>
      <c r="G66" s="182"/>
      <c r="H66" s="249"/>
      <c r="I66" s="250"/>
      <c r="J66" s="186"/>
      <c r="K66" s="182"/>
      <c r="L66" s="249"/>
      <c r="M66" s="250"/>
      <c r="N66" s="186"/>
      <c r="O66" s="182"/>
      <c r="P66" s="249"/>
      <c r="Q66" s="250"/>
      <c r="R66" s="186"/>
      <c r="S66" s="182"/>
      <c r="T66" s="259"/>
      <c r="U66" s="260"/>
      <c r="V66" s="186"/>
      <c r="W66" s="182"/>
      <c r="X66" s="259"/>
      <c r="Y66" s="260"/>
      <c r="Z66" s="186"/>
      <c r="AA66" s="182"/>
      <c r="AB66" s="259"/>
      <c r="AC66" s="260"/>
      <c r="AD66" s="186"/>
      <c r="AE66" s="182"/>
      <c r="AF66" s="259"/>
      <c r="AG66" s="260"/>
      <c r="AH66" s="186"/>
      <c r="AI66" s="182"/>
      <c r="AJ66" s="259"/>
      <c r="AK66" s="260"/>
      <c r="AL66" s="186"/>
      <c r="AM66" s="182"/>
      <c r="AN66" s="259"/>
      <c r="AO66" s="260"/>
      <c r="AP66" s="186"/>
      <c r="AQ66" s="182"/>
      <c r="AR66" s="249"/>
      <c r="AS66" s="250"/>
      <c r="AT66" s="186"/>
      <c r="AU66" s="182"/>
      <c r="AV66" s="249"/>
      <c r="AW66" s="250"/>
      <c r="AX66" s="186"/>
    </row>
    <row r="67" spans="3:50">
      <c r="C67" s="182"/>
      <c r="D67" s="249"/>
      <c r="E67" s="250"/>
      <c r="F67" s="184"/>
      <c r="G67" s="182"/>
      <c r="H67" s="249"/>
      <c r="I67" s="250"/>
      <c r="J67" s="186"/>
      <c r="K67" s="182"/>
      <c r="L67" s="249"/>
      <c r="M67" s="250"/>
      <c r="N67" s="186"/>
      <c r="O67" s="182"/>
      <c r="P67" s="249"/>
      <c r="Q67" s="250"/>
      <c r="R67" s="186"/>
      <c r="S67" s="182"/>
      <c r="T67" s="259"/>
      <c r="U67" s="260"/>
      <c r="V67" s="186"/>
      <c r="W67" s="182"/>
      <c r="X67" s="259"/>
      <c r="Y67" s="260"/>
      <c r="Z67" s="186"/>
      <c r="AA67" s="182"/>
      <c r="AB67" s="259"/>
      <c r="AC67" s="260"/>
      <c r="AD67" s="186"/>
      <c r="AE67" s="182"/>
      <c r="AF67" s="259"/>
      <c r="AG67" s="260"/>
      <c r="AH67" s="186"/>
      <c r="AI67" s="182"/>
      <c r="AJ67" s="259"/>
      <c r="AK67" s="260"/>
      <c r="AL67" s="186"/>
      <c r="AM67" s="182"/>
      <c r="AN67" s="259"/>
      <c r="AO67" s="260"/>
      <c r="AP67" s="186"/>
      <c r="AQ67" s="182"/>
      <c r="AR67" s="249"/>
      <c r="AS67" s="250"/>
      <c r="AT67" s="186"/>
      <c r="AU67" s="182"/>
      <c r="AV67" s="249"/>
      <c r="AW67" s="250"/>
      <c r="AX67" s="186"/>
    </row>
    <row r="68" spans="3:50">
      <c r="C68" s="182"/>
      <c r="D68" s="249"/>
      <c r="E68" s="250"/>
      <c r="F68" s="184"/>
      <c r="G68" s="182"/>
      <c r="H68" s="249"/>
      <c r="I68" s="250"/>
      <c r="J68" s="186"/>
      <c r="K68" s="182"/>
      <c r="L68" s="249"/>
      <c r="M68" s="250"/>
      <c r="N68" s="186"/>
      <c r="O68" s="182"/>
      <c r="P68" s="249"/>
      <c r="Q68" s="250"/>
      <c r="R68" s="186"/>
      <c r="S68" s="182"/>
      <c r="T68" s="259"/>
      <c r="U68" s="260"/>
      <c r="V68" s="186"/>
      <c r="W68" s="182"/>
      <c r="X68" s="259"/>
      <c r="Y68" s="260"/>
      <c r="Z68" s="186"/>
      <c r="AA68" s="182"/>
      <c r="AB68" s="259"/>
      <c r="AC68" s="260"/>
      <c r="AD68" s="186"/>
      <c r="AE68" s="182"/>
      <c r="AF68" s="259"/>
      <c r="AG68" s="260"/>
      <c r="AH68" s="186"/>
      <c r="AI68" s="182"/>
      <c r="AJ68" s="259"/>
      <c r="AK68" s="260"/>
      <c r="AL68" s="186"/>
      <c r="AM68" s="182"/>
      <c r="AN68" s="259"/>
      <c r="AO68" s="260"/>
      <c r="AP68" s="186"/>
      <c r="AQ68" s="182"/>
      <c r="AR68" s="249"/>
      <c r="AS68" s="250"/>
      <c r="AT68" s="186"/>
      <c r="AU68" s="182"/>
      <c r="AV68" s="249"/>
      <c r="AW68" s="250"/>
      <c r="AX68" s="186"/>
    </row>
    <row r="69" spans="3:50">
      <c r="C69" s="182"/>
      <c r="D69" s="249"/>
      <c r="E69" s="250"/>
      <c r="F69" s="184"/>
      <c r="G69" s="182"/>
      <c r="H69" s="249"/>
      <c r="I69" s="250"/>
      <c r="J69" s="186"/>
      <c r="K69" s="182"/>
      <c r="L69" s="249"/>
      <c r="M69" s="250"/>
      <c r="N69" s="186"/>
      <c r="O69" s="182"/>
      <c r="P69" s="249"/>
      <c r="Q69" s="250"/>
      <c r="R69" s="186"/>
      <c r="S69" s="182"/>
      <c r="T69" s="259"/>
      <c r="U69" s="260"/>
      <c r="V69" s="186"/>
      <c r="W69" s="182"/>
      <c r="X69" s="259"/>
      <c r="Y69" s="260"/>
      <c r="Z69" s="186"/>
      <c r="AA69" s="182"/>
      <c r="AB69" s="259"/>
      <c r="AC69" s="260"/>
      <c r="AD69" s="186"/>
      <c r="AE69" s="182"/>
      <c r="AF69" s="259"/>
      <c r="AG69" s="260"/>
      <c r="AH69" s="186"/>
      <c r="AI69" s="182"/>
      <c r="AJ69" s="259"/>
      <c r="AK69" s="260"/>
      <c r="AL69" s="186"/>
      <c r="AM69" s="182"/>
      <c r="AN69" s="259"/>
      <c r="AO69" s="260"/>
      <c r="AP69" s="186"/>
      <c r="AQ69" s="182"/>
      <c r="AR69" s="249"/>
      <c r="AS69" s="250"/>
      <c r="AT69" s="186"/>
      <c r="AU69" s="182"/>
      <c r="AV69" s="249"/>
      <c r="AW69" s="250"/>
      <c r="AX69" s="186"/>
    </row>
    <row r="70" spans="3:50">
      <c r="C70" s="182"/>
      <c r="D70" s="249"/>
      <c r="E70" s="250"/>
      <c r="F70" s="184"/>
      <c r="G70" s="182"/>
      <c r="H70" s="249"/>
      <c r="I70" s="250"/>
      <c r="J70" s="186"/>
      <c r="K70" s="182"/>
      <c r="L70" s="249"/>
      <c r="M70" s="250"/>
      <c r="N70" s="186"/>
      <c r="O70" s="182"/>
      <c r="P70" s="249"/>
      <c r="Q70" s="250"/>
      <c r="R70" s="186"/>
      <c r="S70" s="182"/>
      <c r="T70" s="259"/>
      <c r="U70" s="260"/>
      <c r="V70" s="186"/>
      <c r="W70" s="182"/>
      <c r="X70" s="249" t="s">
        <v>432</v>
      </c>
      <c r="Y70" s="250"/>
      <c r="Z70" s="186">
        <f>3289.11+270.87</f>
        <v>3559.98</v>
      </c>
      <c r="AA70" s="182"/>
      <c r="AB70" s="259"/>
      <c r="AC70" s="260"/>
      <c r="AD70" s="186"/>
      <c r="AE70" s="182"/>
      <c r="AF70" s="259"/>
      <c r="AG70" s="260"/>
      <c r="AH70" s="186"/>
      <c r="AI70" s="182"/>
      <c r="AJ70" s="259"/>
      <c r="AK70" s="260"/>
      <c r="AL70" s="186"/>
      <c r="AM70" s="182"/>
      <c r="AN70" s="259"/>
      <c r="AO70" s="260"/>
      <c r="AP70" s="186"/>
      <c r="AQ70" s="182"/>
      <c r="AR70" s="249"/>
      <c r="AS70" s="250"/>
      <c r="AT70" s="186"/>
      <c r="AU70" s="182"/>
      <c r="AV70" s="249"/>
      <c r="AW70" s="250"/>
      <c r="AX70" s="186"/>
    </row>
    <row r="71" spans="3:50" ht="15.75" thickBot="1">
      <c r="C71" s="183"/>
      <c r="D71" s="247"/>
      <c r="E71" s="248"/>
      <c r="F71" s="185"/>
      <c r="G71" s="183"/>
      <c r="H71" s="247"/>
      <c r="I71" s="248"/>
      <c r="J71" s="187"/>
      <c r="K71" s="183"/>
      <c r="L71" s="247"/>
      <c r="M71" s="248"/>
      <c r="N71" s="187"/>
      <c r="O71" s="183"/>
      <c r="P71" s="247"/>
      <c r="Q71" s="248"/>
      <c r="R71" s="187"/>
      <c r="S71" s="183"/>
      <c r="T71" s="261"/>
      <c r="U71" s="262"/>
      <c r="V71" s="187"/>
      <c r="W71" s="183"/>
      <c r="X71" s="263" t="s">
        <v>433</v>
      </c>
      <c r="Y71" s="264"/>
      <c r="Z71" s="187">
        <f>Z70-1484.91-429.89</f>
        <v>1645.1799999999998</v>
      </c>
      <c r="AA71" s="183"/>
      <c r="AB71" s="261"/>
      <c r="AC71" s="262"/>
      <c r="AD71" s="187">
        <f>550-161.56</f>
        <v>388.44</v>
      </c>
      <c r="AE71" s="183"/>
      <c r="AF71" s="261"/>
      <c r="AG71" s="262"/>
      <c r="AH71" s="187"/>
      <c r="AI71" s="183"/>
      <c r="AJ71" s="261"/>
      <c r="AK71" s="262"/>
      <c r="AL71" s="187"/>
      <c r="AM71" s="183"/>
      <c r="AN71" s="261"/>
      <c r="AO71" s="262"/>
      <c r="AP71" s="187"/>
      <c r="AQ71" s="183"/>
      <c r="AR71" s="247"/>
      <c r="AS71" s="248"/>
      <c r="AT71" s="187"/>
      <c r="AU71" s="183"/>
      <c r="AV71" s="247"/>
      <c r="AW71" s="248"/>
      <c r="AX71" s="187"/>
    </row>
    <row r="72" spans="3:50">
      <c r="Z72">
        <f>Z71/Z70</f>
        <v>0.46213180972926809</v>
      </c>
    </row>
    <row r="75" spans="3:50">
      <c r="Z75" s="201"/>
    </row>
  </sheetData>
  <mergeCells count="408">
    <mergeCell ref="AV70:AW70"/>
    <mergeCell ref="AV71:AW71"/>
    <mergeCell ref="AV61:AW61"/>
    <mergeCell ref="AV62:AW62"/>
    <mergeCell ref="AV63:AW63"/>
    <mergeCell ref="AV64:AW64"/>
    <mergeCell ref="AV65:AW65"/>
    <mergeCell ref="AV66:AW66"/>
    <mergeCell ref="AV67:AW67"/>
    <mergeCell ref="AV68:AW68"/>
    <mergeCell ref="AV69:AW69"/>
    <mergeCell ref="AU52:AX52"/>
    <mergeCell ref="AV53:AW53"/>
    <mergeCell ref="AV54:AW54"/>
    <mergeCell ref="AV55:AW55"/>
    <mergeCell ref="AV56:AW56"/>
    <mergeCell ref="AV57:AW57"/>
    <mergeCell ref="AV58:AW58"/>
    <mergeCell ref="AV59:AW59"/>
    <mergeCell ref="AV60:AW60"/>
    <mergeCell ref="AN70:AO70"/>
    <mergeCell ref="AN71:AO71"/>
    <mergeCell ref="AQ52:AT52"/>
    <mergeCell ref="AR53:AS53"/>
    <mergeCell ref="AR54:AS54"/>
    <mergeCell ref="AR55:AS55"/>
    <mergeCell ref="AR56:AS56"/>
    <mergeCell ref="AR57:AS57"/>
    <mergeCell ref="AR58:AS58"/>
    <mergeCell ref="AR59:AS59"/>
    <mergeCell ref="AR60:AS60"/>
    <mergeCell ref="AR61:AS61"/>
    <mergeCell ref="AR62:AS62"/>
    <mergeCell ref="AR63:AS63"/>
    <mergeCell ref="AR64:AS64"/>
    <mergeCell ref="AR65:AS65"/>
    <mergeCell ref="AR66:AS66"/>
    <mergeCell ref="AR67:AS67"/>
    <mergeCell ref="AR68:AS68"/>
    <mergeCell ref="AR69:AS69"/>
    <mergeCell ref="AR70:AS70"/>
    <mergeCell ref="AR71:AS71"/>
    <mergeCell ref="AN61:AO61"/>
    <mergeCell ref="AN62:AO62"/>
    <mergeCell ref="AN63:AO63"/>
    <mergeCell ref="AN64:AO64"/>
    <mergeCell ref="AN65:AO65"/>
    <mergeCell ref="AN66:AO66"/>
    <mergeCell ref="AN67:AO67"/>
    <mergeCell ref="AN68:AO68"/>
    <mergeCell ref="AN69:AO69"/>
    <mergeCell ref="AM52:AP52"/>
    <mergeCell ref="AN53:AO53"/>
    <mergeCell ref="AN54:AO54"/>
    <mergeCell ref="AN55:AO55"/>
    <mergeCell ref="AN56:AO56"/>
    <mergeCell ref="AN57:AO57"/>
    <mergeCell ref="AN58:AO58"/>
    <mergeCell ref="AN59:AO59"/>
    <mergeCell ref="AN60:AO60"/>
    <mergeCell ref="AF70:AG70"/>
    <mergeCell ref="AF71:AG71"/>
    <mergeCell ref="AI52:AL52"/>
    <mergeCell ref="AJ53:AK53"/>
    <mergeCell ref="AJ54:AK54"/>
    <mergeCell ref="AJ55:AK55"/>
    <mergeCell ref="AJ56:AK56"/>
    <mergeCell ref="AJ57:AK57"/>
    <mergeCell ref="AJ58:AK58"/>
    <mergeCell ref="AJ59:AK59"/>
    <mergeCell ref="AJ60:AK60"/>
    <mergeCell ref="AJ61:AK61"/>
    <mergeCell ref="AJ62:AK62"/>
    <mergeCell ref="AJ63:AK63"/>
    <mergeCell ref="AJ64:AK64"/>
    <mergeCell ref="AJ65:AK65"/>
    <mergeCell ref="AJ66:AK66"/>
    <mergeCell ref="AJ67:AK67"/>
    <mergeCell ref="AJ68:AK68"/>
    <mergeCell ref="AJ69:AK69"/>
    <mergeCell ref="AJ70:AK70"/>
    <mergeCell ref="AJ71:AK71"/>
    <mergeCell ref="AF61:AG61"/>
    <mergeCell ref="AF62:AG62"/>
    <mergeCell ref="AF63:AG63"/>
    <mergeCell ref="AF64:AG64"/>
    <mergeCell ref="AF65:AG65"/>
    <mergeCell ref="AF66:AG66"/>
    <mergeCell ref="AF67:AG67"/>
    <mergeCell ref="AF68:AG68"/>
    <mergeCell ref="AF69:AG69"/>
    <mergeCell ref="AE52:AH52"/>
    <mergeCell ref="AF53:AG53"/>
    <mergeCell ref="AF54:AG54"/>
    <mergeCell ref="AF55:AG55"/>
    <mergeCell ref="AF56:AG56"/>
    <mergeCell ref="AF57:AG57"/>
    <mergeCell ref="AF58:AG58"/>
    <mergeCell ref="AF59:AG59"/>
    <mergeCell ref="AF60:AG60"/>
    <mergeCell ref="X70:Y70"/>
    <mergeCell ref="X71:Y71"/>
    <mergeCell ref="AA52:AD52"/>
    <mergeCell ref="AB53:AC53"/>
    <mergeCell ref="AB54:AC54"/>
    <mergeCell ref="AB55:AC55"/>
    <mergeCell ref="AB56:AC56"/>
    <mergeCell ref="AB57:AC57"/>
    <mergeCell ref="AB58:AC58"/>
    <mergeCell ref="AB59:AC59"/>
    <mergeCell ref="AB60:AC60"/>
    <mergeCell ref="AB61:AC61"/>
    <mergeCell ref="AB62:AC62"/>
    <mergeCell ref="AB63:AC63"/>
    <mergeCell ref="AB64:AC64"/>
    <mergeCell ref="AB65:AC65"/>
    <mergeCell ref="AB66:AC66"/>
    <mergeCell ref="AB67:AC67"/>
    <mergeCell ref="AB68:AC68"/>
    <mergeCell ref="AB69:AC69"/>
    <mergeCell ref="AB70:AC70"/>
    <mergeCell ref="AB71:AC71"/>
    <mergeCell ref="X61:Y61"/>
    <mergeCell ref="X62:Y62"/>
    <mergeCell ref="X63:Y63"/>
    <mergeCell ref="X64:Y64"/>
    <mergeCell ref="X65:Y65"/>
    <mergeCell ref="X66:Y66"/>
    <mergeCell ref="X67:Y67"/>
    <mergeCell ref="X68:Y68"/>
    <mergeCell ref="X69:Y69"/>
    <mergeCell ref="W52:Z52"/>
    <mergeCell ref="X53:Y53"/>
    <mergeCell ref="X54:Y54"/>
    <mergeCell ref="X55:Y55"/>
    <mergeCell ref="X56:Y56"/>
    <mergeCell ref="X57:Y57"/>
    <mergeCell ref="X58:Y58"/>
    <mergeCell ref="X59:Y59"/>
    <mergeCell ref="X60:Y60"/>
    <mergeCell ref="P70:Q70"/>
    <mergeCell ref="P71:Q71"/>
    <mergeCell ref="S52:V52"/>
    <mergeCell ref="T53:U53"/>
    <mergeCell ref="T54:U54"/>
    <mergeCell ref="T55:U55"/>
    <mergeCell ref="T56:U56"/>
    <mergeCell ref="T57:U57"/>
    <mergeCell ref="T58:U58"/>
    <mergeCell ref="T59:U59"/>
    <mergeCell ref="T60:U60"/>
    <mergeCell ref="T61:U61"/>
    <mergeCell ref="T62:U62"/>
    <mergeCell ref="T63:U63"/>
    <mergeCell ref="T64:U64"/>
    <mergeCell ref="T65:U65"/>
    <mergeCell ref="T66:U66"/>
    <mergeCell ref="T67:U67"/>
    <mergeCell ref="T68:U68"/>
    <mergeCell ref="T69:U69"/>
    <mergeCell ref="T70:U70"/>
    <mergeCell ref="T71:U71"/>
    <mergeCell ref="P61:Q61"/>
    <mergeCell ref="P62:Q62"/>
    <mergeCell ref="P63:Q63"/>
    <mergeCell ref="P64:Q64"/>
    <mergeCell ref="P65:Q65"/>
    <mergeCell ref="P66:Q66"/>
    <mergeCell ref="P67:Q67"/>
    <mergeCell ref="P68:Q68"/>
    <mergeCell ref="P69:Q69"/>
    <mergeCell ref="O52:R52"/>
    <mergeCell ref="P53:Q53"/>
    <mergeCell ref="P54:Q54"/>
    <mergeCell ref="P55:Q55"/>
    <mergeCell ref="P56:Q56"/>
    <mergeCell ref="P57:Q57"/>
    <mergeCell ref="P58:Q58"/>
    <mergeCell ref="P59:Q59"/>
    <mergeCell ref="P60:Q60"/>
    <mergeCell ref="H70:I70"/>
    <mergeCell ref="H71:I71"/>
    <mergeCell ref="K52:N52"/>
    <mergeCell ref="L53:M53"/>
    <mergeCell ref="L54:M54"/>
    <mergeCell ref="L55:M55"/>
    <mergeCell ref="L56:M56"/>
    <mergeCell ref="L57:M57"/>
    <mergeCell ref="L58:M58"/>
    <mergeCell ref="L59:M59"/>
    <mergeCell ref="L60:M60"/>
    <mergeCell ref="L61:M61"/>
    <mergeCell ref="L62:M62"/>
    <mergeCell ref="L63:M63"/>
    <mergeCell ref="L64:M64"/>
    <mergeCell ref="L65:M65"/>
    <mergeCell ref="L66:M66"/>
    <mergeCell ref="L67:M67"/>
    <mergeCell ref="L68:M68"/>
    <mergeCell ref="L69:M69"/>
    <mergeCell ref="L70:M70"/>
    <mergeCell ref="L71:M71"/>
    <mergeCell ref="H61:I61"/>
    <mergeCell ref="H62:I62"/>
    <mergeCell ref="H63:I63"/>
    <mergeCell ref="H64:I64"/>
    <mergeCell ref="H65:I65"/>
    <mergeCell ref="H66:I66"/>
    <mergeCell ref="H67:I67"/>
    <mergeCell ref="H68:I68"/>
    <mergeCell ref="H69:I69"/>
    <mergeCell ref="G52:J52"/>
    <mergeCell ref="H53:I53"/>
    <mergeCell ref="H54:I54"/>
    <mergeCell ref="H55:I55"/>
    <mergeCell ref="H56:I56"/>
    <mergeCell ref="H57:I57"/>
    <mergeCell ref="H58:I58"/>
    <mergeCell ref="H59:I59"/>
    <mergeCell ref="H60:I60"/>
    <mergeCell ref="C52:F52"/>
    <mergeCell ref="D53:E53"/>
    <mergeCell ref="D54:E54"/>
    <mergeCell ref="D71:E71"/>
    <mergeCell ref="D70:E70"/>
    <mergeCell ref="D55:E55"/>
    <mergeCell ref="D56:E56"/>
    <mergeCell ref="D57:E57"/>
    <mergeCell ref="D58:E58"/>
    <mergeCell ref="D59:E59"/>
    <mergeCell ref="D60:E60"/>
    <mergeCell ref="D61:E61"/>
    <mergeCell ref="D62:E62"/>
    <mergeCell ref="D63:E63"/>
    <mergeCell ref="D64:E64"/>
    <mergeCell ref="D65:E65"/>
    <mergeCell ref="D66:E66"/>
    <mergeCell ref="D67:E67"/>
    <mergeCell ref="D68:E68"/>
    <mergeCell ref="D69:E69"/>
    <mergeCell ref="AI17:AL17"/>
    <mergeCell ref="AM17:AP17"/>
    <mergeCell ref="AQ17:AT17"/>
    <mergeCell ref="AU17:AX17"/>
    <mergeCell ref="O18:R18"/>
    <mergeCell ref="K18:N18"/>
    <mergeCell ref="G18:J18"/>
    <mergeCell ref="C18:F18"/>
    <mergeCell ref="C17:F17"/>
    <mergeCell ref="G17:J17"/>
    <mergeCell ref="K17:N17"/>
    <mergeCell ref="O17:R17"/>
    <mergeCell ref="S17:V17"/>
    <mergeCell ref="AI18:AL18"/>
    <mergeCell ref="AE18:AH18"/>
    <mergeCell ref="AA18:AD18"/>
    <mergeCell ref="W18:Z18"/>
    <mergeCell ref="S18:V18"/>
    <mergeCell ref="AM18:AP18"/>
    <mergeCell ref="W17:Z17"/>
    <mergeCell ref="AA17:AD17"/>
    <mergeCell ref="AU18:AX18"/>
    <mergeCell ref="AQ18:AT18"/>
    <mergeCell ref="C16:F16"/>
    <mergeCell ref="G16:J16"/>
    <mergeCell ref="K16:N16"/>
    <mergeCell ref="O16:R16"/>
    <mergeCell ref="S16:V16"/>
    <mergeCell ref="W16:Z16"/>
    <mergeCell ref="AA16:AD16"/>
    <mergeCell ref="AE16:AH16"/>
    <mergeCell ref="AE17:AH17"/>
    <mergeCell ref="AU15:AX15"/>
    <mergeCell ref="AI16:AL16"/>
    <mergeCell ref="AM16:AP16"/>
    <mergeCell ref="AQ16:AT16"/>
    <mergeCell ref="AU16:AX16"/>
    <mergeCell ref="AI12:AL12"/>
    <mergeCell ref="AM12:AP12"/>
    <mergeCell ref="AQ12:AT12"/>
    <mergeCell ref="AU12:AX12"/>
    <mergeCell ref="AI13:AL13"/>
    <mergeCell ref="AM13:AP13"/>
    <mergeCell ref="AQ13:AT13"/>
    <mergeCell ref="AU13:AX13"/>
    <mergeCell ref="AI14:AL14"/>
    <mergeCell ref="AM14:AP14"/>
    <mergeCell ref="AQ14:AT14"/>
    <mergeCell ref="AU14:AX14"/>
    <mergeCell ref="AI15:AL15"/>
    <mergeCell ref="AM15:AP15"/>
    <mergeCell ref="AQ15:AT15"/>
    <mergeCell ref="AM9:AP9"/>
    <mergeCell ref="AQ9:AT9"/>
    <mergeCell ref="AU9:AX9"/>
    <mergeCell ref="AI10:AL10"/>
    <mergeCell ref="AM10:AP10"/>
    <mergeCell ref="AQ10:AT10"/>
    <mergeCell ref="AU10:AX10"/>
    <mergeCell ref="AI11:AL11"/>
    <mergeCell ref="AM11:AP11"/>
    <mergeCell ref="AQ11:AT11"/>
    <mergeCell ref="AU11:AX11"/>
    <mergeCell ref="AM4:AP4"/>
    <mergeCell ref="AQ4:AT4"/>
    <mergeCell ref="AU4:AX4"/>
    <mergeCell ref="AI7:AL7"/>
    <mergeCell ref="AM7:AP7"/>
    <mergeCell ref="AQ7:AT7"/>
    <mergeCell ref="AU7:AX7"/>
    <mergeCell ref="AI8:AL8"/>
    <mergeCell ref="AM8:AP8"/>
    <mergeCell ref="AQ8:AT8"/>
    <mergeCell ref="AU8:AX8"/>
    <mergeCell ref="AU5:AX5"/>
    <mergeCell ref="AI5:AL5"/>
    <mergeCell ref="AM5:AP5"/>
    <mergeCell ref="AQ5:AT5"/>
    <mergeCell ref="S14:V14"/>
    <mergeCell ref="W14:Z14"/>
    <mergeCell ref="AA14:AD14"/>
    <mergeCell ref="AE14:AH14"/>
    <mergeCell ref="S12:V12"/>
    <mergeCell ref="W12:Z12"/>
    <mergeCell ref="AA12:AD12"/>
    <mergeCell ref="AE12:AH12"/>
    <mergeCell ref="AI4:AL4"/>
    <mergeCell ref="AI9:AL9"/>
    <mergeCell ref="S4:V4"/>
    <mergeCell ref="W4:Z4"/>
    <mergeCell ref="AA4:AD4"/>
    <mergeCell ref="AE4:AH4"/>
    <mergeCell ref="S7:V7"/>
    <mergeCell ref="W7:Z7"/>
    <mergeCell ref="AA7:AD7"/>
    <mergeCell ref="AE7:AH7"/>
    <mergeCell ref="S8:V8"/>
    <mergeCell ref="W8:Z8"/>
    <mergeCell ref="AA8:AD8"/>
    <mergeCell ref="AE8:AH8"/>
    <mergeCell ref="S5:V5"/>
    <mergeCell ref="W5:Z5"/>
    <mergeCell ref="AA5:AD5"/>
    <mergeCell ref="AE5:AH5"/>
    <mergeCell ref="K4:N4"/>
    <mergeCell ref="O4:R4"/>
    <mergeCell ref="K7:N7"/>
    <mergeCell ref="K8:N8"/>
    <mergeCell ref="K9:N9"/>
    <mergeCell ref="K10:N10"/>
    <mergeCell ref="K11:N11"/>
    <mergeCell ref="K5:N5"/>
    <mergeCell ref="O5:R5"/>
    <mergeCell ref="K12:N12"/>
    <mergeCell ref="K13:N13"/>
    <mergeCell ref="O7:R7"/>
    <mergeCell ref="O8:R8"/>
    <mergeCell ref="O9:R9"/>
    <mergeCell ref="O10:R10"/>
    <mergeCell ref="O11:R11"/>
    <mergeCell ref="O12:R12"/>
    <mergeCell ref="O13:R13"/>
    <mergeCell ref="G4:J4"/>
    <mergeCell ref="C4:F4"/>
    <mergeCell ref="C9:F9"/>
    <mergeCell ref="C10:F10"/>
    <mergeCell ref="C11:F11"/>
    <mergeCell ref="C12:F12"/>
    <mergeCell ref="C13:F13"/>
    <mergeCell ref="C14:F14"/>
    <mergeCell ref="C15:F15"/>
    <mergeCell ref="G10:J10"/>
    <mergeCell ref="G11:J11"/>
    <mergeCell ref="G12:J12"/>
    <mergeCell ref="G13:J13"/>
    <mergeCell ref="G14:J14"/>
    <mergeCell ref="G15:J15"/>
    <mergeCell ref="G5:J5"/>
    <mergeCell ref="G7:J7"/>
    <mergeCell ref="G8:J8"/>
    <mergeCell ref="C8:F8"/>
    <mergeCell ref="C7:F7"/>
    <mergeCell ref="C5:F5"/>
    <mergeCell ref="G9:J9"/>
    <mergeCell ref="K14:N14"/>
    <mergeCell ref="K15:N15"/>
    <mergeCell ref="S9:V9"/>
    <mergeCell ref="W9:Z9"/>
    <mergeCell ref="AA9:AD9"/>
    <mergeCell ref="AE9:AH9"/>
    <mergeCell ref="S10:V10"/>
    <mergeCell ref="W10:Z10"/>
    <mergeCell ref="AA10:AD10"/>
    <mergeCell ref="AE10:AH10"/>
    <mergeCell ref="S11:V11"/>
    <mergeCell ref="O14:R14"/>
    <mergeCell ref="O15:R15"/>
    <mergeCell ref="S15:V15"/>
    <mergeCell ref="W15:Z15"/>
    <mergeCell ref="AA15:AD15"/>
    <mergeCell ref="AE15:AH15"/>
    <mergeCell ref="W11:Z11"/>
    <mergeCell ref="AA11:AD11"/>
    <mergeCell ref="AE11:AH11"/>
    <mergeCell ref="S13:V13"/>
    <mergeCell ref="W13:Z13"/>
    <mergeCell ref="AA13:AD13"/>
    <mergeCell ref="AE13:AH13"/>
  </mergeCells>
  <hyperlinks>
    <hyperlink ref="C20" location="'01'!B2:G20" display="ENERO" xr:uid="{00000000-0004-0000-0000-000000000000}"/>
    <hyperlink ref="C21" location="'01'!B22:G40" display="ENERO" xr:uid="{00000000-0004-0000-0000-000001000000}"/>
    <hyperlink ref="C22" location="'01'!B42:G60" display="ENERO" xr:uid="{00000000-0004-0000-0000-000002000000}"/>
    <hyperlink ref="C25" location="'01'!B102:G120" display="ENERO" xr:uid="{00000000-0004-0000-0000-000003000000}"/>
    <hyperlink ref="C27" location="'01'!B142:G160" display="ENERO" xr:uid="{00000000-0004-0000-0000-000004000000}"/>
    <hyperlink ref="C29" location="'01'!B182:G200" display="ENERO" xr:uid="{00000000-0004-0000-0000-000005000000}"/>
    <hyperlink ref="C31" location="'01'!B222:G240" display="ENERO" xr:uid="{00000000-0004-0000-0000-000006000000}"/>
    <hyperlink ref="C33" location="'01'!B262:G280" display="ENERO" xr:uid="{00000000-0004-0000-0000-000007000000}"/>
    <hyperlink ref="C35" location="'01'!B302:G320" display="ENERO" xr:uid="{00000000-0004-0000-0000-000008000000}"/>
    <hyperlink ref="C37" location="'01'!B342:G360" display="ENERO" xr:uid="{00000000-0004-0000-0000-000009000000}"/>
    <hyperlink ref="C39" location="'01'!B382:G400" display="ENERO" xr:uid="{00000000-0004-0000-0000-00000A000000}"/>
    <hyperlink ref="C41" location="'01'!B422:G440" display="ENERO" xr:uid="{00000000-0004-0000-0000-00000B000000}"/>
    <hyperlink ref="C43" location="'01'!B462:G480" display="ENERO" xr:uid="{00000000-0004-0000-0000-00000C000000}"/>
    <hyperlink ref="C26" location="'01'!B122:G140" display="ENERO" xr:uid="{00000000-0004-0000-0000-00000D000000}"/>
    <hyperlink ref="C30" location="'01'!B202:G220" display="ENERO" xr:uid="{00000000-0004-0000-0000-00000E000000}"/>
    <hyperlink ref="C32" location="'01'!B242:G260" display="ENERO" xr:uid="{00000000-0004-0000-0000-00000F000000}"/>
    <hyperlink ref="C34" location="'01'!B282:G300" display="ENERO" xr:uid="{00000000-0004-0000-0000-000010000000}"/>
    <hyperlink ref="C38" location="'01'!B362:G380" display="ENERO" xr:uid="{00000000-0004-0000-0000-000011000000}"/>
    <hyperlink ref="C40" location="'01'!B402:G420" display="ENERO" xr:uid="{00000000-0004-0000-0000-000012000000}"/>
    <hyperlink ref="C42" location="'01'!B442:G460" display="ENERO" xr:uid="{00000000-0004-0000-0000-000013000000}"/>
    <hyperlink ref="C36" location="'01'!B322:G340" display="ENERO" xr:uid="{00000000-0004-0000-0000-000014000000}"/>
    <hyperlink ref="C28" location="'01'!B162:G180" display="ENERO" xr:uid="{00000000-0004-0000-0000-000015000000}"/>
    <hyperlink ref="C45" location="'01'!B502:G520" display="ENERO" xr:uid="{00000000-0004-0000-0000-000016000000}"/>
    <hyperlink ref="C44" location="'01'!B482:G500" display="ENERO" xr:uid="{00000000-0004-0000-0000-000017000000}"/>
    <hyperlink ref="C4:F4" location="'01'!I2:L19" display="ENERO" xr:uid="{00000000-0004-0000-0000-000018000000}"/>
    <hyperlink ref="C23" location="'01'!B62:G80" display="ENERO" xr:uid="{00000000-0004-0000-0000-000019000000}"/>
    <hyperlink ref="C24" location="'01'!B82:G100" display="ENERO" xr:uid="{00000000-0004-0000-0000-00001A000000}"/>
    <hyperlink ref="G4:J4" location="'02'!I2:L19" display="FEBRERO" xr:uid="{00000000-0004-0000-0000-00001B000000}"/>
    <hyperlink ref="K4:N4" location="'03'!I2:L19" display="MARZO" xr:uid="{00000000-0004-0000-0000-00001C000000}"/>
    <hyperlink ref="W4:Z4" location="'06'!I2:L19" display="JUNIO" xr:uid="{00000000-0004-0000-0000-00001D000000}"/>
    <hyperlink ref="G24" location="'02'!B82:G100" display="ENERO" xr:uid="{00000000-0004-0000-0000-00001E000000}"/>
    <hyperlink ref="G23" location="'02'!B62:G80" display="ENERO" xr:uid="{00000000-0004-0000-0000-00001F000000}"/>
    <hyperlink ref="G44" location="'02'!B482:G500" display="ENERO" xr:uid="{00000000-0004-0000-0000-000020000000}"/>
    <hyperlink ref="G45" location="'02'!B502:G520" display="ENERO" xr:uid="{00000000-0004-0000-0000-000021000000}"/>
    <hyperlink ref="G28" location="'02'!B162:G180" display="ENERO" xr:uid="{00000000-0004-0000-0000-000022000000}"/>
    <hyperlink ref="G36" location="'02'!B322:G340" display="ENERO" xr:uid="{00000000-0004-0000-0000-000023000000}"/>
    <hyperlink ref="G42" location="'02'!B442:G460" display="ENERO" xr:uid="{00000000-0004-0000-0000-000024000000}"/>
    <hyperlink ref="G40" location="'02'!B402:G420" display="ENERO" xr:uid="{00000000-0004-0000-0000-000025000000}"/>
    <hyperlink ref="G38" location="'02'!B362:G380" display="ENERO" xr:uid="{00000000-0004-0000-0000-000026000000}"/>
    <hyperlink ref="G34" location="'02'!B282:G300" display="ENERO" xr:uid="{00000000-0004-0000-0000-000027000000}"/>
    <hyperlink ref="G32" location="'02'!B242:G260" display="ENERO" xr:uid="{00000000-0004-0000-0000-000028000000}"/>
    <hyperlink ref="G30" location="'02'!B202:G220" display="ENERO" xr:uid="{00000000-0004-0000-0000-000029000000}"/>
    <hyperlink ref="G26" location="'02'!B122:G140" display="ENERO" xr:uid="{00000000-0004-0000-0000-00002A000000}"/>
    <hyperlink ref="G43" location="'02'!B462:G480" display="ENERO" xr:uid="{00000000-0004-0000-0000-00002B000000}"/>
    <hyperlink ref="G41" location="'02'!B422:G440" display="ENERO" xr:uid="{00000000-0004-0000-0000-00002C000000}"/>
    <hyperlink ref="G39" location="'02'!B382:G400" display="ENERO" xr:uid="{00000000-0004-0000-0000-00002D000000}"/>
    <hyperlink ref="G37" location="'02'!B342:G360" display="ENERO" xr:uid="{00000000-0004-0000-0000-00002E000000}"/>
    <hyperlink ref="G35" location="'02'!B302:G320" display="ENERO" xr:uid="{00000000-0004-0000-0000-00002F000000}"/>
    <hyperlink ref="G33" location="'02'!B262:G280" display="ENERO" xr:uid="{00000000-0004-0000-0000-000030000000}"/>
    <hyperlink ref="G31" location="'02'!B222:G240" display="ENERO" xr:uid="{00000000-0004-0000-0000-000031000000}"/>
    <hyperlink ref="G29" location="'02'!B182:G200" display="ENERO" xr:uid="{00000000-0004-0000-0000-000032000000}"/>
    <hyperlink ref="G27" location="'02'!B142:G160" display="ENERO" xr:uid="{00000000-0004-0000-0000-000033000000}"/>
    <hyperlink ref="G25" location="'02'!B102:G120" display="ENERO" xr:uid="{00000000-0004-0000-0000-000034000000}"/>
    <hyperlink ref="G20" location="'02'!B2:G20" display="FEBRERO" xr:uid="{00000000-0004-0000-0000-000035000000}"/>
    <hyperlink ref="G21" location="'02'!B22:G40" display="FEBRERO" xr:uid="{00000000-0004-0000-0000-000036000000}"/>
    <hyperlink ref="G22" location="'02'!B42:G60" display="ENERO" xr:uid="{00000000-0004-0000-0000-000037000000}"/>
    <hyperlink ref="K24" location="'03'!B82:G100" display="FEBRERO" xr:uid="{00000000-0004-0000-0000-000038000000}"/>
    <hyperlink ref="K23" location="'03'!B62:G80" display="FEBRERO" xr:uid="{00000000-0004-0000-0000-000039000000}"/>
    <hyperlink ref="K44" location="'03'!B482:G500" display="MARZO" xr:uid="{00000000-0004-0000-0000-00003A000000}"/>
    <hyperlink ref="K45" location="'03'!B502:G520" display="MARZO" xr:uid="{00000000-0004-0000-0000-00003B000000}"/>
    <hyperlink ref="K28" location="'03'!B162:G180" display="FEBRERO" xr:uid="{00000000-0004-0000-0000-00003C000000}"/>
    <hyperlink ref="K36" location="'03'!B322:G340" display="MARZO" xr:uid="{00000000-0004-0000-0000-00003D000000}"/>
    <hyperlink ref="K42" location="'03'!B442:G460" display="MARZO" xr:uid="{00000000-0004-0000-0000-00003E000000}"/>
    <hyperlink ref="K40" location="'03'!B402:G420" display="MARZO" xr:uid="{00000000-0004-0000-0000-00003F000000}"/>
    <hyperlink ref="K38" location="'03'!B362:G380" display="MARZO" xr:uid="{00000000-0004-0000-0000-000040000000}"/>
    <hyperlink ref="K34" location="'03'!B282:G300" display="MARZO" xr:uid="{00000000-0004-0000-0000-000041000000}"/>
    <hyperlink ref="K32" location="'03'!B242:G260" display="MARZO" xr:uid="{00000000-0004-0000-0000-000042000000}"/>
    <hyperlink ref="K30" location="'03'!B202:G220" display="MARZO" xr:uid="{00000000-0004-0000-0000-000043000000}"/>
    <hyperlink ref="K26" location="'03'!B122:G140" display="FEBRERO" xr:uid="{00000000-0004-0000-0000-000044000000}"/>
    <hyperlink ref="K43" location="'03'!B462:G480" display="MARZO" xr:uid="{00000000-0004-0000-0000-000045000000}"/>
    <hyperlink ref="K41" location="'03'!B422:G440" display="MARZO" xr:uid="{00000000-0004-0000-0000-000046000000}"/>
    <hyperlink ref="K39" location="'03'!B382:G400" display="MARZO" xr:uid="{00000000-0004-0000-0000-000047000000}"/>
    <hyperlink ref="K37" location="'03'!B342:G360" display="MARZO" xr:uid="{00000000-0004-0000-0000-000048000000}"/>
    <hyperlink ref="K35" location="'03'!B302:G320" display="MARZO" xr:uid="{00000000-0004-0000-0000-000049000000}"/>
    <hyperlink ref="K31" location="'03'!B222:G240" display="MARZO" xr:uid="{00000000-0004-0000-0000-00004A000000}"/>
    <hyperlink ref="K29" location="'03'!B182:G200" display="MARZO" xr:uid="{00000000-0004-0000-0000-00004B000000}"/>
    <hyperlink ref="K27" location="'03'!B142:G160" display="FEBRERO" xr:uid="{00000000-0004-0000-0000-00004C000000}"/>
    <hyperlink ref="K25" location="'03'!B102:G120" display="FEBRERO" xr:uid="{00000000-0004-0000-0000-00004D000000}"/>
    <hyperlink ref="K20" location="'03'!B2:G20" display="FEBRERO" xr:uid="{00000000-0004-0000-0000-00004E000000}"/>
    <hyperlink ref="K21" location="'03'!B22:G40" display="FEBRERO" xr:uid="{00000000-0004-0000-0000-00004F000000}"/>
    <hyperlink ref="K22" location="'03'!B42:G60" display="FEBRERO" xr:uid="{00000000-0004-0000-0000-000050000000}"/>
    <hyperlink ref="K33" location="'03'!B262:G280" display="MARZO" xr:uid="{00000000-0004-0000-0000-000051000000}"/>
    <hyperlink ref="O24" location="'04'!B82:G100" display="MARZO" xr:uid="{00000000-0004-0000-0000-000052000000}"/>
    <hyperlink ref="O23" location="'04'!B62:G80" display="MARZO" xr:uid="{00000000-0004-0000-0000-000053000000}"/>
    <hyperlink ref="O44" location="'04'!B482:G500" display="MARZO" xr:uid="{00000000-0004-0000-0000-000054000000}"/>
    <hyperlink ref="O45" location="'04'!B502:G520" display="MARZO" xr:uid="{00000000-0004-0000-0000-000055000000}"/>
    <hyperlink ref="O28" location="'04'!B162:G180" display="MARZO" xr:uid="{00000000-0004-0000-0000-000056000000}"/>
    <hyperlink ref="O36" location="'04'!B322:G340" display="MARZO" xr:uid="{00000000-0004-0000-0000-000057000000}"/>
    <hyperlink ref="O42" location="'04'!B442:G460" display="MARZO" xr:uid="{00000000-0004-0000-0000-000058000000}"/>
    <hyperlink ref="O40" location="'04'!B402:G420" display="MARZO" xr:uid="{00000000-0004-0000-0000-000059000000}"/>
    <hyperlink ref="O38" location="'04'!B362:G380" display="MARZO" xr:uid="{00000000-0004-0000-0000-00005A000000}"/>
    <hyperlink ref="O34" location="'04'!B282:G300" display="MARZO" xr:uid="{00000000-0004-0000-0000-00005B000000}"/>
    <hyperlink ref="O32" location="'04'!B242:G260" display="MARZO" xr:uid="{00000000-0004-0000-0000-00005C000000}"/>
    <hyperlink ref="O30" location="'04'!B202:G220" display="MARZO" xr:uid="{00000000-0004-0000-0000-00005D000000}"/>
    <hyperlink ref="O26" location="'04'!B122:G140" display="MARZO" xr:uid="{00000000-0004-0000-0000-00005E000000}"/>
    <hyperlink ref="O43" location="'04'!B462:G480" display="MARZO" xr:uid="{00000000-0004-0000-0000-00005F000000}"/>
    <hyperlink ref="O41" location="'04'!B422:G440" display="MARZO" xr:uid="{00000000-0004-0000-0000-000060000000}"/>
    <hyperlink ref="O39" location="'04'!B382:G400" display="MARZO" xr:uid="{00000000-0004-0000-0000-000061000000}"/>
    <hyperlink ref="O37" location="'04'!B342:G360" display="MARZO" xr:uid="{00000000-0004-0000-0000-000062000000}"/>
    <hyperlink ref="O35" location="'04'!B302:G320" display="MARZO" xr:uid="{00000000-0004-0000-0000-000063000000}"/>
    <hyperlink ref="O31" location="'04'!B222:G240" display="MARZO" xr:uid="{00000000-0004-0000-0000-000064000000}"/>
    <hyperlink ref="O29" location="'04'!B182:G200" display="MARZO" xr:uid="{00000000-0004-0000-0000-000065000000}"/>
    <hyperlink ref="O27" location="'04'!B142:G160" display="MARZO" xr:uid="{00000000-0004-0000-0000-000066000000}"/>
    <hyperlink ref="O25" location="'04'!B102:G120" display="MARZO" xr:uid="{00000000-0004-0000-0000-000067000000}"/>
    <hyperlink ref="O20" location="'04'!B2:G20" display="MARZO" xr:uid="{00000000-0004-0000-0000-000068000000}"/>
    <hyperlink ref="O21" location="'04'!B22:G40" display="MARZO" xr:uid="{00000000-0004-0000-0000-000069000000}"/>
    <hyperlink ref="O22" location="'04'!B42:G60" display="MARZO" xr:uid="{00000000-0004-0000-0000-00006A000000}"/>
    <hyperlink ref="O33" location="'04'!B262:G280" display="MARZO" xr:uid="{00000000-0004-0000-0000-00006B000000}"/>
    <hyperlink ref="O4:R4" location="'04'!I2:L19" display="MARZO" xr:uid="{00000000-0004-0000-0000-00006C000000}"/>
    <hyperlink ref="S24" location="'05'!B82:G100" display="ABRIL" xr:uid="{00000000-0004-0000-0000-00006D000000}"/>
    <hyperlink ref="S23" location="'05'!B62:G80" display="ABRIL" xr:uid="{00000000-0004-0000-0000-00006E000000}"/>
    <hyperlink ref="S44" location="'05'!B482:G500" display="ABRIL" xr:uid="{00000000-0004-0000-0000-00006F000000}"/>
    <hyperlink ref="S45" location="'05'!B502:G520" display="ABRIL" xr:uid="{00000000-0004-0000-0000-000070000000}"/>
    <hyperlink ref="S28" location="'05'!B162:G180" display="ABRIL" xr:uid="{00000000-0004-0000-0000-000071000000}"/>
    <hyperlink ref="S36" location="'05'!B322:G340" display="ABRIL" xr:uid="{00000000-0004-0000-0000-000072000000}"/>
    <hyperlink ref="S42" location="'05'!B442:G460" display="ABRIL" xr:uid="{00000000-0004-0000-0000-000073000000}"/>
    <hyperlink ref="S40" location="'05'!B402:G420" display="ABRIL" xr:uid="{00000000-0004-0000-0000-000074000000}"/>
    <hyperlink ref="S38" location="'05'!B362:G380" display="ABRIL" xr:uid="{00000000-0004-0000-0000-000075000000}"/>
    <hyperlink ref="S34" location="'05'!B282:G300" display="ABRIL" xr:uid="{00000000-0004-0000-0000-000076000000}"/>
    <hyperlink ref="S32" location="'05'!B242:G260" display="ABRIL" xr:uid="{00000000-0004-0000-0000-000077000000}"/>
    <hyperlink ref="S30" location="'05'!B202:G220" display="ABRIL" xr:uid="{00000000-0004-0000-0000-000078000000}"/>
    <hyperlink ref="S26" location="'05'!B122:G140" display="ABRIL" xr:uid="{00000000-0004-0000-0000-000079000000}"/>
    <hyperlink ref="S43" location="'05'!B462:G480" display="ABRIL" xr:uid="{00000000-0004-0000-0000-00007A000000}"/>
    <hyperlink ref="S41" location="'05'!B422:G440" display="ABRIL" xr:uid="{00000000-0004-0000-0000-00007B000000}"/>
    <hyperlink ref="S39" location="'05'!B382:G400" display="ABRIL" xr:uid="{00000000-0004-0000-0000-00007C000000}"/>
    <hyperlink ref="S37" location="'05'!B342:G360" display="ABRIL" xr:uid="{00000000-0004-0000-0000-00007D000000}"/>
    <hyperlink ref="S35" location="'05'!B302:G320" display="ABRIL" xr:uid="{00000000-0004-0000-0000-00007E000000}"/>
    <hyperlink ref="S31" location="'05'!B222:G240" display="ABRIL" xr:uid="{00000000-0004-0000-0000-00007F000000}"/>
    <hyperlink ref="S29" location="'05'!B182:G200" display="ABRIL" xr:uid="{00000000-0004-0000-0000-000080000000}"/>
    <hyperlink ref="S27" location="'05'!B142:G160" display="ABRIL" xr:uid="{00000000-0004-0000-0000-000081000000}"/>
    <hyperlink ref="S25" location="'05'!B102:G120" display="ABRIL" xr:uid="{00000000-0004-0000-0000-000082000000}"/>
    <hyperlink ref="S20" location="'05'!B2:G20" display="ABRIL" xr:uid="{00000000-0004-0000-0000-000083000000}"/>
    <hyperlink ref="S21" location="'05'!B22:G40" display="ABRIL" xr:uid="{00000000-0004-0000-0000-000084000000}"/>
    <hyperlink ref="S22" location="'05'!B42:G60" display="ABRIL" xr:uid="{00000000-0004-0000-0000-000085000000}"/>
    <hyperlink ref="S33" location="'05'!B262:G280" display="ABRIL" xr:uid="{00000000-0004-0000-0000-000086000000}"/>
    <hyperlink ref="S4:V4" location="'05'!I2:L19" display="ABRIL" xr:uid="{00000000-0004-0000-0000-000087000000}"/>
    <hyperlink ref="AA24" location="'07'!B82:G100" display="JULIO" xr:uid="{00000000-0004-0000-0000-000088000000}"/>
    <hyperlink ref="AA23" location="'07'!B62:G80" display="JULIO" xr:uid="{00000000-0004-0000-0000-000089000000}"/>
    <hyperlink ref="AA44" location="'07'!B482:G500" display="JULIO" xr:uid="{00000000-0004-0000-0000-00008A000000}"/>
    <hyperlink ref="AA45" location="'07'!B502:G520" display="JULIO" xr:uid="{00000000-0004-0000-0000-00008B000000}"/>
    <hyperlink ref="AA28" location="'07'!B162:G180" display="JULIO" xr:uid="{00000000-0004-0000-0000-00008C000000}"/>
    <hyperlink ref="AA36" location="'07'!B322:G340" display="JULIO" xr:uid="{00000000-0004-0000-0000-00008D000000}"/>
    <hyperlink ref="AA42" location="'07'!B442:G460" display="JULIO" xr:uid="{00000000-0004-0000-0000-00008E000000}"/>
    <hyperlink ref="AA40" location="'07'!B402:G420" display="JULIO" xr:uid="{00000000-0004-0000-0000-00008F000000}"/>
    <hyperlink ref="AA38" location="'07'!B362:G380" display="JULIO" xr:uid="{00000000-0004-0000-0000-000090000000}"/>
    <hyperlink ref="AA34" location="'07'!B282:G300" display="JULIO" xr:uid="{00000000-0004-0000-0000-000091000000}"/>
    <hyperlink ref="AA32" location="'07'!B242:G260" display="JULIO" xr:uid="{00000000-0004-0000-0000-000092000000}"/>
    <hyperlink ref="AA30" location="'07'!B202:G220" display="JULIO" xr:uid="{00000000-0004-0000-0000-000093000000}"/>
    <hyperlink ref="AA26" location="'07'!B122:G140" display="JULIO" xr:uid="{00000000-0004-0000-0000-000094000000}"/>
    <hyperlink ref="AA43" location="'07'!B462:G480" display="JULIO" xr:uid="{00000000-0004-0000-0000-000095000000}"/>
    <hyperlink ref="AA41" location="'07'!B422:G440" display="JULIO" xr:uid="{00000000-0004-0000-0000-000096000000}"/>
    <hyperlink ref="AA39" location="'07'!B382:G400" display="JULIO" xr:uid="{00000000-0004-0000-0000-000097000000}"/>
    <hyperlink ref="AA37" location="'07'!B342:G360" display="JULIO" xr:uid="{00000000-0004-0000-0000-000098000000}"/>
    <hyperlink ref="AA35" location="'07'!B302:G320" display="JULIO" xr:uid="{00000000-0004-0000-0000-000099000000}"/>
    <hyperlink ref="AA31" location="'07'!B222:G240" display="JULIO" xr:uid="{00000000-0004-0000-0000-00009A000000}"/>
    <hyperlink ref="AA29" location="'07'!B182:G200" display="JULIO" xr:uid="{00000000-0004-0000-0000-00009B000000}"/>
    <hyperlink ref="AA27" location="'07'!B142:G160" display="JULIO" xr:uid="{00000000-0004-0000-0000-00009C000000}"/>
    <hyperlink ref="AA25" location="'07'!B102:G120" display="JULIO" xr:uid="{00000000-0004-0000-0000-00009D000000}"/>
    <hyperlink ref="AA20" location="'07'!B2:G20" display="JULIO" xr:uid="{00000000-0004-0000-0000-00009E000000}"/>
    <hyperlink ref="AA21" location="'07'!B22:G40" display="JULIO" xr:uid="{00000000-0004-0000-0000-00009F000000}"/>
    <hyperlink ref="AA22" location="'07'!B42:G60" display="JULIO" xr:uid="{00000000-0004-0000-0000-0000A0000000}"/>
    <hyperlink ref="AA33" location="'07'!B262:G280" display="JULIO" xr:uid="{00000000-0004-0000-0000-0000A1000000}"/>
    <hyperlink ref="AA4:AD4" location="'07'!I2:L19" display="JULIO" xr:uid="{00000000-0004-0000-0000-0000A2000000}"/>
    <hyperlink ref="AE24" location="'08'!B82:G100" display="AGOSTO" xr:uid="{00000000-0004-0000-0000-0000A3000000}"/>
    <hyperlink ref="AE23" location="'08'!B62:G80" display="AGOSTO" xr:uid="{00000000-0004-0000-0000-0000A4000000}"/>
    <hyperlink ref="AE44" location="'08'!B482:G500" display="AGOSTO" xr:uid="{00000000-0004-0000-0000-0000A5000000}"/>
    <hyperlink ref="AE45" location="'08'!B502:G520" display="AGOSTO" xr:uid="{00000000-0004-0000-0000-0000A6000000}"/>
    <hyperlink ref="AE28" location="'08'!B162:G180" display="AGOSTO" xr:uid="{00000000-0004-0000-0000-0000A7000000}"/>
    <hyperlink ref="AE36" location="'08'!B322:G340" display="AGOSTO" xr:uid="{00000000-0004-0000-0000-0000A8000000}"/>
    <hyperlink ref="AE42" location="'08'!B442:G460" display="AGOSTO" xr:uid="{00000000-0004-0000-0000-0000A9000000}"/>
    <hyperlink ref="AE40" location="'08'!B402:G420" display="AGOSTO" xr:uid="{00000000-0004-0000-0000-0000AA000000}"/>
    <hyperlink ref="AE38" location="'08'!B362:G380" display="AGOSTO" xr:uid="{00000000-0004-0000-0000-0000AB000000}"/>
    <hyperlink ref="AE34" location="'08'!B282:G300" display="AGOSTO" xr:uid="{00000000-0004-0000-0000-0000AC000000}"/>
    <hyperlink ref="AE32" location="'08'!B242:G260" display="AGOSTO" xr:uid="{00000000-0004-0000-0000-0000AD000000}"/>
    <hyperlink ref="AE30" location="'08'!B202:G220" display="AGOSTO" xr:uid="{00000000-0004-0000-0000-0000AE000000}"/>
    <hyperlink ref="AE26" location="'08'!B122:G140" display="AGOSTO" xr:uid="{00000000-0004-0000-0000-0000AF000000}"/>
    <hyperlink ref="AE43" location="'08'!B462:G480" display="AGOSTO" xr:uid="{00000000-0004-0000-0000-0000B0000000}"/>
    <hyperlink ref="AE41" location="'08'!B422:G440" display="AGOSTO" xr:uid="{00000000-0004-0000-0000-0000B1000000}"/>
    <hyperlink ref="AE39" location="'08'!B382:G400" display="AGOSTO" xr:uid="{00000000-0004-0000-0000-0000B2000000}"/>
    <hyperlink ref="AE37" location="'08'!B342:G360" display="AGOSTO" xr:uid="{00000000-0004-0000-0000-0000B3000000}"/>
    <hyperlink ref="AE35" location="'08'!B302:G320" display="AGOSTO" xr:uid="{00000000-0004-0000-0000-0000B4000000}"/>
    <hyperlink ref="AE31" location="'08'!B222:G240" display="AGOSTO" xr:uid="{00000000-0004-0000-0000-0000B5000000}"/>
    <hyperlink ref="AE29" location="'08'!B182:G200" display="AGOSTO" xr:uid="{00000000-0004-0000-0000-0000B6000000}"/>
    <hyperlink ref="AE27" location="'08'!B142:G160" display="AGOSTO" xr:uid="{00000000-0004-0000-0000-0000B7000000}"/>
    <hyperlink ref="AE25" location="'08'!B102:G120" display="AGOSTO" xr:uid="{00000000-0004-0000-0000-0000B8000000}"/>
    <hyperlink ref="AE20" location="'08'!B2:G20" display="AGOSTO" xr:uid="{00000000-0004-0000-0000-0000B9000000}"/>
    <hyperlink ref="AE21" location="'08'!B22:G40" display="AGOSTO" xr:uid="{00000000-0004-0000-0000-0000BA000000}"/>
    <hyperlink ref="AE22" location="'08'!B42:G60" display="AGOSTO" xr:uid="{00000000-0004-0000-0000-0000BB000000}"/>
    <hyperlink ref="AE33" location="'08'!B262:G280" display="AGOSTO" xr:uid="{00000000-0004-0000-0000-0000BC000000}"/>
    <hyperlink ref="AE4:AH4" location="'08'!I2:L19" display="AGOSTO" xr:uid="{00000000-0004-0000-0000-0000BD000000}"/>
    <hyperlink ref="AI24" location="'09'!B82:G100" display="SEPT…" xr:uid="{00000000-0004-0000-0000-0000BE000000}"/>
    <hyperlink ref="AI23" location="'09'!B62:G80" display="SEPT…" xr:uid="{00000000-0004-0000-0000-0000BF000000}"/>
    <hyperlink ref="AI44" location="'09'!B482:G500" display="SEPT…" xr:uid="{00000000-0004-0000-0000-0000C0000000}"/>
    <hyperlink ref="AI45" location="'09'!B502:G520" display="SEPT…" xr:uid="{00000000-0004-0000-0000-0000C1000000}"/>
    <hyperlink ref="AI28" location="'09'!B162:G180" display="SEPT…" xr:uid="{00000000-0004-0000-0000-0000C2000000}"/>
    <hyperlink ref="AI36" location="'09'!B322:G340" display="SEPT…" xr:uid="{00000000-0004-0000-0000-0000C3000000}"/>
    <hyperlink ref="AI42" location="'09'!B442:G460" display="SEPT…" xr:uid="{00000000-0004-0000-0000-0000C4000000}"/>
    <hyperlink ref="AI40" location="'09'!B402:G420" display="SEPT…" xr:uid="{00000000-0004-0000-0000-0000C5000000}"/>
    <hyperlink ref="AI38" location="'09'!B362:G380" display="SEPT…" xr:uid="{00000000-0004-0000-0000-0000C6000000}"/>
    <hyperlink ref="AI34" location="'09'!B282:G300" display="SEPT…" xr:uid="{00000000-0004-0000-0000-0000C7000000}"/>
    <hyperlink ref="AI32" location="'09'!B242:G260" display="SEPT…" xr:uid="{00000000-0004-0000-0000-0000C8000000}"/>
    <hyperlink ref="AI30" location="'09'!B202:G220" display="SEPT…" xr:uid="{00000000-0004-0000-0000-0000C9000000}"/>
    <hyperlink ref="AI26" location="'09'!B122:G140" display="SEPT…" xr:uid="{00000000-0004-0000-0000-0000CA000000}"/>
    <hyperlink ref="AI43" location="'09'!B462:G480" display="SEPT…" xr:uid="{00000000-0004-0000-0000-0000CB000000}"/>
    <hyperlink ref="AI41" location="'09'!B422:G440" display="SEPT…" xr:uid="{00000000-0004-0000-0000-0000CC000000}"/>
    <hyperlink ref="AI39" location="'09'!B382:G400" display="SEPT…" xr:uid="{00000000-0004-0000-0000-0000CD000000}"/>
    <hyperlink ref="AI37" location="'09'!B342:G360" display="SEPT…" xr:uid="{00000000-0004-0000-0000-0000CE000000}"/>
    <hyperlink ref="AI35" location="'09'!B302:G320" display="SEPT…" xr:uid="{00000000-0004-0000-0000-0000CF000000}"/>
    <hyperlink ref="AI31" location="'09'!B222:G240" display="SEPT…" xr:uid="{00000000-0004-0000-0000-0000D0000000}"/>
    <hyperlink ref="AI29" location="'09'!B182:G200" display="SEPT…" xr:uid="{00000000-0004-0000-0000-0000D1000000}"/>
    <hyperlink ref="AI27" location="'09'!B142:G160" display="SEPT…" xr:uid="{00000000-0004-0000-0000-0000D2000000}"/>
    <hyperlink ref="AI25" location="'09'!B102:G120" display="SEPT…" xr:uid="{00000000-0004-0000-0000-0000D3000000}"/>
    <hyperlink ref="AI20" location="'09'!B2:G20" display="SEPT…" xr:uid="{00000000-0004-0000-0000-0000D4000000}"/>
    <hyperlink ref="AI21" location="'09'!B22:G40" display="SEPT…" xr:uid="{00000000-0004-0000-0000-0000D5000000}"/>
    <hyperlink ref="AI22" location="'09'!B42:G60" display="SEPT…" xr:uid="{00000000-0004-0000-0000-0000D6000000}"/>
    <hyperlink ref="AI33" location="'09'!B262:G280" display="SEPT…" xr:uid="{00000000-0004-0000-0000-0000D7000000}"/>
    <hyperlink ref="AI4:AL4" location="'09'!I2:L19" display="SEPTIEMBRE" xr:uid="{00000000-0004-0000-0000-0000D8000000}"/>
    <hyperlink ref="AM24" location="'10'!B82:G100" display="OCTUBRE" xr:uid="{00000000-0004-0000-0000-0000D9000000}"/>
    <hyperlink ref="AM23" location="'10'!B62:G80" display="OCTUBRE" xr:uid="{00000000-0004-0000-0000-0000DA000000}"/>
    <hyperlink ref="AM44" location="'10'!B482:G500" display="OCTUBRE" xr:uid="{00000000-0004-0000-0000-0000DB000000}"/>
    <hyperlink ref="AM45" location="'10'!B502:G520" display="OCTUBRE" xr:uid="{00000000-0004-0000-0000-0000DC000000}"/>
    <hyperlink ref="AM28" location="'10'!B162:G180" display="OCTUBRE" xr:uid="{00000000-0004-0000-0000-0000DD000000}"/>
    <hyperlink ref="AM36" location="'10'!B322:G340" display="OCTUBRE" xr:uid="{00000000-0004-0000-0000-0000DE000000}"/>
    <hyperlink ref="AM42" location="'10'!B442:G460" display="OCTUBRE" xr:uid="{00000000-0004-0000-0000-0000DF000000}"/>
    <hyperlink ref="AM40" location="'10'!B402:G420" display="OCTUBRE" xr:uid="{00000000-0004-0000-0000-0000E0000000}"/>
    <hyperlink ref="AM38" location="'10'!B362:G380" display="OCTUBRE" xr:uid="{00000000-0004-0000-0000-0000E1000000}"/>
    <hyperlink ref="AM34" location="'10'!B282:G300" display="OCTUBRE" xr:uid="{00000000-0004-0000-0000-0000E2000000}"/>
    <hyperlink ref="AM32" location="'10'!B242:G260" display="OCTUBRE" xr:uid="{00000000-0004-0000-0000-0000E3000000}"/>
    <hyperlink ref="AM30" location="'10'!B202:G220" display="OCTUBRE" xr:uid="{00000000-0004-0000-0000-0000E4000000}"/>
    <hyperlink ref="AM26" location="'10'!B122:G140" display="OCTUBRE" xr:uid="{00000000-0004-0000-0000-0000E5000000}"/>
    <hyperlink ref="AM43" location="'10'!B462:G480" display="OCTUBRE" xr:uid="{00000000-0004-0000-0000-0000E6000000}"/>
    <hyperlink ref="AM41" location="'10'!B422:G440" display="OCTUBRE" xr:uid="{00000000-0004-0000-0000-0000E7000000}"/>
    <hyperlink ref="AM39" location="'10'!B382:G400" display="OCTUBRE" xr:uid="{00000000-0004-0000-0000-0000E8000000}"/>
    <hyperlink ref="AM37" location="'10'!B342:G360" display="OCTUBRE" xr:uid="{00000000-0004-0000-0000-0000E9000000}"/>
    <hyperlink ref="AM35" location="'10'!B302:G320" display="OCTUBRE" xr:uid="{00000000-0004-0000-0000-0000EA000000}"/>
    <hyperlink ref="AM31" location="'10'!B222:G240" display="OCTUBRE" xr:uid="{00000000-0004-0000-0000-0000EB000000}"/>
    <hyperlink ref="AM29" location="'10'!B182:G200" display="OCTUBRE" xr:uid="{00000000-0004-0000-0000-0000EC000000}"/>
    <hyperlink ref="AM27" location="'10'!B142:G160" display="OCTUBRE" xr:uid="{00000000-0004-0000-0000-0000ED000000}"/>
    <hyperlink ref="AM25" location="'10'!B102:G120" display="OCTUBRE" xr:uid="{00000000-0004-0000-0000-0000EE000000}"/>
    <hyperlink ref="AM20" location="'10'!B2:G20" display="OCTUBRE" xr:uid="{00000000-0004-0000-0000-0000EF000000}"/>
    <hyperlink ref="AM21" location="'10'!B22:G40" display="OCTUBRE" xr:uid="{00000000-0004-0000-0000-0000F0000000}"/>
    <hyperlink ref="AM22" location="'10'!B42:G60" display="OCTUBRE" xr:uid="{00000000-0004-0000-0000-0000F1000000}"/>
    <hyperlink ref="AM33" location="'10'!B262:G280" display="OCTUBRE" xr:uid="{00000000-0004-0000-0000-0000F2000000}"/>
    <hyperlink ref="AM4:AP4" location="'10'!I2:L19" display="OCTUBRE" xr:uid="{00000000-0004-0000-0000-0000F3000000}"/>
    <hyperlink ref="AQ20" location="'11'!B2:G20" display="NOV…" xr:uid="{00000000-0004-0000-0000-0000F4000000}"/>
    <hyperlink ref="AQ4:AT4" location="'11'!I2:L19" display="NOVIEMBRE" xr:uid="{00000000-0004-0000-0000-0000F5000000}"/>
    <hyperlink ref="W24" location="'06'!B82:G100" display="JUNIO" xr:uid="{00000000-0004-0000-0000-0000F6000000}"/>
    <hyperlink ref="W23" location="'06'!B62:G80" display="JUNIO" xr:uid="{00000000-0004-0000-0000-0000F7000000}"/>
    <hyperlink ref="W44" location="'06'!B482:G500" display="JUNIO" xr:uid="{00000000-0004-0000-0000-0000F8000000}"/>
    <hyperlink ref="W45" location="'06'!B502:G520" display="JUNIO" xr:uid="{00000000-0004-0000-0000-0000F9000000}"/>
    <hyperlink ref="W28" location="'06'!B162:G180" display="JUNIO" xr:uid="{00000000-0004-0000-0000-0000FA000000}"/>
    <hyperlink ref="W36" location="'06'!B322:G340" display="JUNIO" xr:uid="{00000000-0004-0000-0000-0000FB000000}"/>
    <hyperlink ref="W42" location="'06'!B442:G460" display="JUNIO" xr:uid="{00000000-0004-0000-0000-0000FC000000}"/>
    <hyperlink ref="W40" location="'06'!B402:G420" display="JUNIO" xr:uid="{00000000-0004-0000-0000-0000FD000000}"/>
    <hyperlink ref="W38" location="'06'!B362:G380" display="JUNIO" xr:uid="{00000000-0004-0000-0000-0000FE000000}"/>
    <hyperlink ref="W34" location="'06'!B282:G300" display="JUNIO" xr:uid="{00000000-0004-0000-0000-0000FF000000}"/>
    <hyperlink ref="W32" location="'06'!B242:G260" display="JUNIO" xr:uid="{00000000-0004-0000-0000-000000010000}"/>
    <hyperlink ref="W30" location="'06'!B202:G220" display="JUNIO" xr:uid="{00000000-0004-0000-0000-000001010000}"/>
    <hyperlink ref="W26" location="'06'!B122:G140" display="JUNIO" xr:uid="{00000000-0004-0000-0000-000002010000}"/>
    <hyperlink ref="W43" location="'06'!B462:G480" display="JUNIO" xr:uid="{00000000-0004-0000-0000-000003010000}"/>
    <hyperlink ref="W41" location="'06'!B422:G440" display="JUNIO" xr:uid="{00000000-0004-0000-0000-000004010000}"/>
    <hyperlink ref="W39" location="'06'!B382:G400" display="JUNIO" xr:uid="{00000000-0004-0000-0000-000005010000}"/>
    <hyperlink ref="W37" location="'06'!B342:G360" display="JUNIO" xr:uid="{00000000-0004-0000-0000-000006010000}"/>
    <hyperlink ref="W35" location="'06'!B302:G320" display="JUNIO" xr:uid="{00000000-0004-0000-0000-000007010000}"/>
    <hyperlink ref="W31" location="'06'!B222:G240" display="JUNIO" xr:uid="{00000000-0004-0000-0000-000008010000}"/>
    <hyperlink ref="W29" location="'06'!B182:G200" display="JUNIO" xr:uid="{00000000-0004-0000-0000-000009010000}"/>
    <hyperlink ref="W27" location="'06'!B142:G160" display="JUNIO" xr:uid="{00000000-0004-0000-0000-00000A010000}"/>
    <hyperlink ref="W25" location="'06'!B102:G120" display="JUNIO" xr:uid="{00000000-0004-0000-0000-00000B010000}"/>
    <hyperlink ref="W20" location="'06'!B2:G20" display="JUNIO" xr:uid="{00000000-0004-0000-0000-00000C010000}"/>
    <hyperlink ref="W21" location="'06'!B22:G40" display="JUNIO" xr:uid="{00000000-0004-0000-0000-00000D010000}"/>
    <hyperlink ref="W22" location="'06'!B42:G60" display="JUNIO" xr:uid="{00000000-0004-0000-0000-00000E010000}"/>
    <hyperlink ref="W33" location="'06'!B262:G280" display="JUNIO" xr:uid="{00000000-0004-0000-0000-00000F010000}"/>
    <hyperlink ref="AQ21" location="'11'!A1" display="NOV…" xr:uid="{00000000-0004-0000-0000-000010010000}"/>
    <hyperlink ref="AQ24" location="'11'!B82:G100" display="NOV…" xr:uid="{00000000-0004-0000-0000-000011010000}"/>
    <hyperlink ref="AQ23" location="'11'!B62:G80" display="NOV…" xr:uid="{00000000-0004-0000-0000-000012010000}"/>
    <hyperlink ref="AQ44" location="'11'!B482:G500" display="NOV…" xr:uid="{00000000-0004-0000-0000-000013010000}"/>
    <hyperlink ref="AQ45" location="'11'!B502:G520" display="NOV…" xr:uid="{00000000-0004-0000-0000-000014010000}"/>
    <hyperlink ref="AQ28" location="'11'!B162:G180" display="NOV…" xr:uid="{00000000-0004-0000-0000-000015010000}"/>
    <hyperlink ref="AQ36" location="'11'!B322:G340" display="NOV…" xr:uid="{00000000-0004-0000-0000-000016010000}"/>
    <hyperlink ref="AQ42" location="'11'!B442:G460" display="NOV…" xr:uid="{00000000-0004-0000-0000-000017010000}"/>
    <hyperlink ref="AQ40" location="'11'!B402:G420" display="NOV…" xr:uid="{00000000-0004-0000-0000-000018010000}"/>
    <hyperlink ref="AQ38" location="'11'!B362:G380" display="NOV…" xr:uid="{00000000-0004-0000-0000-000019010000}"/>
    <hyperlink ref="AQ34" location="'11'!B282:G300" display="NOV…" xr:uid="{00000000-0004-0000-0000-00001A010000}"/>
    <hyperlink ref="AQ32" location="'11'!B242:G260" display="NOV…" xr:uid="{00000000-0004-0000-0000-00001B010000}"/>
    <hyperlink ref="AQ30" location="'11'!B202:G220" display="NOV…" xr:uid="{00000000-0004-0000-0000-00001C010000}"/>
    <hyperlink ref="AQ26" location="'11'!B122:G140" display="NOV…" xr:uid="{00000000-0004-0000-0000-00001D010000}"/>
    <hyperlink ref="AQ43" location="'11'!B462:G480" display="NOV…" xr:uid="{00000000-0004-0000-0000-00001E010000}"/>
    <hyperlink ref="AQ41" location="'11'!B422:G440" display="NOV…" xr:uid="{00000000-0004-0000-0000-00001F010000}"/>
    <hyperlink ref="AQ39" location="'11'!B382:G400" display="NOV…" xr:uid="{00000000-0004-0000-0000-000020010000}"/>
    <hyperlink ref="AQ37" location="'11'!B342:G360" display="NOV…" xr:uid="{00000000-0004-0000-0000-000021010000}"/>
    <hyperlink ref="AQ35" location="'11'!B302:G320" display="NOV…" xr:uid="{00000000-0004-0000-0000-000022010000}"/>
    <hyperlink ref="AQ31" location="'11'!B222:G240" display="NOV…" xr:uid="{00000000-0004-0000-0000-000023010000}"/>
    <hyperlink ref="AQ29" location="'11'!B182:G200" display="NOV…" xr:uid="{00000000-0004-0000-0000-000024010000}"/>
    <hyperlink ref="AQ27" location="'11'!B142:G160" display="NOV…" xr:uid="{00000000-0004-0000-0000-000025010000}"/>
    <hyperlink ref="AQ25" location="'11'!B102:G120" display="NOV…" xr:uid="{00000000-0004-0000-0000-000026010000}"/>
    <hyperlink ref="AQ22" location="'11'!B42:G60" display="NOV…" xr:uid="{00000000-0004-0000-0000-000027010000}"/>
    <hyperlink ref="AQ33" location="'11'!B262:G280" display="NOV…" xr:uid="{00000000-0004-0000-0000-000028010000}"/>
    <hyperlink ref="AU24" location="'12'!B82:G100" display="DICIEMBRE" xr:uid="{00000000-0004-0000-0000-000029010000}"/>
    <hyperlink ref="AU23" location="'12'!B62:G80" display="DICIEMBRE" xr:uid="{00000000-0004-0000-0000-00002A010000}"/>
    <hyperlink ref="AU44" location="'12'!B482:G500" display="DICIEMBRE" xr:uid="{00000000-0004-0000-0000-00002B010000}"/>
    <hyperlink ref="AU45" location="'12'!B502:G520" display="DICIEMBRE" xr:uid="{00000000-0004-0000-0000-00002C010000}"/>
    <hyperlink ref="AU28" location="'12'!B162:G180" display="DICIEMBRE" xr:uid="{00000000-0004-0000-0000-00002D010000}"/>
    <hyperlink ref="AU36" location="'12'!B322:G340" display="DICIEMBRE" xr:uid="{00000000-0004-0000-0000-00002E010000}"/>
    <hyperlink ref="AU42" location="'12'!B442:G460" display="DICIEMBRE" xr:uid="{00000000-0004-0000-0000-00002F010000}"/>
    <hyperlink ref="AU40" location="'12'!B402:G420" display="DICIEMBRE" xr:uid="{00000000-0004-0000-0000-000030010000}"/>
    <hyperlink ref="AU38" location="'12'!B362:G380" display="DICIEMBRE" xr:uid="{00000000-0004-0000-0000-000031010000}"/>
    <hyperlink ref="AU34" location="'12'!B282:G300" display="DICIEMBRE" xr:uid="{00000000-0004-0000-0000-000032010000}"/>
    <hyperlink ref="AU32" location="'12'!B242:G260" display="DICIEMBRE" xr:uid="{00000000-0004-0000-0000-000033010000}"/>
    <hyperlink ref="AU30" location="'12'!B202:G220" display="DICIEMBRE" xr:uid="{00000000-0004-0000-0000-000034010000}"/>
    <hyperlink ref="AU26" location="'12'!B122:G140" display="DICIEMBRE" xr:uid="{00000000-0004-0000-0000-000035010000}"/>
    <hyperlink ref="AU43" location="'12'!B462:G480" display="DICIEMBRE" xr:uid="{00000000-0004-0000-0000-000036010000}"/>
    <hyperlink ref="AU41" location="'12'!B422:G440" display="DICIEMBRE" xr:uid="{00000000-0004-0000-0000-000037010000}"/>
    <hyperlink ref="AU39" location="'12'!B382:G400" display="DICIEMBRE" xr:uid="{00000000-0004-0000-0000-000038010000}"/>
    <hyperlink ref="AU37" location="'12'!B342:G360" display="DICIEMBRE" xr:uid="{00000000-0004-0000-0000-000039010000}"/>
    <hyperlink ref="AU35" location="'12'!B302:G320" display="DICIEMBRE" xr:uid="{00000000-0004-0000-0000-00003A010000}"/>
    <hyperlink ref="AU31" location="'12'!B222:G240" display="DICIEMBRE" xr:uid="{00000000-0004-0000-0000-00003B010000}"/>
    <hyperlink ref="AU29" location="'12'!B182:G200" display="DICIEMBRE" xr:uid="{00000000-0004-0000-0000-00003C010000}"/>
    <hyperlink ref="AU27" location="'12'!B142:G160" display="DICIEMBRE" xr:uid="{00000000-0004-0000-0000-00003D010000}"/>
    <hyperlink ref="AU25" location="'12'!B102:G120" display="DICIEMBRE" xr:uid="{00000000-0004-0000-0000-00003E010000}"/>
    <hyperlink ref="AU20" location="'12'!B2:G20" display="DICIEMBRE" xr:uid="{00000000-0004-0000-0000-00003F010000}"/>
    <hyperlink ref="AU21" location="'12'!B22:G40" display="DICIEMBRE" xr:uid="{00000000-0004-0000-0000-000040010000}"/>
    <hyperlink ref="AU22" location="'12'!B42:G60" display="DICIEMBRE" xr:uid="{00000000-0004-0000-0000-000041010000}"/>
    <hyperlink ref="AU33" location="'12'!B262:G280" display="DICIEMBRE" xr:uid="{00000000-0004-0000-0000-000042010000}"/>
    <hyperlink ref="AU4:AX4" location="'12'!I2:L19" display="DICIEMBRE" xr:uid="{00000000-0004-0000-0000-000043010000}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V520"/>
  <sheetViews>
    <sheetView topLeftCell="A334" workbookViewId="0">
      <selection activeCell="B342" sqref="B342:G343"/>
    </sheetView>
  </sheetViews>
  <sheetFormatPr defaultColWidth="11.42578125" defaultRowHeight="15"/>
  <cols>
    <col min="1" max="1" width="11.42578125" style="175"/>
    <col min="2" max="2" width="10" style="175" customWidth="1"/>
    <col min="3" max="3" width="33.28515625" style="175" customWidth="1"/>
    <col min="4" max="6" width="10" style="175" customWidth="1"/>
    <col min="7" max="7" width="33.28515625" style="175" customWidth="1"/>
    <col min="8" max="9" width="11.42578125" style="175"/>
    <col min="10" max="10" width="31.28515625" style="175" customWidth="1"/>
    <col min="11" max="16384" width="11.42578125" style="175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71" t="str">
        <f>'2018'!A20</f>
        <v>Cártama Gastos</v>
      </c>
      <c r="C2" s="272"/>
      <c r="D2" s="272"/>
      <c r="E2" s="272"/>
      <c r="F2" s="272"/>
      <c r="G2" s="273"/>
      <c r="H2" s="1"/>
      <c r="I2" s="284" t="s">
        <v>4</v>
      </c>
      <c r="J2" s="272"/>
      <c r="K2" s="272"/>
      <c r="L2" s="273"/>
      <c r="M2" s="1"/>
      <c r="N2" s="1"/>
      <c r="R2" s="3"/>
    </row>
    <row r="3" spans="1:22" ht="16.5" thickBot="1">
      <c r="A3" s="1"/>
      <c r="B3" s="274"/>
      <c r="C3" s="275"/>
      <c r="D3" s="275"/>
      <c r="E3" s="275"/>
      <c r="F3" s="275"/>
      <c r="G3" s="276"/>
      <c r="H3" s="1"/>
      <c r="I3" s="274"/>
      <c r="J3" s="275"/>
      <c r="K3" s="275"/>
      <c r="L3" s="276"/>
      <c r="M3" s="1"/>
      <c r="N3" s="1"/>
      <c r="R3" s="3"/>
    </row>
    <row r="4" spans="1:22" ht="15.75">
      <c r="A4" s="1"/>
      <c r="B4" s="279" t="s">
        <v>10</v>
      </c>
      <c r="C4" s="278"/>
      <c r="D4" s="277" t="s">
        <v>11</v>
      </c>
      <c r="E4" s="277"/>
      <c r="F4" s="277"/>
      <c r="G4" s="278"/>
      <c r="H4" s="1"/>
      <c r="I4" s="124" t="s">
        <v>70</v>
      </c>
      <c r="J4" s="195" t="s">
        <v>71</v>
      </c>
      <c r="K4" s="285" t="s">
        <v>72</v>
      </c>
      <c r="L4" s="286"/>
      <c r="M4" s="1"/>
      <c r="N4" s="1"/>
      <c r="R4" s="3"/>
    </row>
    <row r="5" spans="1:22" ht="15.75">
      <c r="A5" s="1" t="s">
        <v>611</v>
      </c>
      <c r="B5" s="65" t="s">
        <v>32</v>
      </c>
      <c r="C5" s="73" t="s">
        <v>33</v>
      </c>
      <c r="D5" s="65" t="s">
        <v>68</v>
      </c>
      <c r="E5" s="66" t="s">
        <v>69</v>
      </c>
      <c r="F5" s="66" t="s">
        <v>32</v>
      </c>
      <c r="G5" s="73" t="s">
        <v>33</v>
      </c>
      <c r="H5" s="1"/>
      <c r="I5" s="196" t="s">
        <v>73</v>
      </c>
      <c r="J5" s="197" t="s">
        <v>74</v>
      </c>
      <c r="K5" s="287">
        <v>2037.62</v>
      </c>
      <c r="L5" s="288"/>
      <c r="M5" s="1"/>
      <c r="N5" s="1"/>
      <c r="R5" s="3"/>
    </row>
    <row r="6" spans="1:22" ht="15.75">
      <c r="A6" s="202">
        <v>0</v>
      </c>
      <c r="B6" s="67">
        <v>399</v>
      </c>
      <c r="C6" s="37" t="s">
        <v>312</v>
      </c>
      <c r="D6" s="70"/>
      <c r="E6" s="71">
        <f>398.31</f>
        <v>398.31</v>
      </c>
      <c r="F6" s="71"/>
      <c r="G6" s="34" t="s">
        <v>35</v>
      </c>
      <c r="H6" s="1"/>
      <c r="I6" s="198" t="s">
        <v>73</v>
      </c>
      <c r="J6" s="197" t="s">
        <v>75</v>
      </c>
      <c r="K6" s="280">
        <v>550</v>
      </c>
      <c r="L6" s="281"/>
      <c r="M6" s="1" t="s">
        <v>395</v>
      </c>
      <c r="N6" s="1"/>
      <c r="R6" s="3"/>
    </row>
    <row r="7" spans="1:22" ht="15.75">
      <c r="A7" s="202">
        <f>(6*B7)-E7</f>
        <v>360</v>
      </c>
      <c r="B7" s="68">
        <v>60</v>
      </c>
      <c r="C7" s="34" t="s">
        <v>326</v>
      </c>
      <c r="D7" s="70"/>
      <c r="E7" s="71"/>
      <c r="F7" s="71"/>
      <c r="G7" s="34" t="s">
        <v>106</v>
      </c>
      <c r="H7" s="117"/>
      <c r="I7" s="198" t="s">
        <v>76</v>
      </c>
      <c r="J7" s="197" t="s">
        <v>77</v>
      </c>
      <c r="K7" s="280">
        <v>6798.75</v>
      </c>
      <c r="L7" s="281"/>
      <c r="M7" s="1"/>
      <c r="N7" s="1"/>
      <c r="R7" s="3"/>
    </row>
    <row r="8" spans="1:22" ht="15.75">
      <c r="A8" s="202">
        <v>0</v>
      </c>
      <c r="B8" s="68">
        <v>108.71</v>
      </c>
      <c r="C8" s="34" t="s">
        <v>38</v>
      </c>
      <c r="D8" s="70"/>
      <c r="E8" s="71"/>
      <c r="F8" s="71"/>
      <c r="G8" s="34" t="s">
        <v>38</v>
      </c>
      <c r="H8" s="1"/>
      <c r="I8" s="198" t="s">
        <v>76</v>
      </c>
      <c r="J8" s="197" t="s">
        <v>78</v>
      </c>
      <c r="K8" s="280">
        <v>7000</v>
      </c>
      <c r="L8" s="281"/>
      <c r="M8" s="1"/>
      <c r="N8" s="1"/>
      <c r="R8" s="3"/>
    </row>
    <row r="9" spans="1:22" ht="15.75">
      <c r="A9" s="202">
        <f>B9</f>
        <v>0</v>
      </c>
      <c r="B9" s="68">
        <v>0</v>
      </c>
      <c r="C9" s="34" t="s">
        <v>40</v>
      </c>
      <c r="D9" s="70"/>
      <c r="E9" s="71">
        <v>28.14</v>
      </c>
      <c r="F9" s="71"/>
      <c r="G9" s="34" t="s">
        <v>40</v>
      </c>
      <c r="H9" s="1"/>
      <c r="I9" s="198" t="s">
        <v>76</v>
      </c>
      <c r="J9" s="197" t="s">
        <v>268</v>
      </c>
      <c r="K9" s="280">
        <v>659.77</v>
      </c>
      <c r="L9" s="281"/>
      <c r="M9" s="1"/>
      <c r="N9" s="1"/>
      <c r="R9" s="3"/>
    </row>
    <row r="10" spans="1:22" ht="15.75">
      <c r="A10" s="202">
        <v>0</v>
      </c>
      <c r="B10" s="68">
        <v>12</v>
      </c>
      <c r="C10" s="34" t="s">
        <v>39</v>
      </c>
      <c r="D10" s="70"/>
      <c r="E10" s="71"/>
      <c r="F10" s="71"/>
      <c r="G10" s="34" t="s">
        <v>39</v>
      </c>
      <c r="H10" s="1"/>
      <c r="I10" s="198" t="s">
        <v>76</v>
      </c>
      <c r="J10" s="197" t="s">
        <v>115</v>
      </c>
      <c r="K10" s="280">
        <v>1800.04</v>
      </c>
      <c r="L10" s="281"/>
      <c r="M10" s="1" t="s">
        <v>266</v>
      </c>
      <c r="N10" s="1"/>
      <c r="R10" s="3"/>
    </row>
    <row r="11" spans="1:22" ht="15.75">
      <c r="A11" s="202">
        <v>0</v>
      </c>
      <c r="B11" s="68">
        <v>31</v>
      </c>
      <c r="C11" s="34" t="s">
        <v>37</v>
      </c>
      <c r="D11" s="70"/>
      <c r="E11" s="71">
        <v>30.23</v>
      </c>
      <c r="F11" s="71"/>
      <c r="G11" s="34" t="s">
        <v>37</v>
      </c>
      <c r="H11" s="1"/>
      <c r="I11" s="198" t="s">
        <v>93</v>
      </c>
      <c r="J11" s="197" t="s">
        <v>94</v>
      </c>
      <c r="K11" s="280">
        <f>400+185+90</f>
        <v>675</v>
      </c>
      <c r="L11" s="281"/>
      <c r="M11" s="1"/>
      <c r="N11" s="1"/>
      <c r="R11" s="3"/>
    </row>
    <row r="12" spans="1:22" ht="15.75">
      <c r="A12" s="202">
        <f>11*B12</f>
        <v>275</v>
      </c>
      <c r="B12" s="68">
        <v>25</v>
      </c>
      <c r="C12" s="34" t="s">
        <v>207</v>
      </c>
      <c r="D12" s="70"/>
      <c r="E12" s="71"/>
      <c r="F12" s="71"/>
      <c r="G12" s="34"/>
      <c r="H12" s="1"/>
      <c r="I12" s="198" t="s">
        <v>304</v>
      </c>
      <c r="J12" s="197" t="s">
        <v>305</v>
      </c>
      <c r="K12" s="280">
        <v>5092.08</v>
      </c>
      <c r="L12" s="281"/>
      <c r="M12" s="178"/>
      <c r="N12" s="1"/>
      <c r="R12" s="3"/>
    </row>
    <row r="13" spans="1:22" ht="15.75">
      <c r="A13" s="202">
        <f>(5*B13)-E13</f>
        <v>35</v>
      </c>
      <c r="B13" s="68">
        <v>7</v>
      </c>
      <c r="C13" s="34" t="s">
        <v>353</v>
      </c>
      <c r="D13" s="70"/>
      <c r="E13" s="71"/>
      <c r="F13" s="71"/>
      <c r="G13" s="34"/>
      <c r="H13" s="1"/>
      <c r="I13" s="198"/>
      <c r="J13" s="197"/>
      <c r="K13" s="280"/>
      <c r="L13" s="281"/>
      <c r="M13" s="1"/>
      <c r="N13" s="1"/>
      <c r="R13" s="3"/>
    </row>
    <row r="14" spans="1:22" ht="15.75">
      <c r="A14" s="202">
        <f t="shared" ref="A14:A15" si="0">12*B14</f>
        <v>0</v>
      </c>
      <c r="B14" s="68"/>
      <c r="C14" s="34"/>
      <c r="D14" s="70"/>
      <c r="E14" s="71"/>
      <c r="F14" s="71"/>
      <c r="G14" s="34"/>
      <c r="H14" s="1"/>
      <c r="I14" s="198"/>
      <c r="J14" s="197"/>
      <c r="K14" s="280"/>
      <c r="L14" s="281"/>
      <c r="M14" s="1"/>
      <c r="N14" s="1"/>
      <c r="R14" s="3"/>
    </row>
    <row r="15" spans="1:22" ht="15.75">
      <c r="A15" s="202">
        <f t="shared" si="0"/>
        <v>0</v>
      </c>
      <c r="B15" s="68"/>
      <c r="C15" s="34"/>
      <c r="D15" s="70"/>
      <c r="E15" s="71"/>
      <c r="F15" s="71"/>
      <c r="G15" s="34"/>
      <c r="H15" s="1"/>
      <c r="I15" s="198"/>
      <c r="J15" s="197"/>
      <c r="K15" s="280"/>
      <c r="L15" s="281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198"/>
      <c r="J16" s="197"/>
      <c r="K16" s="280"/>
      <c r="L16" s="281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198"/>
      <c r="J17" s="197"/>
      <c r="K17" s="280"/>
      <c r="L17" s="281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199"/>
      <c r="J18" s="200"/>
      <c r="K18" s="282"/>
      <c r="L18" s="283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83</v>
      </c>
      <c r="J19" s="38"/>
      <c r="K19" s="282">
        <f>SUM(K5:K18)</f>
        <v>24613.260000000002</v>
      </c>
      <c r="L19" s="283"/>
      <c r="M19" s="1"/>
      <c r="N19" s="1"/>
      <c r="R19" s="3"/>
    </row>
    <row r="20" spans="1:18" ht="16.5" thickBot="1">
      <c r="A20" s="202">
        <f>SUM(A6:A15)</f>
        <v>670</v>
      </c>
      <c r="B20" s="69">
        <f>SUM(B6:B19)</f>
        <v>642.71</v>
      </c>
      <c r="C20" s="35" t="s">
        <v>66</v>
      </c>
      <c r="D20" s="69">
        <f>SUM(D6:D19)</f>
        <v>0</v>
      </c>
      <c r="E20" s="69">
        <f>SUM(E6:E19)</f>
        <v>456.68</v>
      </c>
      <c r="F20" s="69">
        <f>SUM(F6:F19)</f>
        <v>0</v>
      </c>
      <c r="G20" s="35" t="s">
        <v>66</v>
      </c>
      <c r="H20" s="1"/>
      <c r="I20" s="175" t="s">
        <v>116</v>
      </c>
      <c r="L20" s="178">
        <f>K19-K10-K12</f>
        <v>17721.14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71" t="str">
        <f>'2018'!A21</f>
        <v>Waterloo</v>
      </c>
      <c r="C22" s="272"/>
      <c r="D22" s="272"/>
      <c r="E22" s="272"/>
      <c r="F22" s="272"/>
      <c r="G22" s="273"/>
      <c r="H22" s="1"/>
      <c r="I22" s="284" t="s">
        <v>6</v>
      </c>
      <c r="J22" s="272"/>
      <c r="K22" s="272"/>
      <c r="L22" s="273"/>
      <c r="M22" s="1"/>
      <c r="R22" s="3"/>
    </row>
    <row r="23" spans="1:18" ht="16.149999999999999" customHeight="1" thickBot="1">
      <c r="A23" s="1"/>
      <c r="B23" s="274"/>
      <c r="C23" s="275"/>
      <c r="D23" s="275"/>
      <c r="E23" s="275"/>
      <c r="F23" s="275"/>
      <c r="G23" s="276"/>
      <c r="H23" s="1"/>
      <c r="I23" s="274"/>
      <c r="J23" s="275"/>
      <c r="K23" s="275"/>
      <c r="L23" s="276"/>
      <c r="M23" s="1"/>
      <c r="R23" s="3"/>
    </row>
    <row r="24" spans="1:18" ht="15.75">
      <c r="A24" s="1"/>
      <c r="B24" s="279" t="s">
        <v>10</v>
      </c>
      <c r="C24" s="278"/>
      <c r="D24" s="277" t="s">
        <v>11</v>
      </c>
      <c r="E24" s="277"/>
      <c r="F24" s="277"/>
      <c r="G24" s="278"/>
      <c r="H24" s="1"/>
      <c r="I24" s="124" t="s">
        <v>33</v>
      </c>
      <c r="J24" s="33" t="s">
        <v>133</v>
      </c>
      <c r="K24" s="285" t="s">
        <v>134</v>
      </c>
      <c r="L24" s="286"/>
      <c r="M24" s="1"/>
      <c r="R24" s="3"/>
    </row>
    <row r="25" spans="1:18" ht="15.75">
      <c r="A25" s="1" t="s">
        <v>611</v>
      </c>
      <c r="B25" s="65" t="s">
        <v>32</v>
      </c>
      <c r="C25" s="73" t="s">
        <v>33</v>
      </c>
      <c r="D25" s="65" t="s">
        <v>68</v>
      </c>
      <c r="E25" s="66" t="s">
        <v>69</v>
      </c>
      <c r="F25" s="66" t="s">
        <v>32</v>
      </c>
      <c r="G25" s="73" t="s">
        <v>33</v>
      </c>
      <c r="H25" s="1"/>
      <c r="I25" s="189">
        <v>3</v>
      </c>
      <c r="J25" s="3" t="s">
        <v>578</v>
      </c>
      <c r="K25" s="287">
        <v>300</v>
      </c>
      <c r="L25" s="288"/>
      <c r="M25" s="1"/>
      <c r="R25" s="3"/>
    </row>
    <row r="26" spans="1:18" ht="15.75">
      <c r="A26" s="202">
        <v>0</v>
      </c>
      <c r="B26" s="67">
        <v>900</v>
      </c>
      <c r="C26" s="79" t="s">
        <v>42</v>
      </c>
      <c r="D26" s="70">
        <v>900</v>
      </c>
      <c r="E26" s="71"/>
      <c r="F26" s="71"/>
      <c r="G26" s="34" t="s">
        <v>42</v>
      </c>
      <c r="H26" s="1"/>
      <c r="I26" s="190">
        <v>2</v>
      </c>
      <c r="J26" s="36" t="s">
        <v>337</v>
      </c>
      <c r="K26" s="280">
        <v>280.26</v>
      </c>
      <c r="L26" s="281"/>
      <c r="M26" s="1"/>
      <c r="R26" s="3"/>
    </row>
    <row r="27" spans="1:18" ht="15.75">
      <c r="A27" s="202">
        <f>B27-D27</f>
        <v>3</v>
      </c>
      <c r="B27" s="68">
        <v>170</v>
      </c>
      <c r="C27" s="79" t="s">
        <v>44</v>
      </c>
      <c r="D27" s="70">
        <v>167</v>
      </c>
      <c r="E27" s="71"/>
      <c r="F27" s="71"/>
      <c r="G27" s="34" t="s">
        <v>44</v>
      </c>
      <c r="H27" s="1"/>
      <c r="I27" s="190">
        <v>8</v>
      </c>
      <c r="J27" s="36" t="s">
        <v>583</v>
      </c>
      <c r="K27" s="280">
        <v>586.85</v>
      </c>
      <c r="L27" s="281"/>
      <c r="M27" s="1">
        <f>550+108.71+28.14-100</f>
        <v>586.85</v>
      </c>
      <c r="R27" s="3"/>
    </row>
    <row r="28" spans="1:18" ht="15.75">
      <c r="A28" s="202">
        <f>B28*3-D28</f>
        <v>120</v>
      </c>
      <c r="B28" s="68">
        <v>40</v>
      </c>
      <c r="C28" s="79" t="s">
        <v>45</v>
      </c>
      <c r="D28" s="70"/>
      <c r="E28" s="71"/>
      <c r="F28" s="71"/>
      <c r="G28" s="34" t="s">
        <v>45</v>
      </c>
      <c r="H28" s="1"/>
      <c r="I28" s="190"/>
      <c r="J28" s="36"/>
      <c r="K28" s="280"/>
      <c r="L28" s="281"/>
      <c r="M28" s="1"/>
      <c r="R28" s="3"/>
    </row>
    <row r="29" spans="1:18" ht="15.75">
      <c r="A29" s="202">
        <f>B29-D29</f>
        <v>0.53999999999999915</v>
      </c>
      <c r="B29" s="68">
        <v>18</v>
      </c>
      <c r="C29" s="79" t="s">
        <v>41</v>
      </c>
      <c r="D29" s="70">
        <v>17.46</v>
      </c>
      <c r="E29" s="71"/>
      <c r="F29" s="71"/>
      <c r="G29" s="34" t="s">
        <v>41</v>
      </c>
      <c r="H29" s="1"/>
      <c r="I29" s="190"/>
      <c r="J29" s="36"/>
      <c r="K29" s="280"/>
      <c r="L29" s="281"/>
      <c r="M29" s="1"/>
      <c r="R29" s="3"/>
    </row>
    <row r="30" spans="1:18" ht="15.75">
      <c r="A30" s="202">
        <f>593.56+B30-D30</f>
        <v>593.55999999999995</v>
      </c>
      <c r="B30" s="68">
        <v>0</v>
      </c>
      <c r="C30" s="79" t="s">
        <v>46</v>
      </c>
      <c r="D30" s="70"/>
      <c r="E30" s="71"/>
      <c r="F30" s="71"/>
      <c r="G30" s="34"/>
      <c r="H30" s="1"/>
      <c r="I30" s="190"/>
      <c r="J30" s="36"/>
      <c r="K30" s="280"/>
      <c r="L30" s="281"/>
      <c r="M30" s="1"/>
      <c r="R30" s="3"/>
    </row>
    <row r="31" spans="1:18" ht="15.75">
      <c r="A31" s="202"/>
      <c r="B31" s="68"/>
      <c r="C31" s="34"/>
      <c r="D31" s="70"/>
      <c r="E31" s="71"/>
      <c r="F31" s="71"/>
      <c r="G31" s="34"/>
      <c r="H31" s="1"/>
      <c r="I31" s="190"/>
      <c r="J31" s="36"/>
      <c r="K31" s="280"/>
      <c r="L31" s="281"/>
      <c r="M31" s="1"/>
      <c r="R31" s="3"/>
    </row>
    <row r="32" spans="1:18" ht="15.75">
      <c r="A32" s="202"/>
      <c r="B32" s="68"/>
      <c r="C32" s="34"/>
      <c r="D32" s="70"/>
      <c r="E32" s="71"/>
      <c r="F32" s="71"/>
      <c r="G32" s="34"/>
      <c r="H32" s="1"/>
      <c r="I32" s="190"/>
      <c r="J32" s="36"/>
      <c r="K32" s="280"/>
      <c r="L32" s="281"/>
      <c r="M32" s="1"/>
      <c r="R32" s="3"/>
    </row>
    <row r="33" spans="1:18" ht="15.75">
      <c r="A33" s="202"/>
      <c r="B33" s="68"/>
      <c r="C33" s="34"/>
      <c r="D33" s="70"/>
      <c r="E33" s="71"/>
      <c r="F33" s="71"/>
      <c r="G33" s="34"/>
      <c r="H33" s="1"/>
      <c r="I33" s="190"/>
      <c r="J33" s="36"/>
      <c r="K33" s="280"/>
      <c r="L33" s="281"/>
      <c r="M33" s="1"/>
      <c r="R33" s="3"/>
    </row>
    <row r="34" spans="1:18" ht="15.75">
      <c r="A34" s="202"/>
      <c r="B34" s="68"/>
      <c r="C34" s="34"/>
      <c r="D34" s="70"/>
      <c r="E34" s="71"/>
      <c r="F34" s="71"/>
      <c r="G34" s="34"/>
      <c r="H34" s="1"/>
      <c r="I34" s="190"/>
      <c r="J34" s="36"/>
      <c r="K34" s="280"/>
      <c r="L34" s="281"/>
      <c r="M34" s="1"/>
      <c r="R34" s="3"/>
    </row>
    <row r="35" spans="1:18" ht="15.75">
      <c r="A35" s="202"/>
      <c r="B35" s="68"/>
      <c r="C35" s="34"/>
      <c r="D35" s="70"/>
      <c r="E35" s="71"/>
      <c r="F35" s="71"/>
      <c r="G35" s="34"/>
      <c r="H35" s="1"/>
      <c r="I35" s="190"/>
      <c r="J35" s="36"/>
      <c r="K35" s="280"/>
      <c r="L35" s="281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90"/>
      <c r="J36" s="36"/>
      <c r="K36" s="280"/>
      <c r="L36" s="281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90"/>
      <c r="J37" s="36"/>
      <c r="K37" s="280"/>
      <c r="L37" s="281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191"/>
      <c r="J38" s="38"/>
      <c r="K38" s="282"/>
      <c r="L38" s="283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202">
        <f>SUM(A26:A35)</f>
        <v>717.09999999999991</v>
      </c>
      <c r="B40" s="69">
        <f>SUM(B26:B39)</f>
        <v>1128</v>
      </c>
      <c r="C40" s="35" t="s">
        <v>66</v>
      </c>
      <c r="D40" s="69">
        <f>SUM(D26:D39)</f>
        <v>1084.46</v>
      </c>
      <c r="E40" s="69">
        <f>SUM(E26:E39)</f>
        <v>0</v>
      </c>
      <c r="F40" s="69">
        <f>SUM(F26:F39)</f>
        <v>0</v>
      </c>
      <c r="G40" s="35" t="s">
        <v>66</v>
      </c>
      <c r="H40" s="1"/>
      <c r="M40" s="1"/>
      <c r="R40" s="3"/>
    </row>
    <row r="41" spans="1:18" ht="16.5" thickBot="1">
      <c r="A41" s="202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71" t="str">
        <f>'2018'!A22</f>
        <v>Comida+Limpieza</v>
      </c>
      <c r="C42" s="272"/>
      <c r="D42" s="272"/>
      <c r="E42" s="272"/>
      <c r="F42" s="272"/>
      <c r="G42" s="273"/>
      <c r="H42" s="1"/>
      <c r="M42" s="1"/>
      <c r="R42" s="3"/>
    </row>
    <row r="43" spans="1:18" ht="16.149999999999999" customHeight="1" thickBot="1">
      <c r="A43" s="1"/>
      <c r="B43" s="274"/>
      <c r="C43" s="275"/>
      <c r="D43" s="275"/>
      <c r="E43" s="275"/>
      <c r="F43" s="275"/>
      <c r="G43" s="276"/>
      <c r="H43" s="1"/>
      <c r="M43" s="1"/>
      <c r="R43" s="3"/>
    </row>
    <row r="44" spans="1:18" ht="15.75">
      <c r="A44" s="1"/>
      <c r="B44" s="279" t="s">
        <v>10</v>
      </c>
      <c r="C44" s="278"/>
      <c r="D44" s="277" t="s">
        <v>11</v>
      </c>
      <c r="E44" s="277"/>
      <c r="F44" s="277"/>
      <c r="G44" s="278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68</v>
      </c>
      <c r="E45" s="66" t="s">
        <v>69</v>
      </c>
      <c r="F45" s="66" t="s">
        <v>32</v>
      </c>
      <c r="G45" s="73" t="s">
        <v>394</v>
      </c>
      <c r="H45" s="1"/>
      <c r="M45" s="1"/>
      <c r="R45" s="3"/>
    </row>
    <row r="46" spans="1:18" ht="15.75">
      <c r="A46" s="1"/>
      <c r="B46" s="67">
        <v>432</v>
      </c>
      <c r="C46" s="37"/>
      <c r="D46" s="70">
        <f>92.12+4.18</f>
        <v>96.300000000000011</v>
      </c>
      <c r="E46" s="71"/>
      <c r="F46" s="71"/>
      <c r="G46" s="90" t="s">
        <v>591</v>
      </c>
      <c r="H46" s="1"/>
      <c r="M46" s="1"/>
      <c r="R46" s="3"/>
    </row>
    <row r="47" spans="1:18" ht="15.75">
      <c r="A47" s="1"/>
      <c r="B47" s="68">
        <v>28</v>
      </c>
      <c r="C47" s="34" t="s">
        <v>110</v>
      </c>
      <c r="D47" s="70">
        <f>77.27</f>
        <v>77.27</v>
      </c>
      <c r="E47" s="71"/>
      <c r="F47" s="71"/>
      <c r="G47" s="34" t="s">
        <v>592</v>
      </c>
      <c r="H47" s="1"/>
      <c r="M47" s="1"/>
      <c r="R47" s="3"/>
    </row>
    <row r="48" spans="1:18" ht="15.75">
      <c r="A48" s="1"/>
      <c r="B48" s="68"/>
      <c r="C48" s="34"/>
      <c r="D48" s="70">
        <v>38.07</v>
      </c>
      <c r="E48" s="71"/>
      <c r="F48" s="71"/>
      <c r="G48" s="34" t="s">
        <v>601</v>
      </c>
      <c r="H48" s="1"/>
      <c r="M48" s="1"/>
      <c r="R48" s="3"/>
    </row>
    <row r="49" spans="1:18" ht="15.75">
      <c r="A49" s="1"/>
      <c r="B49" s="68"/>
      <c r="C49" s="34"/>
      <c r="D49" s="70">
        <v>36.090000000000003</v>
      </c>
      <c r="E49" s="71"/>
      <c r="F49" s="71"/>
      <c r="G49" s="34" t="s">
        <v>606</v>
      </c>
      <c r="H49" s="1"/>
      <c r="M49" s="1"/>
      <c r="R49" s="3"/>
    </row>
    <row r="50" spans="1:18" ht="15.75">
      <c r="A50" s="1"/>
      <c r="B50" s="68"/>
      <c r="C50" s="34"/>
      <c r="D50" s="70">
        <v>38.81</v>
      </c>
      <c r="E50" s="71"/>
      <c r="F50" s="71"/>
      <c r="G50" s="34" t="s">
        <v>607</v>
      </c>
      <c r="H50" s="1"/>
      <c r="M50" s="1"/>
      <c r="R50" s="3"/>
    </row>
    <row r="51" spans="1:18" ht="15.75">
      <c r="A51" s="1"/>
      <c r="B51" s="68"/>
      <c r="C51" s="34"/>
      <c r="D51" s="70">
        <f>26.4</f>
        <v>26.4</v>
      </c>
      <c r="E51" s="71"/>
      <c r="F51" s="71"/>
      <c r="G51" s="34" t="s">
        <v>621</v>
      </c>
      <c r="H51" s="1"/>
      <c r="M51" s="1"/>
      <c r="R51" s="3"/>
    </row>
    <row r="52" spans="1:18" ht="15.75">
      <c r="A52" s="1"/>
      <c r="B52" s="68"/>
      <c r="C52" s="34"/>
      <c r="D52" s="70"/>
      <c r="E52" s="71"/>
      <c r="F52" s="71"/>
      <c r="G52" s="34"/>
      <c r="H52" s="1"/>
      <c r="M52" s="1"/>
      <c r="R52" s="3"/>
    </row>
    <row r="53" spans="1:18" ht="15.75">
      <c r="A53" s="1"/>
      <c r="B53" s="68"/>
      <c r="C53" s="34"/>
      <c r="D53" s="70"/>
      <c r="E53" s="71"/>
      <c r="F53" s="71"/>
      <c r="G53" s="34"/>
      <c r="H53" s="1"/>
      <c r="M53" s="1"/>
      <c r="R53" s="3"/>
    </row>
    <row r="54" spans="1:18" ht="15.75">
      <c r="A54" s="1"/>
      <c r="B54" s="68"/>
      <c r="C54" s="34"/>
      <c r="D54" s="70"/>
      <c r="E54" s="71"/>
      <c r="F54" s="71"/>
      <c r="G54" s="34"/>
      <c r="H54" s="1"/>
      <c r="M54" s="1"/>
      <c r="R54" s="3"/>
    </row>
    <row r="55" spans="1:18" ht="15.75">
      <c r="A55" s="1"/>
      <c r="B55" s="68"/>
      <c r="C55" s="34"/>
      <c r="D55" s="70"/>
      <c r="E55" s="71"/>
      <c r="F55" s="71"/>
      <c r="G55" s="34"/>
      <c r="H55" s="1"/>
      <c r="M55" s="1"/>
      <c r="R55" s="3"/>
    </row>
    <row r="56" spans="1:18" ht="15.75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/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460</v>
      </c>
      <c r="C60" s="35" t="s">
        <v>66</v>
      </c>
      <c r="D60" s="69">
        <f>SUM(D46:D59)</f>
        <v>312.93999999999994</v>
      </c>
      <c r="E60" s="69">
        <f>SUM(E46:E59)</f>
        <v>0</v>
      </c>
      <c r="F60" s="69">
        <f>SUM(F46:F59)</f>
        <v>0</v>
      </c>
      <c r="G60" s="35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71" t="str">
        <f>'2018'!A23</f>
        <v>Ocio</v>
      </c>
      <c r="C62" s="272"/>
      <c r="D62" s="272"/>
      <c r="E62" s="272"/>
      <c r="F62" s="272"/>
      <c r="G62" s="273"/>
      <c r="H62" s="1"/>
      <c r="M62" s="1"/>
      <c r="R62" s="3"/>
    </row>
    <row r="63" spans="1:18" ht="16.149999999999999" customHeight="1" thickBot="1">
      <c r="A63" s="1"/>
      <c r="B63" s="274"/>
      <c r="C63" s="275"/>
      <c r="D63" s="275"/>
      <c r="E63" s="275"/>
      <c r="F63" s="275"/>
      <c r="G63" s="276"/>
      <c r="H63" s="1"/>
      <c r="M63" s="1"/>
      <c r="R63" s="3"/>
    </row>
    <row r="64" spans="1:18" ht="15.75">
      <c r="A64" s="1"/>
      <c r="B64" s="279" t="s">
        <v>10</v>
      </c>
      <c r="C64" s="278"/>
      <c r="D64" s="277" t="s">
        <v>11</v>
      </c>
      <c r="E64" s="277"/>
      <c r="F64" s="277"/>
      <c r="G64" s="278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68</v>
      </c>
      <c r="E65" s="66" t="s">
        <v>69</v>
      </c>
      <c r="F65" s="66" t="s">
        <v>32</v>
      </c>
      <c r="G65" s="73" t="s">
        <v>394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>
        <v>35.619999999999997</v>
      </c>
      <c r="E66" s="71"/>
      <c r="F66" s="71"/>
      <c r="G66" s="37" t="s">
        <v>575</v>
      </c>
      <c r="H66" s="1"/>
      <c r="M66" s="1"/>
      <c r="R66" s="3"/>
    </row>
    <row r="67" spans="1:18" ht="15.75">
      <c r="A67" s="1"/>
      <c r="B67" s="68"/>
      <c r="C67" s="34"/>
      <c r="D67" s="70">
        <f>29.39</f>
        <v>29.39</v>
      </c>
      <c r="E67" s="71"/>
      <c r="F67" s="71">
        <v>1</v>
      </c>
      <c r="G67" s="91" t="s">
        <v>608</v>
      </c>
      <c r="H67" s="1"/>
      <c r="M67" s="1"/>
      <c r="R67" s="3"/>
    </row>
    <row r="68" spans="1:18" ht="15.75">
      <c r="A68" s="1"/>
      <c r="B68" s="68"/>
      <c r="C68" s="34"/>
      <c r="D68" s="70"/>
      <c r="E68" s="71"/>
      <c r="F68" s="71"/>
      <c r="G68" s="34"/>
      <c r="H68" s="1"/>
      <c r="M68" s="1"/>
      <c r="R68" s="3"/>
    </row>
    <row r="69" spans="1:18" ht="15.75">
      <c r="A69" s="1"/>
      <c r="B69" s="68"/>
      <c r="C69" s="34"/>
      <c r="D69" s="70"/>
      <c r="E69" s="71"/>
      <c r="F69" s="71"/>
      <c r="G69" s="34"/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/>
      <c r="G70" s="34"/>
      <c r="H70" s="1"/>
      <c r="M70" s="1"/>
      <c r="R70" s="3"/>
    </row>
    <row r="71" spans="1:18" ht="15.75">
      <c r="A71" s="1"/>
      <c r="B71" s="68"/>
      <c r="C71" s="34"/>
      <c r="D71" s="70"/>
      <c r="E71" s="71"/>
      <c r="F71" s="71"/>
      <c r="G71" s="34"/>
      <c r="H71" s="1"/>
      <c r="M71" s="1"/>
      <c r="R71" s="3"/>
    </row>
    <row r="72" spans="1:18" ht="15.75">
      <c r="A72" s="1"/>
      <c r="B72" s="68"/>
      <c r="C72" s="34"/>
      <c r="D72" s="70"/>
      <c r="E72" s="71"/>
      <c r="F72" s="71"/>
      <c r="G72" s="34"/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150</v>
      </c>
      <c r="C80" s="35" t="s">
        <v>66</v>
      </c>
      <c r="D80" s="69">
        <f>SUM(D66:D79)</f>
        <v>65.009999999999991</v>
      </c>
      <c r="E80" s="69">
        <f>SUM(E66:E79)</f>
        <v>0</v>
      </c>
      <c r="F80" s="69">
        <f>SUM(F66:F79)</f>
        <v>1</v>
      </c>
      <c r="G80" s="35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71" t="str">
        <f>'2018'!A24</f>
        <v>Transportes</v>
      </c>
      <c r="C82" s="272"/>
      <c r="D82" s="272"/>
      <c r="E82" s="272"/>
      <c r="F82" s="272"/>
      <c r="G82" s="273"/>
      <c r="H82" s="1"/>
      <c r="M82" s="1"/>
      <c r="R82" s="3"/>
    </row>
    <row r="83" spans="1:18" ht="16.149999999999999" customHeight="1" thickBot="1">
      <c r="A83" s="1"/>
      <c r="B83" s="274"/>
      <c r="C83" s="275"/>
      <c r="D83" s="275"/>
      <c r="E83" s="275"/>
      <c r="F83" s="275"/>
      <c r="G83" s="276"/>
      <c r="H83" s="1"/>
      <c r="M83" s="1"/>
      <c r="R83" s="3"/>
    </row>
    <row r="84" spans="1:18" ht="15.75">
      <c r="A84" s="1"/>
      <c r="B84" s="279" t="s">
        <v>10</v>
      </c>
      <c r="C84" s="278"/>
      <c r="D84" s="277" t="s">
        <v>11</v>
      </c>
      <c r="E84" s="277"/>
      <c r="F84" s="277"/>
      <c r="G84" s="278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68</v>
      </c>
      <c r="E85" s="66" t="s">
        <v>69</v>
      </c>
      <c r="F85" s="66" t="s">
        <v>32</v>
      </c>
      <c r="G85" s="73" t="s">
        <v>394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/>
      <c r="E86" s="71">
        <v>2</v>
      </c>
      <c r="F86" s="71"/>
      <c r="G86" s="34" t="s">
        <v>573</v>
      </c>
      <c r="H86" s="1"/>
      <c r="M86" s="1"/>
      <c r="R86" s="3"/>
    </row>
    <row r="87" spans="1:18" ht="15.75">
      <c r="A87" s="1"/>
      <c r="B87" s="68"/>
      <c r="C87" s="34"/>
      <c r="D87" s="70">
        <v>53.97</v>
      </c>
      <c r="E87" s="71"/>
      <c r="F87" s="71"/>
      <c r="G87" s="34" t="s">
        <v>593</v>
      </c>
      <c r="H87" s="1"/>
      <c r="M87" s="1"/>
      <c r="R87" s="3"/>
    </row>
    <row r="88" spans="1:18" ht="15.75">
      <c r="A88" s="1"/>
      <c r="B88" s="68"/>
      <c r="C88" s="34"/>
      <c r="D88" s="70">
        <v>2.4</v>
      </c>
      <c r="E88" s="71"/>
      <c r="F88" s="71"/>
      <c r="G88" s="34" t="s">
        <v>603</v>
      </c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>
        <v>4.8</v>
      </c>
      <c r="G89" s="34" t="s">
        <v>604</v>
      </c>
      <c r="H89" s="1"/>
      <c r="M89" s="1"/>
      <c r="R89" s="3"/>
    </row>
    <row r="90" spans="1:18" ht="15.75">
      <c r="A90" s="1"/>
      <c r="B90" s="68"/>
      <c r="C90" s="34"/>
      <c r="D90" s="70">
        <v>55.81</v>
      </c>
      <c r="E90" s="71"/>
      <c r="F90" s="71"/>
      <c r="G90" s="34" t="s">
        <v>615</v>
      </c>
      <c r="H90" s="1"/>
      <c r="M90" s="1"/>
      <c r="R90" s="3"/>
    </row>
    <row r="91" spans="1:18" ht="15.75">
      <c r="A91" s="1"/>
      <c r="B91" s="68"/>
      <c r="C91" s="34"/>
      <c r="D91" s="70">
        <v>2.4</v>
      </c>
      <c r="E91" s="71"/>
      <c r="F91" s="71"/>
      <c r="G91" s="34" t="s">
        <v>618</v>
      </c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66</v>
      </c>
      <c r="D100" s="69">
        <f>SUM(D86:D99)</f>
        <v>114.58000000000001</v>
      </c>
      <c r="E100" s="69">
        <f>SUM(E86:E99)</f>
        <v>2</v>
      </c>
      <c r="F100" s="69">
        <f>SUM(F86:F99)</f>
        <v>4.8</v>
      </c>
      <c r="G100" s="35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71" t="str">
        <f>'2018'!A25</f>
        <v>Coche</v>
      </c>
      <c r="C102" s="272"/>
      <c r="D102" s="272"/>
      <c r="E102" s="272"/>
      <c r="F102" s="272"/>
      <c r="G102" s="273"/>
      <c r="H102" s="1"/>
      <c r="M102" s="1"/>
      <c r="R102" s="3"/>
    </row>
    <row r="103" spans="1:18" ht="16.149999999999999" customHeight="1" thickBot="1">
      <c r="A103" s="1"/>
      <c r="B103" s="274"/>
      <c r="C103" s="275"/>
      <c r="D103" s="275"/>
      <c r="E103" s="275"/>
      <c r="F103" s="275"/>
      <c r="G103" s="276"/>
      <c r="H103" s="1"/>
      <c r="M103" s="1"/>
      <c r="R103" s="3"/>
    </row>
    <row r="104" spans="1:18" ht="15.75">
      <c r="A104" s="1"/>
      <c r="B104" s="279" t="s">
        <v>10</v>
      </c>
      <c r="C104" s="278"/>
      <c r="D104" s="277" t="s">
        <v>11</v>
      </c>
      <c r="E104" s="277"/>
      <c r="F104" s="277"/>
      <c r="G104" s="278"/>
      <c r="H104" s="1"/>
      <c r="M104" s="1"/>
      <c r="R104" s="3"/>
    </row>
    <row r="105" spans="1:18" ht="15.75">
      <c r="A105" s="175" t="s">
        <v>611</v>
      </c>
      <c r="B105" s="65" t="s">
        <v>32</v>
      </c>
      <c r="C105" s="73" t="s">
        <v>33</v>
      </c>
      <c r="D105" s="65" t="s">
        <v>68</v>
      </c>
      <c r="E105" s="66" t="s">
        <v>69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203">
        <v>0</v>
      </c>
      <c r="B106" s="67">
        <v>260</v>
      </c>
      <c r="C106" s="36" t="s">
        <v>55</v>
      </c>
      <c r="D106" s="70">
        <v>258.47000000000003</v>
      </c>
      <c r="E106" s="71"/>
      <c r="F106" s="71"/>
      <c r="G106" s="91" t="s">
        <v>55</v>
      </c>
      <c r="H106" s="1"/>
      <c r="M106" s="1"/>
      <c r="R106" s="3"/>
    </row>
    <row r="107" spans="1:18" ht="15.75">
      <c r="A107" s="203">
        <v>0</v>
      </c>
      <c r="B107" s="68">
        <v>71</v>
      </c>
      <c r="C107" s="36" t="s">
        <v>56</v>
      </c>
      <c r="D107" s="70">
        <v>70.349999999999994</v>
      </c>
      <c r="E107" s="71"/>
      <c r="F107" s="71"/>
      <c r="G107" s="91" t="s">
        <v>56</v>
      </c>
      <c r="H107" s="1"/>
      <c r="M107" s="1"/>
      <c r="R107" s="3"/>
    </row>
    <row r="108" spans="1:18" ht="15.75">
      <c r="A108" s="203">
        <f>3713.44-A109</f>
        <v>1000</v>
      </c>
      <c r="B108" s="68">
        <v>50</v>
      </c>
      <c r="C108" s="36" t="s">
        <v>620</v>
      </c>
      <c r="D108" s="70">
        <f>2</f>
        <v>2</v>
      </c>
      <c r="E108" s="71"/>
      <c r="F108" s="71"/>
      <c r="G108" s="94" t="s">
        <v>616</v>
      </c>
      <c r="H108" s="1"/>
      <c r="M108" s="1"/>
      <c r="R108" s="3"/>
    </row>
    <row r="109" spans="1:18" ht="15.75">
      <c r="A109" s="203">
        <v>2713.44</v>
      </c>
      <c r="B109" s="68">
        <v>19</v>
      </c>
      <c r="C109" s="36" t="s">
        <v>619</v>
      </c>
      <c r="D109" s="70"/>
      <c r="E109" s="71"/>
      <c r="F109" s="71"/>
      <c r="G109" s="91"/>
      <c r="H109" s="1"/>
      <c r="M109" s="1"/>
      <c r="R109" s="3"/>
    </row>
    <row r="110" spans="1:18" ht="15.75"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B111" s="68"/>
      <c r="C111" s="79"/>
      <c r="D111" s="70"/>
      <c r="E111" s="71"/>
      <c r="F111" s="71"/>
      <c r="G111" s="94"/>
      <c r="H111" s="1"/>
      <c r="M111" s="1"/>
      <c r="R111" s="3"/>
    </row>
    <row r="112" spans="1:18" ht="15.75">
      <c r="B112" s="68"/>
      <c r="C112" s="92"/>
      <c r="D112" s="70"/>
      <c r="E112" s="71"/>
      <c r="F112" s="71"/>
      <c r="G112" s="91"/>
      <c r="H112" s="1"/>
      <c r="M112" s="1"/>
      <c r="R112" s="3"/>
    </row>
    <row r="113" spans="1:18" ht="15.75">
      <c r="B113" s="68"/>
      <c r="C113" s="93"/>
      <c r="D113" s="70"/>
      <c r="E113" s="71"/>
      <c r="F113" s="71"/>
      <c r="G113" s="91"/>
      <c r="H113" s="1"/>
      <c r="M113" s="1"/>
      <c r="R113" s="3"/>
    </row>
    <row r="114" spans="1:18" ht="15.75">
      <c r="B114" s="68"/>
      <c r="C114" s="92"/>
      <c r="D114" s="70"/>
      <c r="E114" s="71"/>
      <c r="F114" s="71"/>
      <c r="G114" s="91"/>
      <c r="H114" s="1"/>
      <c r="M114" s="1"/>
      <c r="R114" s="3"/>
    </row>
    <row r="115" spans="1:18" ht="15.75"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203">
        <f>SUM(A106:A119)</f>
        <v>3713.44</v>
      </c>
      <c r="B120" s="69">
        <f>SUM(B106:B119)</f>
        <v>400</v>
      </c>
      <c r="C120" s="35" t="s">
        <v>66</v>
      </c>
      <c r="D120" s="69">
        <f>SUM(D106:D119)</f>
        <v>330.82000000000005</v>
      </c>
      <c r="E120" s="69">
        <f>SUM(E106:E119)</f>
        <v>0</v>
      </c>
      <c r="F120" s="69">
        <f>SUM(F106:F119)</f>
        <v>0</v>
      </c>
      <c r="G120" s="35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71" t="str">
        <f>'2018'!A26</f>
        <v>Teléfono</v>
      </c>
      <c r="C122" s="272"/>
      <c r="D122" s="272"/>
      <c r="E122" s="272"/>
      <c r="F122" s="272"/>
      <c r="G122" s="273"/>
      <c r="H122" s="1"/>
      <c r="M122" s="1"/>
      <c r="R122" s="3"/>
    </row>
    <row r="123" spans="1:18" ht="16.149999999999999" customHeight="1" thickBot="1">
      <c r="A123" s="1"/>
      <c r="B123" s="274"/>
      <c r="C123" s="275"/>
      <c r="D123" s="275"/>
      <c r="E123" s="275"/>
      <c r="F123" s="275"/>
      <c r="G123" s="276"/>
      <c r="H123" s="1"/>
      <c r="M123" s="1"/>
      <c r="R123" s="3"/>
    </row>
    <row r="124" spans="1:18" ht="15.75">
      <c r="A124" s="1"/>
      <c r="B124" s="279" t="s">
        <v>10</v>
      </c>
      <c r="C124" s="278"/>
      <c r="D124" s="277" t="s">
        <v>11</v>
      </c>
      <c r="E124" s="277"/>
      <c r="F124" s="277"/>
      <c r="G124" s="278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68</v>
      </c>
      <c r="E125" s="66" t="s">
        <v>69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/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v>12.5</v>
      </c>
      <c r="C127" s="34" t="s">
        <v>58</v>
      </c>
      <c r="D127" s="70">
        <v>15</v>
      </c>
      <c r="E127" s="71"/>
      <c r="F127" s="71"/>
      <c r="G127" s="34" t="s">
        <v>199</v>
      </c>
      <c r="H127" s="1"/>
      <c r="M127" s="1"/>
      <c r="R127" s="3"/>
    </row>
    <row r="128" spans="1:18" ht="15.75">
      <c r="A128" s="1"/>
      <c r="B128" s="68">
        <v>8</v>
      </c>
      <c r="C128" s="34" t="s">
        <v>338</v>
      </c>
      <c r="D128" s="70"/>
      <c r="E128" s="71"/>
      <c r="F128" s="71"/>
      <c r="G128" s="34" t="s">
        <v>220</v>
      </c>
      <c r="H128" s="1"/>
      <c r="M128" s="1"/>
      <c r="R128" s="3"/>
    </row>
    <row r="129" spans="1:18" ht="15.75">
      <c r="A129" s="1"/>
      <c r="B129" s="68"/>
      <c r="C129" s="34"/>
      <c r="D129" s="70"/>
      <c r="E129" s="71">
        <v>7.99</v>
      </c>
      <c r="F129" s="71"/>
      <c r="G129" s="34" t="s">
        <v>338</v>
      </c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48</v>
      </c>
      <c r="C140" s="35" t="s">
        <v>66</v>
      </c>
      <c r="D140" s="69">
        <f>SUM(D126:D139)</f>
        <v>15</v>
      </c>
      <c r="E140" s="69">
        <f>SUM(E126:E139)</f>
        <v>7.99</v>
      </c>
      <c r="F140" s="69">
        <f>SUM(F126:F139)</f>
        <v>0</v>
      </c>
      <c r="G140" s="35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71" t="str">
        <f>'2018'!A27</f>
        <v>Gatos</v>
      </c>
      <c r="C142" s="272"/>
      <c r="D142" s="272"/>
      <c r="E142" s="272"/>
      <c r="F142" s="272"/>
      <c r="G142" s="273"/>
      <c r="H142" s="1"/>
      <c r="M142" s="1"/>
      <c r="R142" s="3"/>
    </row>
    <row r="143" spans="1:18" ht="16.149999999999999" customHeight="1" thickBot="1">
      <c r="A143" s="1"/>
      <c r="B143" s="274"/>
      <c r="C143" s="275"/>
      <c r="D143" s="275"/>
      <c r="E143" s="275"/>
      <c r="F143" s="275"/>
      <c r="G143" s="276"/>
      <c r="H143" s="1"/>
      <c r="M143" s="1"/>
      <c r="R143" s="3"/>
    </row>
    <row r="144" spans="1:18" ht="15.75">
      <c r="A144" s="1"/>
      <c r="B144" s="279" t="s">
        <v>10</v>
      </c>
      <c r="C144" s="278"/>
      <c r="D144" s="277" t="s">
        <v>11</v>
      </c>
      <c r="E144" s="277"/>
      <c r="F144" s="277"/>
      <c r="G144" s="278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68</v>
      </c>
      <c r="E145" s="66" t="s">
        <v>69</v>
      </c>
      <c r="F145" s="66" t="s">
        <v>32</v>
      </c>
      <c r="G145" s="73" t="s">
        <v>394</v>
      </c>
      <c r="H145" s="1"/>
      <c r="M145" s="1"/>
      <c r="R145" s="3"/>
    </row>
    <row r="146" spans="1:22" ht="15.75">
      <c r="A146" s="1"/>
      <c r="B146" s="67">
        <v>50</v>
      </c>
      <c r="C146" s="37" t="s">
        <v>490</v>
      </c>
      <c r="D146" s="70"/>
      <c r="E146" s="71"/>
      <c r="F146" s="71"/>
      <c r="G146" s="34"/>
      <c r="H146" s="1"/>
      <c r="M146" s="1"/>
      <c r="R146" s="3"/>
    </row>
    <row r="147" spans="1:22" ht="15.75">
      <c r="A147" s="1"/>
      <c r="B147" s="68"/>
      <c r="C147" s="34"/>
      <c r="D147" s="70"/>
      <c r="E147" s="71"/>
      <c r="F147" s="71"/>
      <c r="G147" s="34"/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/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50</v>
      </c>
      <c r="C160" s="35" t="s">
        <v>66</v>
      </c>
      <c r="D160" s="69">
        <f>SUM(D146:D159)</f>
        <v>0</v>
      </c>
      <c r="E160" s="69">
        <f>SUM(E146:E159)</f>
        <v>0</v>
      </c>
      <c r="F160" s="69">
        <f>SUM(F146:F159)</f>
        <v>0</v>
      </c>
      <c r="G160" s="35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71" t="str">
        <f>'2018'!A28</f>
        <v>Vacaciones</v>
      </c>
      <c r="C162" s="272"/>
      <c r="D162" s="272"/>
      <c r="E162" s="272"/>
      <c r="F162" s="272"/>
      <c r="G162" s="273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74"/>
      <c r="C163" s="275"/>
      <c r="D163" s="275"/>
      <c r="E163" s="275"/>
      <c r="F163" s="275"/>
      <c r="G163" s="27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79" t="s">
        <v>10</v>
      </c>
      <c r="C164" s="278"/>
      <c r="D164" s="277" t="s">
        <v>11</v>
      </c>
      <c r="E164" s="277"/>
      <c r="F164" s="277"/>
      <c r="G164" s="27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68</v>
      </c>
      <c r="E165" s="66" t="s">
        <v>69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/>
      <c r="E166" s="71"/>
      <c r="F166" s="71">
        <f>500-100-78</f>
        <v>322</v>
      </c>
      <c r="G166" s="34" t="s">
        <v>572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/>
      <c r="C167" s="34"/>
      <c r="D167" s="70">
        <v>9</v>
      </c>
      <c r="E167" s="71"/>
      <c r="F167" s="71"/>
      <c r="G167" s="34" t="s">
        <v>577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>
        <v>70</v>
      </c>
      <c r="E168" s="71"/>
      <c r="F168" s="71"/>
      <c r="G168" s="34" t="s">
        <v>577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>
        <v>27.57</v>
      </c>
      <c r="E169" s="71"/>
      <c r="F169" s="71"/>
      <c r="G169" s="34" t="s">
        <v>579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>
        <v>52.1</v>
      </c>
      <c r="E170" s="71"/>
      <c r="F170" s="71"/>
      <c r="G170" s="34" t="s">
        <v>580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>
        <v>28</v>
      </c>
      <c r="E171" s="71"/>
      <c r="F171" s="71"/>
      <c r="G171" s="34" t="s">
        <v>581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>
        <v>22</v>
      </c>
      <c r="E172" s="71"/>
      <c r="F172" s="71"/>
      <c r="G172" s="34" t="s">
        <v>581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>
        <v>12.64</v>
      </c>
      <c r="E173" s="71"/>
      <c r="F173" s="71"/>
      <c r="G173" s="34" t="s">
        <v>582</v>
      </c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>
        <v>494.9</v>
      </c>
      <c r="E174" s="71"/>
      <c r="F174" s="71"/>
      <c r="G174" s="34" t="s">
        <v>596</v>
      </c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200</v>
      </c>
      <c r="C180" s="35" t="s">
        <v>66</v>
      </c>
      <c r="D180" s="69">
        <f>SUM(D166:D179)</f>
        <v>716.21</v>
      </c>
      <c r="E180" s="69">
        <f>SUM(E166:E179)</f>
        <v>0</v>
      </c>
      <c r="F180" s="69">
        <f>SUM(F166:F179)</f>
        <v>322</v>
      </c>
      <c r="G180" s="35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71" t="str">
        <f>'2018'!A29</f>
        <v>Ropa</v>
      </c>
      <c r="C182" s="272"/>
      <c r="D182" s="272"/>
      <c r="E182" s="272"/>
      <c r="F182" s="272"/>
      <c r="G182" s="273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74"/>
      <c r="C183" s="275"/>
      <c r="D183" s="275"/>
      <c r="E183" s="275"/>
      <c r="F183" s="275"/>
      <c r="G183" s="27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79" t="s">
        <v>10</v>
      </c>
      <c r="C184" s="278"/>
      <c r="D184" s="277" t="s">
        <v>11</v>
      </c>
      <c r="E184" s="277"/>
      <c r="F184" s="277"/>
      <c r="G184" s="27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68</v>
      </c>
      <c r="E185" s="66" t="s">
        <v>69</v>
      </c>
      <c r="F185" s="66" t="s">
        <v>32</v>
      </c>
      <c r="G185" s="73" t="s">
        <v>394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70</v>
      </c>
      <c r="C186" s="37" t="s">
        <v>509</v>
      </c>
      <c r="D186" s="70">
        <v>33.799999999999997</v>
      </c>
      <c r="E186" s="71"/>
      <c r="F186" s="71"/>
      <c r="G186" s="34" t="s">
        <v>576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/>
      <c r="E187" s="71"/>
      <c r="F187" s="71"/>
      <c r="G187" s="34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/>
      <c r="E188" s="71"/>
      <c r="F188" s="71"/>
      <c r="G188" s="34"/>
    </row>
    <row r="189" spans="1:22">
      <c r="B189" s="68"/>
      <c r="C189" s="34"/>
      <c r="D189" s="70"/>
      <c r="E189" s="71"/>
      <c r="F189" s="71"/>
      <c r="G189" s="34"/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70</v>
      </c>
      <c r="C200" s="35" t="s">
        <v>66</v>
      </c>
      <c r="D200" s="69">
        <f>SUM(D186:D199)</f>
        <v>33.799999999999997</v>
      </c>
      <c r="E200" s="69">
        <f>SUM(E186:E199)</f>
        <v>0</v>
      </c>
      <c r="F200" s="69">
        <f>SUM(F186:F199)</f>
        <v>0</v>
      </c>
      <c r="G200" s="35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71" t="str">
        <f>'2018'!A30</f>
        <v>Belleza</v>
      </c>
      <c r="C202" s="272"/>
      <c r="D202" s="272"/>
      <c r="E202" s="272"/>
      <c r="F202" s="272"/>
      <c r="G202" s="273"/>
    </row>
    <row r="203" spans="2:7" ht="15" customHeight="1" thickBot="1">
      <c r="B203" s="274"/>
      <c r="C203" s="275"/>
      <c r="D203" s="275"/>
      <c r="E203" s="275"/>
      <c r="F203" s="275"/>
      <c r="G203" s="276"/>
    </row>
    <row r="204" spans="2:7">
      <c r="B204" s="279" t="s">
        <v>10</v>
      </c>
      <c r="C204" s="278"/>
      <c r="D204" s="277" t="s">
        <v>11</v>
      </c>
      <c r="E204" s="277"/>
      <c r="F204" s="277"/>
      <c r="G204" s="278"/>
    </row>
    <row r="205" spans="2:7">
      <c r="B205" s="65" t="s">
        <v>32</v>
      </c>
      <c r="C205" s="73" t="s">
        <v>33</v>
      </c>
      <c r="D205" s="65" t="s">
        <v>68</v>
      </c>
      <c r="E205" s="66" t="s">
        <v>69</v>
      </c>
      <c r="F205" s="66" t="s">
        <v>32</v>
      </c>
      <c r="G205" s="73" t="s">
        <v>394</v>
      </c>
    </row>
    <row r="206" spans="2:7">
      <c r="B206" s="67">
        <v>35</v>
      </c>
      <c r="C206" s="37"/>
      <c r="D206" s="70"/>
      <c r="E206" s="71"/>
      <c r="F206" s="71"/>
      <c r="G206" s="34"/>
    </row>
    <row r="207" spans="2:7">
      <c r="B207" s="68"/>
      <c r="C207" s="34"/>
      <c r="D207" s="70"/>
      <c r="E207" s="71"/>
      <c r="F207" s="71"/>
      <c r="G207" s="34"/>
    </row>
    <row r="208" spans="2:7">
      <c r="B208" s="68"/>
      <c r="C208" s="34"/>
      <c r="D208" s="70"/>
      <c r="E208" s="71"/>
      <c r="F208" s="71"/>
      <c r="G208" s="34"/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66</v>
      </c>
      <c r="D220" s="69">
        <f>SUM(D206:D219)</f>
        <v>0</v>
      </c>
      <c r="E220" s="69">
        <f>SUM(E206:E219)</f>
        <v>0</v>
      </c>
      <c r="F220" s="69">
        <f>SUM(F206:F219)</f>
        <v>0</v>
      </c>
      <c r="G220" s="35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71" t="str">
        <f>'2018'!A31</f>
        <v>Deportes</v>
      </c>
      <c r="C222" s="272"/>
      <c r="D222" s="272"/>
      <c r="E222" s="272"/>
      <c r="F222" s="272"/>
      <c r="G222" s="273"/>
    </row>
    <row r="223" spans="2:7" ht="15" customHeight="1" thickBot="1">
      <c r="B223" s="274"/>
      <c r="C223" s="275"/>
      <c r="D223" s="275"/>
      <c r="E223" s="275"/>
      <c r="F223" s="275"/>
      <c r="G223" s="276"/>
    </row>
    <row r="224" spans="2:7">
      <c r="B224" s="279" t="s">
        <v>10</v>
      </c>
      <c r="C224" s="278"/>
      <c r="D224" s="277" t="s">
        <v>11</v>
      </c>
      <c r="E224" s="277"/>
      <c r="F224" s="277"/>
      <c r="G224" s="278"/>
    </row>
    <row r="225" spans="2:7">
      <c r="B225" s="65" t="s">
        <v>32</v>
      </c>
      <c r="C225" s="73" t="s">
        <v>33</v>
      </c>
      <c r="D225" s="65" t="s">
        <v>68</v>
      </c>
      <c r="E225" s="66" t="s">
        <v>69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>
        <f>20</f>
        <v>20</v>
      </c>
      <c r="E226" s="71"/>
      <c r="F226" s="71"/>
      <c r="G226" s="71" t="s">
        <v>50</v>
      </c>
    </row>
    <row r="227" spans="2:7">
      <c r="B227" s="68">
        <v>0</v>
      </c>
      <c r="C227" s="34" t="s">
        <v>46</v>
      </c>
      <c r="D227" s="70"/>
      <c r="E227" s="71"/>
      <c r="F227" s="71"/>
      <c r="G227" s="34"/>
    </row>
    <row r="228" spans="2:7">
      <c r="B228" s="68"/>
      <c r="C228" s="34"/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20</v>
      </c>
      <c r="C240" s="35" t="s">
        <v>66</v>
      </c>
      <c r="D240" s="69">
        <f>SUM(D226:D239)</f>
        <v>20</v>
      </c>
      <c r="E240" s="69">
        <f>SUM(E226:E239)</f>
        <v>0</v>
      </c>
      <c r="F240" s="69">
        <f>SUM(F226:F239)</f>
        <v>0</v>
      </c>
      <c r="G240" s="35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71" t="str">
        <f>'2018'!A32</f>
        <v>Hogar</v>
      </c>
      <c r="C242" s="272"/>
      <c r="D242" s="272"/>
      <c r="E242" s="272"/>
      <c r="F242" s="272"/>
      <c r="G242" s="273"/>
    </row>
    <row r="243" spans="2:7" ht="15" customHeight="1" thickBot="1">
      <c r="B243" s="274"/>
      <c r="C243" s="275"/>
      <c r="D243" s="275"/>
      <c r="E243" s="275"/>
      <c r="F243" s="275"/>
      <c r="G243" s="276"/>
    </row>
    <row r="244" spans="2:7" ht="15" customHeight="1">
      <c r="B244" s="279" t="s">
        <v>10</v>
      </c>
      <c r="C244" s="278"/>
      <c r="D244" s="277" t="s">
        <v>11</v>
      </c>
      <c r="E244" s="277"/>
      <c r="F244" s="277"/>
      <c r="G244" s="278"/>
    </row>
    <row r="245" spans="2:7" ht="15" customHeight="1">
      <c r="B245" s="65" t="s">
        <v>32</v>
      </c>
      <c r="C245" s="73" t="s">
        <v>33</v>
      </c>
      <c r="D245" s="65" t="s">
        <v>68</v>
      </c>
      <c r="E245" s="66" t="s">
        <v>69</v>
      </c>
      <c r="F245" s="66" t="s">
        <v>32</v>
      </c>
      <c r="G245" s="73" t="s">
        <v>394</v>
      </c>
    </row>
    <row r="246" spans="2:7" ht="15" customHeight="1">
      <c r="B246" s="68">
        <v>50</v>
      </c>
      <c r="C246" s="79"/>
      <c r="D246" s="70">
        <v>10.4</v>
      </c>
      <c r="E246" s="71"/>
      <c r="F246" s="71"/>
      <c r="G246" s="34" t="s">
        <v>588</v>
      </c>
    </row>
    <row r="247" spans="2:7" ht="15" customHeight="1">
      <c r="B247" s="68"/>
      <c r="C247" s="34"/>
      <c r="D247" s="70"/>
      <c r="E247" s="71"/>
      <c r="F247" s="71"/>
      <c r="G247" s="34"/>
    </row>
    <row r="248" spans="2:7">
      <c r="B248" s="68"/>
      <c r="C248" s="34"/>
      <c r="D248" s="70"/>
      <c r="E248" s="71"/>
      <c r="F248" s="71"/>
      <c r="G248" s="34"/>
    </row>
    <row r="249" spans="2:7">
      <c r="B249" s="68"/>
      <c r="C249" s="34"/>
      <c r="D249" s="70"/>
      <c r="E249" s="71"/>
      <c r="F249" s="71"/>
      <c r="G249" s="34"/>
    </row>
    <row r="250" spans="2:7">
      <c r="B250" s="68"/>
      <c r="C250" s="34"/>
      <c r="D250" s="70"/>
      <c r="E250" s="71"/>
      <c r="F250" s="71"/>
      <c r="G250" s="34"/>
    </row>
    <row r="251" spans="2:7">
      <c r="B251" s="68"/>
      <c r="C251" s="34"/>
      <c r="D251" s="70"/>
      <c r="E251" s="71"/>
      <c r="F251" s="71"/>
      <c r="G251" s="34"/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50</v>
      </c>
      <c r="C260" s="35" t="s">
        <v>66</v>
      </c>
      <c r="D260" s="69">
        <f>SUM(D246:D259)</f>
        <v>10.4</v>
      </c>
      <c r="E260" s="69">
        <f>SUM(E246:E259)</f>
        <v>0</v>
      </c>
      <c r="F260" s="69">
        <f>SUM(F246:F259)</f>
        <v>0</v>
      </c>
      <c r="G260" s="35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71" t="str">
        <f>'2018'!A33</f>
        <v>Formación</v>
      </c>
      <c r="C262" s="272"/>
      <c r="D262" s="272"/>
      <c r="E262" s="272"/>
      <c r="F262" s="272"/>
      <c r="G262" s="273"/>
    </row>
    <row r="263" spans="2:7" ht="15" customHeight="1" thickBot="1">
      <c r="B263" s="274"/>
      <c r="C263" s="275"/>
      <c r="D263" s="275"/>
      <c r="E263" s="275"/>
      <c r="F263" s="275"/>
      <c r="G263" s="276"/>
    </row>
    <row r="264" spans="2:7">
      <c r="B264" s="279" t="s">
        <v>10</v>
      </c>
      <c r="C264" s="278"/>
      <c r="D264" s="277" t="s">
        <v>11</v>
      </c>
      <c r="E264" s="277"/>
      <c r="F264" s="277"/>
      <c r="G264" s="278"/>
    </row>
    <row r="265" spans="2:7">
      <c r="B265" s="65" t="s">
        <v>32</v>
      </c>
      <c r="C265" s="73" t="s">
        <v>33</v>
      </c>
      <c r="D265" s="65" t="s">
        <v>68</v>
      </c>
      <c r="E265" s="66" t="s">
        <v>69</v>
      </c>
      <c r="F265" s="66" t="s">
        <v>32</v>
      </c>
      <c r="G265" s="73" t="s">
        <v>33</v>
      </c>
    </row>
    <row r="266" spans="2:7">
      <c r="B266" s="67">
        <v>50</v>
      </c>
      <c r="C266" s="37"/>
      <c r="D266" s="70"/>
      <c r="E266" s="71"/>
      <c r="F266" s="71"/>
      <c r="G266" s="34"/>
    </row>
    <row r="267" spans="2:7">
      <c r="B267" s="68"/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7">
      <c r="B273" s="68"/>
      <c r="C273" s="34"/>
      <c r="D273" s="70"/>
      <c r="E273" s="71"/>
      <c r="F273" s="71"/>
      <c r="G273" s="34"/>
    </row>
    <row r="274" spans="2:7">
      <c r="B274" s="68"/>
      <c r="C274" s="34"/>
      <c r="D274" s="70"/>
      <c r="E274" s="71"/>
      <c r="F274" s="71"/>
      <c r="G274" s="34"/>
    </row>
    <row r="275" spans="2:7">
      <c r="B275" s="68"/>
      <c r="C275" s="34"/>
      <c r="D275" s="70"/>
      <c r="E275" s="71"/>
      <c r="F275" s="71"/>
      <c r="G275" s="34"/>
    </row>
    <row r="276" spans="2:7">
      <c r="B276" s="68"/>
      <c r="C276" s="34"/>
      <c r="D276" s="70"/>
      <c r="E276" s="71"/>
      <c r="F276" s="71"/>
      <c r="G276" s="34"/>
    </row>
    <row r="277" spans="2:7">
      <c r="B277" s="68"/>
      <c r="C277" s="34"/>
      <c r="D277" s="70"/>
      <c r="E277" s="71"/>
      <c r="F277" s="71"/>
      <c r="G277" s="34"/>
    </row>
    <row r="278" spans="2:7">
      <c r="B278" s="68"/>
      <c r="C278" s="34"/>
      <c r="D278" s="70"/>
      <c r="E278" s="71"/>
      <c r="F278" s="71"/>
      <c r="G278" s="34"/>
    </row>
    <row r="279" spans="2:7" ht="15.75" thickBot="1">
      <c r="B279" s="69"/>
      <c r="C279" s="35"/>
      <c r="D279" s="69"/>
      <c r="E279" s="72"/>
      <c r="F279" s="72"/>
      <c r="G279" s="35"/>
    </row>
    <row r="280" spans="2:7" ht="15.75" thickBot="1">
      <c r="B280" s="69">
        <f>SUM(B266:B279)</f>
        <v>50</v>
      </c>
      <c r="C280" s="35" t="s">
        <v>66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271" t="str">
        <f>'2018'!A34</f>
        <v>Regalos</v>
      </c>
      <c r="C282" s="272"/>
      <c r="D282" s="272"/>
      <c r="E282" s="272"/>
      <c r="F282" s="272"/>
      <c r="G282" s="273"/>
    </row>
    <row r="283" spans="2:7" ht="15" customHeight="1" thickBot="1">
      <c r="B283" s="274"/>
      <c r="C283" s="275"/>
      <c r="D283" s="275"/>
      <c r="E283" s="275"/>
      <c r="F283" s="275"/>
      <c r="G283" s="276"/>
    </row>
    <row r="284" spans="2:7">
      <c r="B284" s="279" t="s">
        <v>10</v>
      </c>
      <c r="C284" s="278"/>
      <c r="D284" s="277" t="s">
        <v>11</v>
      </c>
      <c r="E284" s="277"/>
      <c r="F284" s="277"/>
      <c r="G284" s="278"/>
    </row>
    <row r="285" spans="2:7">
      <c r="B285" s="65" t="s">
        <v>32</v>
      </c>
      <c r="C285" s="73" t="s">
        <v>33</v>
      </c>
      <c r="D285" s="65" t="s">
        <v>68</v>
      </c>
      <c r="E285" s="66" t="s">
        <v>69</v>
      </c>
      <c r="F285" s="66" t="s">
        <v>32</v>
      </c>
      <c r="G285" s="73" t="s">
        <v>394</v>
      </c>
    </row>
    <row r="286" spans="2:7">
      <c r="B286" s="67">
        <v>100</v>
      </c>
      <c r="C286" s="37" t="s">
        <v>36</v>
      </c>
      <c r="D286" s="70"/>
      <c r="E286" s="71">
        <v>38.549999999999997</v>
      </c>
      <c r="F286" s="71"/>
      <c r="G286" s="34" t="s">
        <v>602</v>
      </c>
    </row>
    <row r="287" spans="2:7">
      <c r="B287" s="68"/>
      <c r="C287" s="34"/>
      <c r="D287" s="70"/>
      <c r="E287" s="71"/>
      <c r="F287" s="71"/>
      <c r="G287" s="34"/>
    </row>
    <row r="288" spans="2:7">
      <c r="B288" s="68"/>
      <c r="C288" s="34"/>
      <c r="D288" s="70"/>
      <c r="E288" s="71"/>
      <c r="F288" s="71"/>
      <c r="G288" s="34"/>
    </row>
    <row r="289" spans="2:7">
      <c r="B289" s="68"/>
      <c r="C289" s="34"/>
      <c r="D289" s="70"/>
      <c r="E289" s="71"/>
      <c r="F289" s="71"/>
      <c r="G289" s="34"/>
    </row>
    <row r="290" spans="2:7">
      <c r="B290" s="68"/>
      <c r="C290" s="34"/>
      <c r="D290" s="70"/>
      <c r="E290" s="71"/>
      <c r="F290" s="71"/>
      <c r="G290" s="34"/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100</v>
      </c>
      <c r="C300" s="35" t="s">
        <v>66</v>
      </c>
      <c r="D300" s="69">
        <f>SUM(D286:D299)</f>
        <v>0</v>
      </c>
      <c r="E300" s="69">
        <f>SUM(E286:E299)</f>
        <v>38.549999999999997</v>
      </c>
      <c r="F300" s="69">
        <f>SUM(F286:F299)</f>
        <v>0</v>
      </c>
      <c r="G300" s="35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71" t="str">
        <f>'2018'!A35</f>
        <v>Salud</v>
      </c>
      <c r="C302" s="272"/>
      <c r="D302" s="272"/>
      <c r="E302" s="272"/>
      <c r="F302" s="272"/>
      <c r="G302" s="273"/>
    </row>
    <row r="303" spans="2:7" ht="15" customHeight="1" thickBot="1">
      <c r="B303" s="274"/>
      <c r="C303" s="275"/>
      <c r="D303" s="275"/>
      <c r="E303" s="275"/>
      <c r="F303" s="275"/>
      <c r="G303" s="276"/>
    </row>
    <row r="304" spans="2:7">
      <c r="B304" s="279" t="s">
        <v>10</v>
      </c>
      <c r="C304" s="278"/>
      <c r="D304" s="277" t="s">
        <v>11</v>
      </c>
      <c r="E304" s="277"/>
      <c r="F304" s="277"/>
      <c r="G304" s="278"/>
    </row>
    <row r="305" spans="2:7">
      <c r="B305" s="65" t="s">
        <v>32</v>
      </c>
      <c r="C305" s="73" t="s">
        <v>33</v>
      </c>
      <c r="D305" s="65" t="s">
        <v>68</v>
      </c>
      <c r="E305" s="66" t="s">
        <v>69</v>
      </c>
      <c r="F305" s="66" t="s">
        <v>32</v>
      </c>
      <c r="G305" s="73" t="s">
        <v>394</v>
      </c>
    </row>
    <row r="306" spans="2:7">
      <c r="B306" s="67">
        <v>110</v>
      </c>
      <c r="C306" s="37" t="s">
        <v>475</v>
      </c>
      <c r="D306" s="70">
        <v>10.81</v>
      </c>
      <c r="E306" s="71"/>
      <c r="F306" s="71"/>
      <c r="G306" s="34" t="s">
        <v>574</v>
      </c>
    </row>
    <row r="307" spans="2:7">
      <c r="B307" s="119"/>
      <c r="C307" s="79"/>
      <c r="D307" s="70">
        <v>49.56</v>
      </c>
      <c r="E307" s="71"/>
      <c r="F307" s="71"/>
      <c r="G307" s="34" t="s">
        <v>587</v>
      </c>
    </row>
    <row r="308" spans="2:7">
      <c r="B308" s="119"/>
      <c r="C308" s="79"/>
      <c r="D308" s="70">
        <v>9.1</v>
      </c>
      <c r="E308" s="71"/>
      <c r="F308" s="71"/>
      <c r="G308" s="34" t="s">
        <v>610</v>
      </c>
    </row>
    <row r="309" spans="2:7">
      <c r="B309" s="68"/>
      <c r="C309" s="34"/>
      <c r="D309" s="70">
        <v>4.1399999999999997</v>
      </c>
      <c r="E309" s="71"/>
      <c r="F309" s="71"/>
      <c r="G309" s="34" t="s">
        <v>617</v>
      </c>
    </row>
    <row r="310" spans="2:7">
      <c r="B310" s="68"/>
      <c r="C310" s="34"/>
      <c r="D310" s="70"/>
      <c r="E310" s="71"/>
      <c r="F310" s="71"/>
      <c r="G310" s="34"/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110</v>
      </c>
      <c r="C320" s="35" t="s">
        <v>66</v>
      </c>
      <c r="D320" s="69">
        <f>SUM(D306:D319)</f>
        <v>73.61</v>
      </c>
      <c r="E320" s="69">
        <f>SUM(E306:E319)</f>
        <v>0</v>
      </c>
      <c r="F320" s="69">
        <f>SUM(F306:F319)</f>
        <v>0</v>
      </c>
      <c r="G320" s="35" t="s">
        <v>66</v>
      </c>
    </row>
    <row r="321" spans="2:7" ht="15.75" thickBot="1"/>
    <row r="322" spans="2:7" ht="14.45" customHeight="1">
      <c r="B322" s="271" t="str">
        <f>'2018'!A36</f>
        <v>Martina</v>
      </c>
      <c r="C322" s="272"/>
      <c r="D322" s="272"/>
      <c r="E322" s="272"/>
      <c r="F322" s="272"/>
      <c r="G322" s="273"/>
    </row>
    <row r="323" spans="2:7" ht="15" customHeight="1" thickBot="1">
      <c r="B323" s="274"/>
      <c r="C323" s="275"/>
      <c r="D323" s="275"/>
      <c r="E323" s="275"/>
      <c r="F323" s="275"/>
      <c r="G323" s="276"/>
    </row>
    <row r="324" spans="2:7">
      <c r="B324" s="279" t="s">
        <v>10</v>
      </c>
      <c r="C324" s="278"/>
      <c r="D324" s="277" t="s">
        <v>11</v>
      </c>
      <c r="E324" s="277"/>
      <c r="F324" s="277"/>
      <c r="G324" s="278"/>
    </row>
    <row r="325" spans="2:7">
      <c r="B325" s="65" t="s">
        <v>32</v>
      </c>
      <c r="C325" s="73" t="s">
        <v>33</v>
      </c>
      <c r="D325" s="65" t="s">
        <v>68</v>
      </c>
      <c r="E325" s="66" t="s">
        <v>69</v>
      </c>
      <c r="F325" s="66" t="s">
        <v>32</v>
      </c>
      <c r="G325" s="73" t="s">
        <v>394</v>
      </c>
    </row>
    <row r="326" spans="2:7">
      <c r="B326" s="67">
        <v>90</v>
      </c>
      <c r="C326" s="37"/>
      <c r="D326" s="70">
        <v>348</v>
      </c>
      <c r="E326" s="71"/>
      <c r="F326" s="71"/>
      <c r="G326" s="34" t="s">
        <v>609</v>
      </c>
    </row>
    <row r="327" spans="2:7">
      <c r="B327" s="68"/>
      <c r="C327" s="34"/>
      <c r="D327" s="70"/>
      <c r="E327" s="71"/>
      <c r="F327" s="71"/>
      <c r="G327" s="34"/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90</v>
      </c>
      <c r="C340" s="35" t="s">
        <v>66</v>
      </c>
      <c r="D340" s="69">
        <f>SUM(D326:D339)</f>
        <v>348</v>
      </c>
      <c r="E340" s="69">
        <f>SUM(E326:E339)</f>
        <v>0</v>
      </c>
      <c r="F340" s="69">
        <f>SUM(F326:F339)</f>
        <v>0</v>
      </c>
      <c r="G340" s="35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71" t="str">
        <f>'2018'!A37</f>
        <v>Impuestos</v>
      </c>
      <c r="C342" s="272"/>
      <c r="D342" s="272"/>
      <c r="E342" s="272"/>
      <c r="F342" s="272"/>
      <c r="G342" s="273"/>
    </row>
    <row r="343" spans="2:7" ht="15" customHeight="1" thickBot="1">
      <c r="B343" s="274"/>
      <c r="C343" s="275"/>
      <c r="D343" s="275"/>
      <c r="E343" s="275"/>
      <c r="F343" s="275"/>
      <c r="G343" s="276"/>
    </row>
    <row r="344" spans="2:7">
      <c r="B344" s="279" t="s">
        <v>10</v>
      </c>
      <c r="C344" s="278"/>
      <c r="D344" s="277" t="s">
        <v>11</v>
      </c>
      <c r="E344" s="277"/>
      <c r="F344" s="277"/>
      <c r="G344" s="278"/>
    </row>
    <row r="345" spans="2:7">
      <c r="B345" s="65" t="s">
        <v>32</v>
      </c>
      <c r="C345" s="73" t="s">
        <v>33</v>
      </c>
      <c r="D345" s="65" t="s">
        <v>68</v>
      </c>
      <c r="E345" s="66" t="s">
        <v>69</v>
      </c>
      <c r="F345" s="66" t="s">
        <v>32</v>
      </c>
      <c r="G345" s="73" t="s">
        <v>394</v>
      </c>
    </row>
    <row r="346" spans="2:7">
      <c r="B346" s="67">
        <v>30</v>
      </c>
      <c r="C346" s="37" t="s">
        <v>119</v>
      </c>
      <c r="D346" s="70">
        <v>65</v>
      </c>
      <c r="E346" s="71"/>
      <c r="F346" s="71"/>
      <c r="G346" s="34" t="s">
        <v>595</v>
      </c>
    </row>
    <row r="347" spans="2:7">
      <c r="B347" s="68">
        <v>30</v>
      </c>
      <c r="C347" s="34" t="s">
        <v>561</v>
      </c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60</v>
      </c>
      <c r="C360" s="35" t="s">
        <v>66</v>
      </c>
      <c r="D360" s="69">
        <f>SUM(D346:D359)</f>
        <v>65</v>
      </c>
      <c r="E360" s="69">
        <f>SUM(E346:E359)</f>
        <v>0</v>
      </c>
      <c r="F360" s="69">
        <f>SUM(F346:F359)</f>
        <v>0</v>
      </c>
      <c r="G360" s="35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71" t="str">
        <f>'2018'!A38</f>
        <v>Gastos Curros</v>
      </c>
      <c r="C362" s="272"/>
      <c r="D362" s="272"/>
      <c r="E362" s="272"/>
      <c r="F362" s="272"/>
      <c r="G362" s="273"/>
    </row>
    <row r="363" spans="2:7" ht="15" customHeight="1" thickBot="1">
      <c r="B363" s="274"/>
      <c r="C363" s="275"/>
      <c r="D363" s="275"/>
      <c r="E363" s="275"/>
      <c r="F363" s="275"/>
      <c r="G363" s="276"/>
    </row>
    <row r="364" spans="2:7">
      <c r="B364" s="279" t="s">
        <v>10</v>
      </c>
      <c r="C364" s="278"/>
      <c r="D364" s="277" t="s">
        <v>11</v>
      </c>
      <c r="E364" s="277"/>
      <c r="F364" s="277"/>
      <c r="G364" s="278"/>
    </row>
    <row r="365" spans="2:7">
      <c r="B365" s="65" t="s">
        <v>32</v>
      </c>
      <c r="C365" s="73" t="s">
        <v>33</v>
      </c>
      <c r="D365" s="65" t="s">
        <v>68</v>
      </c>
      <c r="E365" s="66" t="s">
        <v>69</v>
      </c>
      <c r="F365" s="66" t="s">
        <v>32</v>
      </c>
      <c r="G365" s="73" t="s">
        <v>394</v>
      </c>
    </row>
    <row r="366" spans="2:7">
      <c r="B366" s="67">
        <v>70</v>
      </c>
      <c r="C366" s="37" t="s">
        <v>36</v>
      </c>
      <c r="D366" s="70"/>
      <c r="E366" s="71"/>
      <c r="F366" s="71">
        <f>4+4.5+2.8+4.05+3.5</f>
        <v>18.850000000000001</v>
      </c>
      <c r="G366" s="91" t="s">
        <v>91</v>
      </c>
    </row>
    <row r="367" spans="2:7">
      <c r="B367" s="68"/>
      <c r="C367" s="34"/>
      <c r="D367" s="70">
        <v>6</v>
      </c>
      <c r="E367" s="71"/>
      <c r="F367" s="71"/>
      <c r="G367" s="213" t="s">
        <v>594</v>
      </c>
    </row>
    <row r="368" spans="2:7">
      <c r="B368" s="68"/>
      <c r="C368" s="34"/>
      <c r="D368" s="70">
        <v>5.78</v>
      </c>
      <c r="E368" s="71"/>
      <c r="F368" s="71"/>
      <c r="G368" s="34" t="s">
        <v>599</v>
      </c>
    </row>
    <row r="369" spans="2:7">
      <c r="B369" s="68"/>
      <c r="C369" s="34"/>
      <c r="D369" s="70">
        <v>15.01</v>
      </c>
      <c r="E369" s="71"/>
      <c r="F369" s="71"/>
      <c r="G369" s="34" t="s">
        <v>605</v>
      </c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70</v>
      </c>
      <c r="C380" s="35" t="s">
        <v>66</v>
      </c>
      <c r="D380" s="69">
        <f>SUM(D366:D379)</f>
        <v>26.79</v>
      </c>
      <c r="E380" s="69">
        <f>SUM(E366:E379)</f>
        <v>0</v>
      </c>
      <c r="F380" s="69">
        <f>SUM(F366:F379)</f>
        <v>18.850000000000001</v>
      </c>
      <c r="G380" s="35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71" t="str">
        <f>'2018'!A39</f>
        <v>Dreamed Holidays</v>
      </c>
      <c r="C382" s="272"/>
      <c r="D382" s="272"/>
      <c r="E382" s="272"/>
      <c r="F382" s="272"/>
      <c r="G382" s="273"/>
    </row>
    <row r="383" spans="2:7" ht="15" customHeight="1" thickBot="1">
      <c r="B383" s="274"/>
      <c r="C383" s="275"/>
      <c r="D383" s="275"/>
      <c r="E383" s="275"/>
      <c r="F383" s="275"/>
      <c r="G383" s="276"/>
    </row>
    <row r="384" spans="2:7">
      <c r="B384" s="279" t="s">
        <v>10</v>
      </c>
      <c r="C384" s="278"/>
      <c r="D384" s="277" t="s">
        <v>11</v>
      </c>
      <c r="E384" s="277"/>
      <c r="F384" s="277"/>
      <c r="G384" s="278"/>
    </row>
    <row r="385" spans="2:7">
      <c r="B385" s="65" t="s">
        <v>32</v>
      </c>
      <c r="C385" s="73" t="s">
        <v>33</v>
      </c>
      <c r="D385" s="65" t="s">
        <v>68</v>
      </c>
      <c r="E385" s="66" t="s">
        <v>69</v>
      </c>
      <c r="F385" s="66" t="s">
        <v>32</v>
      </c>
      <c r="G385" s="73" t="s">
        <v>33</v>
      </c>
    </row>
    <row r="386" spans="2:7">
      <c r="B386" s="67">
        <v>20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20</v>
      </c>
      <c r="C400" s="35" t="s">
        <v>66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71" t="str">
        <f>'2018'!A40</f>
        <v>Financieros</v>
      </c>
      <c r="C402" s="272"/>
      <c r="D402" s="272"/>
      <c r="E402" s="272"/>
      <c r="F402" s="272"/>
      <c r="G402" s="273"/>
    </row>
    <row r="403" spans="2:7" ht="15" customHeight="1" thickBot="1">
      <c r="B403" s="274"/>
      <c r="C403" s="275"/>
      <c r="D403" s="275"/>
      <c r="E403" s="275"/>
      <c r="F403" s="275"/>
      <c r="G403" s="276"/>
    </row>
    <row r="404" spans="2:7">
      <c r="B404" s="279" t="s">
        <v>10</v>
      </c>
      <c r="C404" s="278"/>
      <c r="D404" s="277" t="s">
        <v>11</v>
      </c>
      <c r="E404" s="277"/>
      <c r="F404" s="277"/>
      <c r="G404" s="278"/>
    </row>
    <row r="405" spans="2:7">
      <c r="B405" s="65" t="s">
        <v>32</v>
      </c>
      <c r="C405" s="73" t="s">
        <v>33</v>
      </c>
      <c r="D405" s="65" t="s">
        <v>68</v>
      </c>
      <c r="E405" s="66" t="s">
        <v>69</v>
      </c>
      <c r="F405" s="66" t="s">
        <v>32</v>
      </c>
      <c r="G405" s="73" t="s">
        <v>33</v>
      </c>
    </row>
    <row r="406" spans="2:7">
      <c r="B406" s="67"/>
      <c r="C406" s="37"/>
      <c r="D406" s="70"/>
      <c r="E406" s="71"/>
      <c r="F406" s="71"/>
      <c r="G406" s="34"/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0</v>
      </c>
      <c r="C420" s="35" t="s">
        <v>66</v>
      </c>
      <c r="D420" s="69">
        <f>SUM(D406:D419)</f>
        <v>0</v>
      </c>
      <c r="E420" s="69">
        <f>SUM(E406:E419)</f>
        <v>0</v>
      </c>
      <c r="F420" s="69">
        <f>SUM(F406:F419)</f>
        <v>0</v>
      </c>
      <c r="G420" s="35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71" t="str">
        <f>'2018'!A41</f>
        <v>Ahorros Colchón</v>
      </c>
      <c r="C422" s="289"/>
      <c r="D422" s="289"/>
      <c r="E422" s="289"/>
      <c r="F422" s="289"/>
      <c r="G422" s="290"/>
    </row>
    <row r="423" spans="2:7" ht="15" customHeight="1" thickBot="1">
      <c r="B423" s="291"/>
      <c r="C423" s="292"/>
      <c r="D423" s="292"/>
      <c r="E423" s="292"/>
      <c r="F423" s="292"/>
      <c r="G423" s="293"/>
    </row>
    <row r="424" spans="2:7">
      <c r="B424" s="279" t="s">
        <v>10</v>
      </c>
      <c r="C424" s="278"/>
      <c r="D424" s="277" t="s">
        <v>11</v>
      </c>
      <c r="E424" s="277"/>
      <c r="F424" s="277"/>
      <c r="G424" s="278"/>
    </row>
    <row r="425" spans="2:7">
      <c r="B425" s="65" t="s">
        <v>32</v>
      </c>
      <c r="C425" s="73" t="s">
        <v>33</v>
      </c>
      <c r="D425" s="65" t="s">
        <v>68</v>
      </c>
      <c r="E425" s="66" t="s">
        <v>69</v>
      </c>
      <c r="F425" s="66" t="s">
        <v>32</v>
      </c>
      <c r="G425" s="73" t="s">
        <v>33</v>
      </c>
    </row>
    <row r="426" spans="2:7">
      <c r="B426" s="67">
        <f>'2018'!AI17-4008.71</f>
        <v>-2747.67</v>
      </c>
      <c r="C426" s="37" t="s">
        <v>530</v>
      </c>
      <c r="D426" s="70"/>
      <c r="E426" s="71"/>
      <c r="F426" s="71"/>
      <c r="G426" s="34"/>
    </row>
    <row r="427" spans="2:7">
      <c r="B427" s="68"/>
      <c r="C427" s="34"/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-2747.67</v>
      </c>
      <c r="C440" s="35" t="s">
        <v>66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71" t="str">
        <f>'2018'!A42</f>
        <v>Dinero Bloqueado</v>
      </c>
      <c r="C442" s="289"/>
      <c r="D442" s="289"/>
      <c r="E442" s="289"/>
      <c r="F442" s="289"/>
      <c r="G442" s="290"/>
    </row>
    <row r="443" spans="2:7" ht="15" customHeight="1" thickBot="1">
      <c r="B443" s="291"/>
      <c r="C443" s="292"/>
      <c r="D443" s="292"/>
      <c r="E443" s="292"/>
      <c r="F443" s="292"/>
      <c r="G443" s="293"/>
    </row>
    <row r="444" spans="2:7">
      <c r="B444" s="279" t="s">
        <v>10</v>
      </c>
      <c r="C444" s="278"/>
      <c r="D444" s="277" t="s">
        <v>11</v>
      </c>
      <c r="E444" s="277"/>
      <c r="F444" s="277"/>
      <c r="G444" s="278"/>
    </row>
    <row r="445" spans="2:7">
      <c r="B445" s="65" t="s">
        <v>32</v>
      </c>
      <c r="C445" s="73" t="s">
        <v>33</v>
      </c>
      <c r="D445" s="65" t="s">
        <v>68</v>
      </c>
      <c r="E445" s="66" t="s">
        <v>69</v>
      </c>
      <c r="F445" s="66" t="s">
        <v>32</v>
      </c>
      <c r="G445" s="73" t="s">
        <v>33</v>
      </c>
    </row>
    <row r="446" spans="2:7">
      <c r="B446" s="67"/>
      <c r="C446" s="37"/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0</v>
      </c>
      <c r="C460" s="35" t="s">
        <v>66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71" t="str">
        <f>'2018'!A43</f>
        <v>Cartama Finanazas</v>
      </c>
      <c r="C462" s="289"/>
      <c r="D462" s="289"/>
      <c r="E462" s="289"/>
      <c r="F462" s="289"/>
      <c r="G462" s="290"/>
    </row>
    <row r="463" spans="2:7" ht="15" customHeight="1" thickBot="1">
      <c r="B463" s="291"/>
      <c r="C463" s="292"/>
      <c r="D463" s="292"/>
      <c r="E463" s="292"/>
      <c r="F463" s="292"/>
      <c r="G463" s="293"/>
    </row>
    <row r="464" spans="2:7">
      <c r="B464" s="279" t="s">
        <v>10</v>
      </c>
      <c r="C464" s="278"/>
      <c r="D464" s="277" t="s">
        <v>11</v>
      </c>
      <c r="E464" s="277"/>
      <c r="F464" s="277"/>
      <c r="G464" s="278"/>
    </row>
    <row r="465" spans="1:8">
      <c r="A465" s="175" t="s">
        <v>611</v>
      </c>
      <c r="B465" s="65" t="s">
        <v>32</v>
      </c>
      <c r="C465" s="73" t="s">
        <v>33</v>
      </c>
      <c r="D465" s="65" t="s">
        <v>68</v>
      </c>
      <c r="E465" s="66" t="s">
        <v>69</v>
      </c>
      <c r="F465" s="66" t="s">
        <v>32</v>
      </c>
      <c r="G465" s="73" t="s">
        <v>33</v>
      </c>
    </row>
    <row r="466" spans="1:8">
      <c r="A466" s="203">
        <v>271</v>
      </c>
      <c r="B466" s="68">
        <v>56</v>
      </c>
      <c r="C466" s="34" t="s">
        <v>487</v>
      </c>
      <c r="D466" s="70"/>
      <c r="E466" s="71"/>
      <c r="F466" s="71">
        <v>100</v>
      </c>
      <c r="G466" s="34" t="s">
        <v>584</v>
      </c>
      <c r="H466" s="175" t="s">
        <v>585</v>
      </c>
    </row>
    <row r="467" spans="1:8">
      <c r="A467" s="203">
        <v>0</v>
      </c>
      <c r="B467" s="68"/>
      <c r="C467" s="34"/>
      <c r="D467" s="70"/>
      <c r="E467" s="71"/>
      <c r="F467" s="71"/>
      <c r="G467" s="34"/>
    </row>
    <row r="468" spans="1:8">
      <c r="A468" s="203">
        <v>0</v>
      </c>
      <c r="B468" s="68"/>
      <c r="C468" s="34"/>
      <c r="D468" s="70"/>
      <c r="E468" s="71"/>
      <c r="F468" s="71"/>
      <c r="G468" s="34"/>
    </row>
    <row r="469" spans="1:8">
      <c r="B469" s="68"/>
      <c r="C469" s="34"/>
      <c r="D469" s="70"/>
      <c r="E469" s="71"/>
      <c r="F469" s="71"/>
      <c r="G469" s="34"/>
    </row>
    <row r="470" spans="1:8">
      <c r="B470" s="68"/>
      <c r="C470" s="34"/>
      <c r="D470" s="70"/>
      <c r="E470" s="71"/>
      <c r="F470" s="71"/>
      <c r="G470" s="34"/>
    </row>
    <row r="471" spans="1:8">
      <c r="B471" s="68"/>
      <c r="C471" s="34"/>
      <c r="D471" s="70"/>
      <c r="E471" s="71"/>
      <c r="F471" s="71"/>
      <c r="G471" s="34"/>
    </row>
    <row r="472" spans="1:8">
      <c r="B472" s="68"/>
      <c r="C472" s="34"/>
      <c r="D472" s="70"/>
      <c r="E472" s="71"/>
      <c r="F472" s="71"/>
      <c r="G472" s="34"/>
    </row>
    <row r="473" spans="1:8">
      <c r="B473" s="68"/>
      <c r="C473" s="34"/>
      <c r="D473" s="70"/>
      <c r="E473" s="71"/>
      <c r="F473" s="71"/>
      <c r="G473" s="34"/>
    </row>
    <row r="474" spans="1:8">
      <c r="B474" s="68"/>
      <c r="C474" s="34"/>
      <c r="D474" s="70"/>
      <c r="E474" s="71"/>
      <c r="F474" s="71"/>
      <c r="G474" s="34"/>
    </row>
    <row r="475" spans="1:8">
      <c r="B475" s="68"/>
      <c r="C475" s="34"/>
      <c r="D475" s="70"/>
      <c r="E475" s="71"/>
      <c r="F475" s="71"/>
      <c r="G475" s="34"/>
    </row>
    <row r="476" spans="1:8">
      <c r="B476" s="68"/>
      <c r="C476" s="34"/>
      <c r="D476" s="70"/>
      <c r="E476" s="71"/>
      <c r="F476" s="71"/>
      <c r="G476" s="34"/>
    </row>
    <row r="477" spans="1:8">
      <c r="B477" s="68"/>
      <c r="C477" s="34"/>
      <c r="D477" s="70"/>
      <c r="E477" s="71"/>
      <c r="F477" s="71"/>
      <c r="G477" s="34"/>
    </row>
    <row r="478" spans="1:8">
      <c r="B478" s="68"/>
      <c r="C478" s="34"/>
      <c r="D478" s="70"/>
      <c r="E478" s="71"/>
      <c r="F478" s="71"/>
      <c r="G478" s="34"/>
    </row>
    <row r="479" spans="1:8" ht="15.75" thickBot="1">
      <c r="B479" s="69"/>
      <c r="C479" s="35"/>
      <c r="D479" s="69"/>
      <c r="E479" s="72"/>
      <c r="F479" s="72"/>
      <c r="G479" s="35"/>
    </row>
    <row r="480" spans="1:8" ht="15.75" thickBot="1">
      <c r="A480" s="203">
        <f>SUM(A466:A468)</f>
        <v>271</v>
      </c>
      <c r="B480" s="69">
        <f>SUM(B466:B479)</f>
        <v>56</v>
      </c>
      <c r="C480" s="35" t="s">
        <v>66</v>
      </c>
      <c r="D480" s="69">
        <f>SUM(D466:D479)</f>
        <v>0</v>
      </c>
      <c r="E480" s="69">
        <f>SUM(E466:E479)</f>
        <v>0</v>
      </c>
      <c r="F480" s="69">
        <f>SUM(F466:F479)</f>
        <v>100</v>
      </c>
      <c r="G480" s="35" t="s">
        <v>66</v>
      </c>
    </row>
    <row r="481" spans="2:7" ht="15.75" thickBot="1"/>
    <row r="482" spans="2:7" ht="14.45" customHeight="1">
      <c r="B482" s="271" t="str">
        <f>'2018'!A44</f>
        <v>NULO</v>
      </c>
      <c r="C482" s="289"/>
      <c r="D482" s="289"/>
      <c r="E482" s="289"/>
      <c r="F482" s="289"/>
      <c r="G482" s="290"/>
    </row>
    <row r="483" spans="2:7" ht="15" customHeight="1" thickBot="1">
      <c r="B483" s="291"/>
      <c r="C483" s="292"/>
      <c r="D483" s="292"/>
      <c r="E483" s="292"/>
      <c r="F483" s="292"/>
      <c r="G483" s="293"/>
    </row>
    <row r="484" spans="2:7">
      <c r="B484" s="279" t="s">
        <v>10</v>
      </c>
      <c r="C484" s="278"/>
      <c r="D484" s="277" t="s">
        <v>11</v>
      </c>
      <c r="E484" s="277"/>
      <c r="F484" s="277"/>
      <c r="G484" s="278"/>
    </row>
    <row r="485" spans="2:7">
      <c r="B485" s="65" t="s">
        <v>32</v>
      </c>
      <c r="C485" s="73" t="s">
        <v>33</v>
      </c>
      <c r="D485" s="65" t="s">
        <v>68</v>
      </c>
      <c r="E485" s="66" t="s">
        <v>69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66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71" t="str">
        <f>'2018'!A45</f>
        <v>OTROS</v>
      </c>
      <c r="C502" s="289"/>
      <c r="D502" s="289"/>
      <c r="E502" s="289"/>
      <c r="F502" s="289"/>
      <c r="G502" s="290"/>
    </row>
    <row r="503" spans="2:7" ht="15" customHeight="1" thickBot="1">
      <c r="B503" s="291"/>
      <c r="C503" s="292"/>
      <c r="D503" s="292"/>
      <c r="E503" s="292"/>
      <c r="F503" s="292"/>
      <c r="G503" s="293"/>
    </row>
    <row r="504" spans="2:7">
      <c r="B504" s="279" t="s">
        <v>10</v>
      </c>
      <c r="C504" s="278"/>
      <c r="D504" s="277" t="s">
        <v>11</v>
      </c>
      <c r="E504" s="277"/>
      <c r="F504" s="277"/>
      <c r="G504" s="278"/>
    </row>
    <row r="505" spans="2:7">
      <c r="B505" s="65" t="s">
        <v>32</v>
      </c>
      <c r="C505" s="73" t="s">
        <v>33</v>
      </c>
      <c r="D505" s="65" t="s">
        <v>68</v>
      </c>
      <c r="E505" s="66" t="s">
        <v>69</v>
      </c>
      <c r="F505" s="66" t="s">
        <v>32</v>
      </c>
      <c r="G505" s="73" t="s">
        <v>33</v>
      </c>
    </row>
    <row r="506" spans="2:7">
      <c r="B506" s="67">
        <v>49</v>
      </c>
      <c r="C506" s="37" t="s">
        <v>529</v>
      </c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>
        <f>SUM(B506:B519)</f>
        <v>49</v>
      </c>
      <c r="C520" s="35" t="s">
        <v>66</v>
      </c>
      <c r="D520" s="69">
        <f>SUM(D506:D519)</f>
        <v>0</v>
      </c>
      <c r="E520" s="69">
        <f>SUM(E506:E519)</f>
        <v>0</v>
      </c>
      <c r="F520" s="69">
        <f>SUM(F506:F519)</f>
        <v>0</v>
      </c>
      <c r="G520" s="35" t="s">
        <v>66</v>
      </c>
    </row>
  </sheetData>
  <mergeCells count="111"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900-000000000000}"/>
    <hyperlink ref="I22" location="Trimestre!C39:F40" display="TELÉFONO" xr:uid="{00000000-0004-0000-0900-000001000000}"/>
    <hyperlink ref="I22:L23" location="'2018'!AI7:AL7" display="INGRESOS" xr:uid="{00000000-0004-0000-0900-000002000000}"/>
    <hyperlink ref="B2" location="Trimestre!C25:F26" display="HIPOTECA" xr:uid="{00000000-0004-0000-0900-000003000000}"/>
    <hyperlink ref="B2:G3" location="'2018'!AI20:AL20" display="'2018'!AI20:AL20" xr:uid="{00000000-0004-0000-0900-000004000000}"/>
    <hyperlink ref="B22" location="Trimestre!C25:F26" display="HIPOTECA" xr:uid="{00000000-0004-0000-0900-000005000000}"/>
    <hyperlink ref="B22:G23" location="'2018'!AI21:AL21" display="'2018'!AI21:AL21" xr:uid="{00000000-0004-0000-0900-000006000000}"/>
    <hyperlink ref="B42" location="Trimestre!C25:F26" display="HIPOTECA" xr:uid="{00000000-0004-0000-0900-000007000000}"/>
    <hyperlink ref="B42:G43" location="'2018'!AI22:AL22" display="'2018'!AI22:AL22" xr:uid="{00000000-0004-0000-0900-000008000000}"/>
    <hyperlink ref="B62" location="Trimestre!C25:F26" display="HIPOTECA" xr:uid="{00000000-0004-0000-0900-000009000000}"/>
    <hyperlink ref="B62:G63" location="'2018'!AI23:AL23" display="'2018'!AI23:AL23" xr:uid="{00000000-0004-0000-0900-00000A000000}"/>
    <hyperlink ref="B82" location="Trimestre!C25:F26" display="HIPOTECA" xr:uid="{00000000-0004-0000-0900-00000B000000}"/>
    <hyperlink ref="B82:G83" location="'2018'!AI24:AL24" display="'2018'!AI24:AL24" xr:uid="{00000000-0004-0000-0900-00000C000000}"/>
    <hyperlink ref="B102" location="Trimestre!C25:F26" display="HIPOTECA" xr:uid="{00000000-0004-0000-0900-00000D000000}"/>
    <hyperlink ref="B102:G103" location="'2018'!AI25:AL25" display="'2018'!AI25:AL25" xr:uid="{00000000-0004-0000-0900-00000E000000}"/>
    <hyperlink ref="B122" location="Trimestre!C25:F26" display="HIPOTECA" xr:uid="{00000000-0004-0000-0900-00000F000000}"/>
    <hyperlink ref="B122:G123" location="'2018'!AI26:AL26" display="'2018'!AI26:AL26" xr:uid="{00000000-0004-0000-0900-000010000000}"/>
    <hyperlink ref="B142" location="Trimestre!C25:F26" display="HIPOTECA" xr:uid="{00000000-0004-0000-0900-000011000000}"/>
    <hyperlink ref="B142:G143" location="'2018'!AI27:AL27" display="'2018'!AI27:AL27" xr:uid="{00000000-0004-0000-0900-000012000000}"/>
    <hyperlink ref="B162" location="Trimestre!C25:F26" display="HIPOTECA" xr:uid="{00000000-0004-0000-0900-000013000000}"/>
    <hyperlink ref="B162:G163" location="'2018'!AI28:AL28" display="'2018'!AI28:AL28" xr:uid="{00000000-0004-0000-0900-000014000000}"/>
    <hyperlink ref="B182" location="Trimestre!C25:F26" display="HIPOTECA" xr:uid="{00000000-0004-0000-0900-000015000000}"/>
    <hyperlink ref="B182:G183" location="'2018'!AI29:AL29" display="'2018'!AI29:AL29" xr:uid="{00000000-0004-0000-0900-000016000000}"/>
    <hyperlink ref="B202" location="Trimestre!C25:F26" display="HIPOTECA" xr:uid="{00000000-0004-0000-0900-000017000000}"/>
    <hyperlink ref="B202:G203" location="'2018'!AI30:AL30" display="'2018'!AI30:AL30" xr:uid="{00000000-0004-0000-0900-000018000000}"/>
    <hyperlink ref="B222" location="Trimestre!C25:F26" display="HIPOTECA" xr:uid="{00000000-0004-0000-0900-000019000000}"/>
    <hyperlink ref="B222:G223" location="'2018'!AI31:AL31" display="'2018'!AI31:AL31" xr:uid="{00000000-0004-0000-0900-00001A000000}"/>
    <hyperlink ref="B242" location="Trimestre!C25:F26" display="HIPOTECA" xr:uid="{00000000-0004-0000-0900-00001B000000}"/>
    <hyperlink ref="B242:G243" location="'2018'!AI32:AL32" display="'2018'!AI32:AL32" xr:uid="{00000000-0004-0000-0900-00001C000000}"/>
    <hyperlink ref="B262" location="Trimestre!C25:F26" display="HIPOTECA" xr:uid="{00000000-0004-0000-0900-00001D000000}"/>
    <hyperlink ref="B262:G263" location="'2018'!AI33:AL33" display="'2018'!AI33:AL33" xr:uid="{00000000-0004-0000-0900-00001E000000}"/>
    <hyperlink ref="B282" location="Trimestre!C25:F26" display="HIPOTECA" xr:uid="{00000000-0004-0000-0900-00001F000000}"/>
    <hyperlink ref="B282:G283" location="'2018'!AI34:AL34" display="'2018'!AI34:AL34" xr:uid="{00000000-0004-0000-0900-000020000000}"/>
    <hyperlink ref="B302" location="Trimestre!C25:F26" display="HIPOTECA" xr:uid="{00000000-0004-0000-0900-000021000000}"/>
    <hyperlink ref="B302:G303" location="'2018'!AI35:AL35" display="'2018'!AI35:AL35" xr:uid="{00000000-0004-0000-0900-000022000000}"/>
    <hyperlink ref="B322" location="Trimestre!C25:F26" display="HIPOTECA" xr:uid="{00000000-0004-0000-0900-000023000000}"/>
    <hyperlink ref="B322:G323" location="'2018'!AI36:AL36" display="'2018'!AI36:AL36" xr:uid="{00000000-0004-0000-0900-000024000000}"/>
    <hyperlink ref="B342" location="Trimestre!C25:F26" display="HIPOTECA" xr:uid="{00000000-0004-0000-0900-000025000000}"/>
    <hyperlink ref="B342:G343" location="'2018'!AI37:AL37" display="'2018'!AI37:AL37" xr:uid="{00000000-0004-0000-0900-000026000000}"/>
    <hyperlink ref="B362" location="Trimestre!C25:F26" display="HIPOTECA" xr:uid="{00000000-0004-0000-0900-000027000000}"/>
    <hyperlink ref="B362:G363" location="'2018'!AI38:AL38" display="'2018'!AI38:AL38" xr:uid="{00000000-0004-0000-0900-000028000000}"/>
    <hyperlink ref="B382" location="Trimestre!C25:F26" display="HIPOTECA" xr:uid="{00000000-0004-0000-0900-000029000000}"/>
    <hyperlink ref="B382:G383" location="'2018'!AI39:AL39" display="'2018'!AI39:AL39" xr:uid="{00000000-0004-0000-0900-00002A000000}"/>
    <hyperlink ref="B402" location="Trimestre!C25:F26" display="HIPOTECA" xr:uid="{00000000-0004-0000-0900-00002B000000}"/>
    <hyperlink ref="B402:G403" location="'2018'!AI40:AL40" display="'2018'!AI40:AL40" xr:uid="{00000000-0004-0000-0900-00002C000000}"/>
    <hyperlink ref="B422" location="Trimestre!C25:F26" display="HIPOTECA" xr:uid="{00000000-0004-0000-0900-00002D000000}"/>
    <hyperlink ref="B422:G423" location="'2018'!AI41:AL41" display="'2018'!AI41:AL41" xr:uid="{00000000-0004-0000-0900-00002E000000}"/>
    <hyperlink ref="B442" location="Trimestre!C25:F26" display="HIPOTECA" xr:uid="{00000000-0004-0000-0900-00002F000000}"/>
    <hyperlink ref="B442:G443" location="'2018'!AI42:AL42" display="'2018'!AI42:AL42" xr:uid="{00000000-0004-0000-0900-000030000000}"/>
    <hyperlink ref="B462" location="Trimestre!C25:F26" display="HIPOTECA" xr:uid="{00000000-0004-0000-0900-000031000000}"/>
    <hyperlink ref="B462:G463" location="'2018'!AI43:AL43" display="'2018'!AI43:AL43" xr:uid="{00000000-0004-0000-0900-000032000000}"/>
    <hyperlink ref="B482" location="Trimestre!C25:F26" display="HIPOTECA" xr:uid="{00000000-0004-0000-0900-000033000000}"/>
    <hyperlink ref="B482:G483" location="'2018'!AI44:AL44" display="'2018'!AI44:AL44" xr:uid="{00000000-0004-0000-0900-000034000000}"/>
    <hyperlink ref="B502" location="Trimestre!C25:F26" display="HIPOTECA" xr:uid="{00000000-0004-0000-0900-000035000000}"/>
    <hyperlink ref="B502:G503" location="'2018'!AI45:AL45" display="'2018'!AI45:AL45" xr:uid="{00000000-0004-0000-0900-000036000000}"/>
    <hyperlink ref="I2:L3" location="'2018'!AI4:AL4" display="SALDO REAL" xr:uid="{00000000-0004-0000-0900-000037000000}"/>
  </hyperlink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V520"/>
  <sheetViews>
    <sheetView topLeftCell="A313" workbookViewId="0">
      <selection activeCell="B362" sqref="B362:G363"/>
    </sheetView>
  </sheetViews>
  <sheetFormatPr defaultColWidth="11.42578125" defaultRowHeight="15"/>
  <cols>
    <col min="1" max="1" width="11.42578125" style="175"/>
    <col min="2" max="2" width="10" style="175" customWidth="1"/>
    <col min="3" max="3" width="33.28515625" style="175" customWidth="1"/>
    <col min="4" max="6" width="10" style="175" customWidth="1"/>
    <col min="7" max="7" width="33.28515625" style="175" customWidth="1"/>
    <col min="8" max="9" width="11.42578125" style="175"/>
    <col min="10" max="10" width="31.28515625" style="175" customWidth="1"/>
    <col min="11" max="16384" width="11.42578125" style="175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71" t="str">
        <f>'2018'!A20</f>
        <v>Cártama Gastos</v>
      </c>
      <c r="C2" s="272"/>
      <c r="D2" s="272"/>
      <c r="E2" s="272"/>
      <c r="F2" s="272"/>
      <c r="G2" s="273"/>
      <c r="H2" s="1"/>
      <c r="I2" s="284" t="s">
        <v>4</v>
      </c>
      <c r="J2" s="272"/>
      <c r="K2" s="272"/>
      <c r="L2" s="273"/>
      <c r="M2" s="1"/>
      <c r="N2" s="1"/>
      <c r="R2" s="3"/>
    </row>
    <row r="3" spans="1:22" ht="16.5" thickBot="1">
      <c r="A3" s="1"/>
      <c r="B3" s="274"/>
      <c r="C3" s="275"/>
      <c r="D3" s="275"/>
      <c r="E3" s="275"/>
      <c r="F3" s="275"/>
      <c r="G3" s="276"/>
      <c r="H3" s="1"/>
      <c r="I3" s="274"/>
      <c r="J3" s="275"/>
      <c r="K3" s="275"/>
      <c r="L3" s="276"/>
      <c r="M3" s="1"/>
      <c r="N3" s="1"/>
      <c r="R3" s="3"/>
    </row>
    <row r="4" spans="1:22" ht="15.75">
      <c r="A4" s="1"/>
      <c r="B4" s="279" t="s">
        <v>10</v>
      </c>
      <c r="C4" s="278"/>
      <c r="D4" s="277" t="s">
        <v>11</v>
      </c>
      <c r="E4" s="277"/>
      <c r="F4" s="277"/>
      <c r="G4" s="278"/>
      <c r="H4" s="1"/>
      <c r="I4" s="124" t="s">
        <v>70</v>
      </c>
      <c r="J4" s="195" t="s">
        <v>71</v>
      </c>
      <c r="K4" s="285" t="s">
        <v>72</v>
      </c>
      <c r="L4" s="286"/>
      <c r="M4" s="1"/>
      <c r="N4" s="1"/>
      <c r="R4" s="3"/>
    </row>
    <row r="5" spans="1:22" ht="15.75">
      <c r="A5" s="1" t="s">
        <v>611</v>
      </c>
      <c r="B5" s="65" t="s">
        <v>32</v>
      </c>
      <c r="C5" s="73" t="s">
        <v>33</v>
      </c>
      <c r="D5" s="65" t="s">
        <v>68</v>
      </c>
      <c r="E5" s="66" t="s">
        <v>69</v>
      </c>
      <c r="F5" s="66" t="s">
        <v>32</v>
      </c>
      <c r="G5" s="73" t="s">
        <v>33</v>
      </c>
      <c r="H5" s="1"/>
      <c r="I5" s="196" t="s">
        <v>73</v>
      </c>
      <c r="J5" s="197" t="s">
        <v>74</v>
      </c>
      <c r="K5" s="287"/>
      <c r="L5" s="288"/>
      <c r="M5" s="1"/>
      <c r="N5" s="1"/>
      <c r="R5" s="3"/>
    </row>
    <row r="6" spans="1:22" ht="15.75">
      <c r="A6" s="202">
        <f>'09'!A6+B6-E6</f>
        <v>399.59</v>
      </c>
      <c r="B6" s="67">
        <v>399.59</v>
      </c>
      <c r="C6" s="37" t="s">
        <v>586</v>
      </c>
      <c r="D6" s="70"/>
      <c r="E6" s="71"/>
      <c r="F6" s="71"/>
      <c r="G6" s="34" t="s">
        <v>35</v>
      </c>
      <c r="H6" s="1"/>
      <c r="I6" s="198" t="s">
        <v>73</v>
      </c>
      <c r="J6" s="197" t="s">
        <v>75</v>
      </c>
      <c r="K6" s="280">
        <v>550</v>
      </c>
      <c r="L6" s="281"/>
      <c r="M6" s="1" t="s">
        <v>395</v>
      </c>
      <c r="N6" s="1"/>
      <c r="R6" s="3"/>
    </row>
    <row r="7" spans="1:22" ht="15.75">
      <c r="A7" s="202">
        <f>'09'!A7+B7-E7</f>
        <v>420</v>
      </c>
      <c r="B7" s="68">
        <v>60</v>
      </c>
      <c r="C7" s="34" t="s">
        <v>326</v>
      </c>
      <c r="D7" s="70"/>
      <c r="E7" s="71"/>
      <c r="F7" s="71"/>
      <c r="G7" s="34" t="s">
        <v>106</v>
      </c>
      <c r="H7" s="117"/>
      <c r="I7" s="198" t="s">
        <v>76</v>
      </c>
      <c r="J7" s="197" t="s">
        <v>77</v>
      </c>
      <c r="K7" s="280"/>
      <c r="L7" s="281"/>
      <c r="M7" s="1"/>
      <c r="N7" s="1"/>
      <c r="R7" s="3"/>
    </row>
    <row r="8" spans="1:22" ht="15.75">
      <c r="A8" s="202">
        <f>'09'!A8+B8-E8</f>
        <v>0</v>
      </c>
      <c r="B8" s="68">
        <v>0</v>
      </c>
      <c r="C8" s="34" t="s">
        <v>38</v>
      </c>
      <c r="D8" s="70"/>
      <c r="F8" s="71"/>
      <c r="G8" s="34" t="s">
        <v>38</v>
      </c>
      <c r="H8" s="1"/>
      <c r="I8" s="198" t="s">
        <v>76</v>
      </c>
      <c r="J8" s="197" t="s">
        <v>78</v>
      </c>
      <c r="K8" s="280">
        <v>7000</v>
      </c>
      <c r="L8" s="281"/>
      <c r="M8" s="1"/>
      <c r="N8" s="1"/>
      <c r="R8" s="3"/>
    </row>
    <row r="9" spans="1:22" ht="15.75">
      <c r="A9" s="202">
        <f>'09'!A9+B9-E9</f>
        <v>28.14</v>
      </c>
      <c r="B9" s="68">
        <v>28.14</v>
      </c>
      <c r="C9" s="34" t="s">
        <v>40</v>
      </c>
      <c r="D9" s="70"/>
      <c r="E9" s="71"/>
      <c r="F9" s="71"/>
      <c r="G9" s="34" t="s">
        <v>40</v>
      </c>
      <c r="H9" s="1"/>
      <c r="I9" s="198" t="s">
        <v>76</v>
      </c>
      <c r="J9" s="197" t="s">
        <v>268</v>
      </c>
      <c r="K9" s="280">
        <v>659.77</v>
      </c>
      <c r="L9" s="281"/>
      <c r="M9" s="1"/>
      <c r="N9" s="1"/>
      <c r="R9" s="3"/>
    </row>
    <row r="10" spans="1:22" ht="15.75">
      <c r="A10" s="202">
        <f>'09'!A10+B10-E10</f>
        <v>12</v>
      </c>
      <c r="B10" s="68">
        <v>12</v>
      </c>
      <c r="C10" s="34" t="s">
        <v>39</v>
      </c>
      <c r="D10" s="70"/>
      <c r="E10" s="71"/>
      <c r="F10" s="71"/>
      <c r="G10" s="34" t="s">
        <v>39</v>
      </c>
      <c r="H10" s="1"/>
      <c r="I10" s="198" t="s">
        <v>76</v>
      </c>
      <c r="J10" s="197" t="s">
        <v>115</v>
      </c>
      <c r="K10" s="280">
        <v>1800.04</v>
      </c>
      <c r="L10" s="281"/>
      <c r="M10" s="1" t="s">
        <v>266</v>
      </c>
      <c r="N10" s="1"/>
      <c r="R10" s="3"/>
    </row>
    <row r="11" spans="1:22" ht="15.75">
      <c r="A11" s="202">
        <f>'09'!A11+B11-E11</f>
        <v>30.41</v>
      </c>
      <c r="B11" s="68">
        <v>30.41</v>
      </c>
      <c r="C11" s="34" t="s">
        <v>37</v>
      </c>
      <c r="D11" s="70"/>
      <c r="E11" s="71"/>
      <c r="F11" s="71"/>
      <c r="G11" s="34" t="s">
        <v>37</v>
      </c>
      <c r="H11" s="1"/>
      <c r="I11" s="198" t="s">
        <v>93</v>
      </c>
      <c r="J11" s="197" t="s">
        <v>94</v>
      </c>
      <c r="K11" s="280"/>
      <c r="L11" s="281"/>
      <c r="M11" s="1"/>
      <c r="N11" s="1"/>
      <c r="R11" s="3"/>
    </row>
    <row r="12" spans="1:22" ht="15.75">
      <c r="A12" s="202">
        <f>'09'!A12+B12-E12</f>
        <v>300</v>
      </c>
      <c r="B12" s="68">
        <v>25</v>
      </c>
      <c r="C12" s="34" t="s">
        <v>207</v>
      </c>
      <c r="D12" s="70"/>
      <c r="E12" s="71"/>
      <c r="F12" s="71"/>
      <c r="G12" s="34"/>
      <c r="H12" s="1"/>
      <c r="I12" s="198" t="s">
        <v>304</v>
      </c>
      <c r="J12" s="197" t="s">
        <v>305</v>
      </c>
      <c r="K12" s="280">
        <v>5092.08</v>
      </c>
      <c r="L12" s="281"/>
      <c r="M12" s="178"/>
      <c r="N12" s="1"/>
      <c r="R12" s="3"/>
    </row>
    <row r="13" spans="1:22" ht="15.75">
      <c r="A13" s="202">
        <f>'09'!A13+B13-E13</f>
        <v>42</v>
      </c>
      <c r="B13" s="68">
        <v>7</v>
      </c>
      <c r="C13" s="34" t="s">
        <v>353</v>
      </c>
      <c r="D13" s="70"/>
      <c r="E13" s="71"/>
      <c r="F13" s="71"/>
      <c r="G13" s="34"/>
      <c r="H13" s="1"/>
      <c r="I13" s="198"/>
      <c r="J13" s="197"/>
      <c r="K13" s="280"/>
      <c r="L13" s="281"/>
      <c r="M13" s="1"/>
      <c r="N13" s="1"/>
      <c r="R13" s="3"/>
    </row>
    <row r="14" spans="1:22" ht="15.75">
      <c r="A14" s="202"/>
      <c r="B14" s="68"/>
      <c r="C14" s="34"/>
      <c r="D14" s="70"/>
      <c r="E14" s="71"/>
      <c r="F14" s="71"/>
      <c r="G14" s="34"/>
      <c r="H14" s="1"/>
      <c r="I14" s="198"/>
      <c r="J14" s="197"/>
      <c r="K14" s="280"/>
      <c r="L14" s="281"/>
      <c r="M14" s="1"/>
      <c r="N14" s="1"/>
      <c r="R14" s="3"/>
    </row>
    <row r="15" spans="1:22" ht="15.75">
      <c r="A15" s="202"/>
      <c r="B15" s="68"/>
      <c r="C15" s="34"/>
      <c r="D15" s="70"/>
      <c r="E15" s="71"/>
      <c r="F15" s="71"/>
      <c r="G15" s="34"/>
      <c r="H15" s="1"/>
      <c r="I15" s="198"/>
      <c r="J15" s="197"/>
      <c r="K15" s="280"/>
      <c r="L15" s="281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198"/>
      <c r="J16" s="197"/>
      <c r="K16" s="280"/>
      <c r="L16" s="281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198"/>
      <c r="J17" s="197"/>
      <c r="K17" s="280"/>
      <c r="L17" s="281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199"/>
      <c r="J18" s="200"/>
      <c r="K18" s="282"/>
      <c r="L18" s="283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83</v>
      </c>
      <c r="J19" s="38"/>
      <c r="K19" s="282">
        <f>SUM(K5:K18)</f>
        <v>15101.890000000001</v>
      </c>
      <c r="L19" s="283"/>
      <c r="M19" s="1"/>
      <c r="N19" s="1"/>
      <c r="R19" s="3"/>
    </row>
    <row r="20" spans="1:18" ht="16.5" thickBot="1">
      <c r="A20" s="202">
        <f>SUM(A6:A15)</f>
        <v>1232.1399999999999</v>
      </c>
      <c r="B20" s="69">
        <f>SUM(B6:B19)</f>
        <v>562.14</v>
      </c>
      <c r="C20" s="35" t="s">
        <v>66</v>
      </c>
      <c r="D20" s="69">
        <f>SUM(D6:D19)</f>
        <v>0</v>
      </c>
      <c r="E20" s="69">
        <f>SUM(E6:E19)</f>
        <v>0</v>
      </c>
      <c r="F20" s="69">
        <f>SUM(F6:F19)</f>
        <v>0</v>
      </c>
      <c r="G20" s="35" t="s">
        <v>66</v>
      </c>
      <c r="H20" s="1"/>
      <c r="I20" s="175" t="s">
        <v>116</v>
      </c>
      <c r="L20" s="178">
        <f>K19-K10-K12</f>
        <v>8209.7700000000023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71" t="str">
        <f>'2018'!A21</f>
        <v>Waterloo</v>
      </c>
      <c r="C22" s="272"/>
      <c r="D22" s="272"/>
      <c r="E22" s="272"/>
      <c r="F22" s="272"/>
      <c r="G22" s="273"/>
      <c r="H22" s="1"/>
      <c r="I22" s="284" t="s">
        <v>6</v>
      </c>
      <c r="J22" s="272"/>
      <c r="K22" s="272"/>
      <c r="L22" s="273"/>
      <c r="M22" s="1"/>
      <c r="R22" s="3"/>
    </row>
    <row r="23" spans="1:18" ht="16.149999999999999" customHeight="1" thickBot="1">
      <c r="A23" s="1"/>
      <c r="B23" s="274"/>
      <c r="C23" s="275"/>
      <c r="D23" s="275"/>
      <c r="E23" s="275"/>
      <c r="F23" s="275"/>
      <c r="G23" s="276"/>
      <c r="H23" s="1"/>
      <c r="I23" s="274"/>
      <c r="J23" s="275"/>
      <c r="K23" s="275"/>
      <c r="L23" s="276"/>
      <c r="M23" s="1"/>
      <c r="R23" s="3"/>
    </row>
    <row r="24" spans="1:18" ht="15.75">
      <c r="A24" s="1"/>
      <c r="B24" s="279" t="s">
        <v>10</v>
      </c>
      <c r="C24" s="278"/>
      <c r="D24" s="277" t="s">
        <v>11</v>
      </c>
      <c r="E24" s="277"/>
      <c r="F24" s="277"/>
      <c r="G24" s="278"/>
      <c r="H24" s="1"/>
      <c r="I24" s="124" t="s">
        <v>33</v>
      </c>
      <c r="J24" s="33" t="s">
        <v>133</v>
      </c>
      <c r="K24" s="285" t="s">
        <v>134</v>
      </c>
      <c r="L24" s="286"/>
      <c r="M24" s="1"/>
      <c r="R24" s="3"/>
    </row>
    <row r="25" spans="1:18" ht="15.75">
      <c r="A25" s="1" t="s">
        <v>611</v>
      </c>
      <c r="B25" s="65" t="s">
        <v>32</v>
      </c>
      <c r="C25" s="73" t="s">
        <v>33</v>
      </c>
      <c r="D25" s="65" t="s">
        <v>68</v>
      </c>
      <c r="E25" s="66" t="s">
        <v>69</v>
      </c>
      <c r="F25" s="66" t="s">
        <v>32</v>
      </c>
      <c r="G25" s="73" t="s">
        <v>33</v>
      </c>
      <c r="H25" s="1"/>
      <c r="I25" s="189"/>
      <c r="J25" s="3"/>
      <c r="K25" s="287"/>
      <c r="L25" s="288"/>
      <c r="M25" s="1"/>
      <c r="R25" s="3"/>
    </row>
    <row r="26" spans="1:18" ht="15.75">
      <c r="A26" s="202">
        <f>'09'!A26+B26-D26</f>
        <v>900</v>
      </c>
      <c r="B26" s="67">
        <v>900</v>
      </c>
      <c r="C26" s="79" t="s">
        <v>42</v>
      </c>
      <c r="D26" s="70"/>
      <c r="E26" s="71"/>
      <c r="F26" s="71"/>
      <c r="G26" s="34" t="s">
        <v>42</v>
      </c>
      <c r="H26" s="1"/>
      <c r="I26" s="190"/>
      <c r="J26" s="36"/>
      <c r="K26" s="280"/>
      <c r="L26" s="281"/>
      <c r="M26" s="1"/>
      <c r="R26" s="3"/>
    </row>
    <row r="27" spans="1:18" ht="15.75">
      <c r="A27" s="202">
        <f>'09'!A27+B27-D27</f>
        <v>173</v>
      </c>
      <c r="B27" s="68">
        <v>170</v>
      </c>
      <c r="C27" s="79" t="s">
        <v>44</v>
      </c>
      <c r="D27" s="70"/>
      <c r="E27" s="71"/>
      <c r="F27" s="71"/>
      <c r="G27" s="34" t="s">
        <v>44</v>
      </c>
      <c r="H27" s="1"/>
      <c r="I27" s="190"/>
      <c r="J27" s="36"/>
      <c r="K27" s="280"/>
      <c r="L27" s="281"/>
      <c r="M27" s="1"/>
      <c r="R27" s="3"/>
    </row>
    <row r="28" spans="1:18" ht="15.75">
      <c r="A28" s="202">
        <f>'09'!A28+B28-D28</f>
        <v>160</v>
      </c>
      <c r="B28" s="68">
        <v>40</v>
      </c>
      <c r="C28" s="79" t="s">
        <v>45</v>
      </c>
      <c r="D28" s="70"/>
      <c r="E28" s="71"/>
      <c r="F28" s="71"/>
      <c r="G28" s="34" t="s">
        <v>45</v>
      </c>
      <c r="H28" s="1"/>
      <c r="I28" s="190"/>
      <c r="J28" s="36"/>
      <c r="K28" s="280"/>
      <c r="L28" s="281"/>
      <c r="M28" s="1"/>
      <c r="R28" s="3"/>
    </row>
    <row r="29" spans="1:18" ht="15.75">
      <c r="A29" s="202">
        <f>'09'!A29+B29-D29</f>
        <v>18.54</v>
      </c>
      <c r="B29" s="68">
        <v>18</v>
      </c>
      <c r="C29" s="79" t="s">
        <v>41</v>
      </c>
      <c r="D29" s="70"/>
      <c r="E29" s="71"/>
      <c r="F29" s="71"/>
      <c r="G29" s="34" t="s">
        <v>41</v>
      </c>
      <c r="H29" s="1"/>
      <c r="I29" s="190"/>
      <c r="J29" s="36"/>
      <c r="K29" s="280"/>
      <c r="L29" s="281"/>
      <c r="M29" s="1"/>
      <c r="R29" s="3"/>
    </row>
    <row r="30" spans="1:18" ht="15.75">
      <c r="A30" s="202">
        <f>'09'!A30+B30-D30</f>
        <v>593.55999999999995</v>
      </c>
      <c r="B30" s="68">
        <v>0</v>
      </c>
      <c r="C30" s="79" t="s">
        <v>46</v>
      </c>
      <c r="D30" s="70"/>
      <c r="E30" s="71"/>
      <c r="F30" s="71"/>
      <c r="G30" s="34"/>
      <c r="H30" s="1"/>
      <c r="I30" s="190"/>
      <c r="J30" s="36"/>
      <c r="K30" s="280"/>
      <c r="L30" s="281"/>
      <c r="M30" s="1"/>
      <c r="R30" s="3"/>
    </row>
    <row r="31" spans="1:18" ht="15.75">
      <c r="A31" s="202"/>
      <c r="B31" s="68"/>
      <c r="C31" s="34"/>
      <c r="D31" s="70"/>
      <c r="E31" s="71"/>
      <c r="F31" s="71"/>
      <c r="G31" s="34"/>
      <c r="H31" s="1"/>
      <c r="I31" s="190"/>
      <c r="J31" s="36"/>
      <c r="K31" s="280"/>
      <c r="L31" s="281"/>
      <c r="M31" s="1"/>
      <c r="R31" s="3"/>
    </row>
    <row r="32" spans="1:18" ht="15.75">
      <c r="A32" s="202"/>
      <c r="B32" s="68"/>
      <c r="C32" s="34"/>
      <c r="D32" s="70"/>
      <c r="E32" s="71"/>
      <c r="F32" s="71"/>
      <c r="G32" s="34"/>
      <c r="H32" s="1"/>
      <c r="I32" s="190"/>
      <c r="J32" s="36"/>
      <c r="K32" s="280"/>
      <c r="L32" s="281"/>
      <c r="M32" s="1"/>
      <c r="R32" s="3"/>
    </row>
    <row r="33" spans="1:18" ht="15.75">
      <c r="A33" s="202"/>
      <c r="B33" s="68"/>
      <c r="C33" s="34"/>
      <c r="D33" s="70"/>
      <c r="E33" s="71"/>
      <c r="F33" s="71"/>
      <c r="G33" s="34"/>
      <c r="H33" s="1"/>
      <c r="I33" s="190"/>
      <c r="J33" s="36"/>
      <c r="K33" s="280"/>
      <c r="L33" s="281"/>
      <c r="M33" s="1"/>
      <c r="R33" s="3"/>
    </row>
    <row r="34" spans="1:18" ht="15.75">
      <c r="A34" s="202"/>
      <c r="B34" s="68"/>
      <c r="C34" s="34"/>
      <c r="D34" s="70"/>
      <c r="E34" s="71"/>
      <c r="F34" s="71"/>
      <c r="G34" s="34"/>
      <c r="H34" s="1"/>
      <c r="I34" s="190"/>
      <c r="J34" s="36"/>
      <c r="K34" s="280"/>
      <c r="L34" s="281"/>
      <c r="M34" s="1"/>
      <c r="R34" s="3"/>
    </row>
    <row r="35" spans="1:18" ht="15.75">
      <c r="A35" s="202"/>
      <c r="B35" s="68"/>
      <c r="C35" s="34"/>
      <c r="D35" s="70"/>
      <c r="E35" s="71"/>
      <c r="F35" s="71"/>
      <c r="G35" s="34"/>
      <c r="H35" s="1"/>
      <c r="I35" s="190"/>
      <c r="J35" s="36"/>
      <c r="K35" s="280"/>
      <c r="L35" s="281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90"/>
      <c r="J36" s="36"/>
      <c r="K36" s="280"/>
      <c r="L36" s="281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90"/>
      <c r="J37" s="36"/>
      <c r="K37" s="280"/>
      <c r="L37" s="281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191"/>
      <c r="J38" s="38"/>
      <c r="K38" s="282"/>
      <c r="L38" s="283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202">
        <f>SUM(A26:A35)</f>
        <v>1845.1</v>
      </c>
      <c r="B40" s="69">
        <f>SUM(B26:B39)</f>
        <v>1128</v>
      </c>
      <c r="C40" s="35" t="s">
        <v>66</v>
      </c>
      <c r="D40" s="69">
        <f>SUM(D26:D39)</f>
        <v>0</v>
      </c>
      <c r="E40" s="69">
        <f>SUM(E26:E39)</f>
        <v>0</v>
      </c>
      <c r="F40" s="69">
        <f>SUM(F26:F39)</f>
        <v>0</v>
      </c>
      <c r="G40" s="35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71" t="str">
        <f>'2018'!A22</f>
        <v>Comida+Limpieza</v>
      </c>
      <c r="C42" s="272"/>
      <c r="D42" s="272"/>
      <c r="E42" s="272"/>
      <c r="F42" s="272"/>
      <c r="G42" s="273"/>
      <c r="H42" s="1"/>
      <c r="M42" s="1"/>
      <c r="R42" s="3"/>
    </row>
    <row r="43" spans="1:18" ht="16.149999999999999" customHeight="1" thickBot="1">
      <c r="A43" s="1"/>
      <c r="B43" s="274"/>
      <c r="C43" s="275"/>
      <c r="D43" s="275"/>
      <c r="E43" s="275"/>
      <c r="F43" s="275"/>
      <c r="G43" s="276"/>
      <c r="H43" s="1"/>
      <c r="M43" s="1"/>
      <c r="R43" s="3"/>
    </row>
    <row r="44" spans="1:18" ht="15.75">
      <c r="A44" s="1"/>
      <c r="B44" s="279" t="s">
        <v>10</v>
      </c>
      <c r="C44" s="278"/>
      <c r="D44" s="277" t="s">
        <v>11</v>
      </c>
      <c r="E44" s="277"/>
      <c r="F44" s="277"/>
      <c r="G44" s="278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68</v>
      </c>
      <c r="E45" s="66" t="s">
        <v>69</v>
      </c>
      <c r="F45" s="66" t="s">
        <v>32</v>
      </c>
      <c r="G45" s="73" t="s">
        <v>394</v>
      </c>
      <c r="H45" s="1"/>
      <c r="M45" s="1"/>
      <c r="R45" s="3"/>
    </row>
    <row r="46" spans="1:18" ht="15.75">
      <c r="A46" s="1"/>
      <c r="B46" s="67">
        <v>460</v>
      </c>
      <c r="C46" s="37"/>
      <c r="D46" s="70"/>
      <c r="E46" s="71"/>
      <c r="F46" s="71"/>
      <c r="G46" s="90"/>
      <c r="H46" s="1"/>
      <c r="M46" s="1"/>
      <c r="R46" s="3"/>
    </row>
    <row r="47" spans="1:18" ht="15.75">
      <c r="A47" s="1"/>
      <c r="B47" s="68">
        <v>30</v>
      </c>
      <c r="C47" s="34" t="s">
        <v>110</v>
      </c>
      <c r="D47" s="70"/>
      <c r="E47" s="71"/>
      <c r="F47" s="71"/>
      <c r="G47" s="34"/>
      <c r="H47" s="1"/>
      <c r="M47" s="1"/>
      <c r="R47" s="3"/>
    </row>
    <row r="48" spans="1:18" ht="15.75">
      <c r="A48" s="1"/>
      <c r="B48" s="68"/>
      <c r="C48" s="34"/>
      <c r="D48" s="70"/>
      <c r="E48" s="71"/>
      <c r="F48" s="71"/>
      <c r="G48" s="34"/>
      <c r="H48" s="1"/>
      <c r="M48" s="1"/>
      <c r="R48" s="3"/>
    </row>
    <row r="49" spans="1:18" ht="15.75">
      <c r="A49" s="1"/>
      <c r="B49" s="68"/>
      <c r="C49" s="34"/>
      <c r="D49" s="70"/>
      <c r="E49" s="71"/>
      <c r="F49" s="71"/>
      <c r="G49" s="34"/>
      <c r="H49" s="1"/>
      <c r="M49" s="1"/>
      <c r="R49" s="3"/>
    </row>
    <row r="50" spans="1:18" ht="15.75">
      <c r="A50" s="1"/>
      <c r="B50" s="68"/>
      <c r="C50" s="34"/>
      <c r="D50" s="70"/>
      <c r="E50" s="71"/>
      <c r="F50" s="71"/>
      <c r="G50" s="34"/>
      <c r="H50" s="1"/>
      <c r="M50" s="1"/>
      <c r="R50" s="3"/>
    </row>
    <row r="51" spans="1:18" ht="15.75">
      <c r="A51" s="1"/>
      <c r="B51" s="68"/>
      <c r="C51" s="34"/>
      <c r="D51" s="70"/>
      <c r="E51" s="71"/>
      <c r="F51" s="71"/>
      <c r="G51" s="34"/>
      <c r="H51" s="1"/>
      <c r="M51" s="1"/>
      <c r="R51" s="3"/>
    </row>
    <row r="52" spans="1:18" ht="15.75">
      <c r="A52" s="1"/>
      <c r="B52" s="68"/>
      <c r="C52" s="34"/>
      <c r="D52" s="70"/>
      <c r="E52" s="71"/>
      <c r="F52" s="71"/>
      <c r="G52" s="34"/>
      <c r="H52" s="1"/>
      <c r="M52" s="1"/>
      <c r="R52" s="3"/>
    </row>
    <row r="53" spans="1:18" ht="15.75">
      <c r="A53" s="1"/>
      <c r="B53" s="68"/>
      <c r="C53" s="34"/>
      <c r="D53" s="70"/>
      <c r="E53" s="71"/>
      <c r="F53" s="71"/>
      <c r="G53" s="34"/>
      <c r="H53" s="1"/>
      <c r="M53" s="1"/>
      <c r="R53" s="3"/>
    </row>
    <row r="54" spans="1:18" ht="15.75">
      <c r="A54" s="1"/>
      <c r="B54" s="68"/>
      <c r="C54" s="34"/>
      <c r="D54" s="70"/>
      <c r="E54" s="71"/>
      <c r="F54" s="71"/>
      <c r="G54" s="34"/>
      <c r="H54" s="1"/>
      <c r="M54" s="1"/>
      <c r="R54" s="3"/>
    </row>
    <row r="55" spans="1:18" ht="15.75">
      <c r="A55" s="1"/>
      <c r="B55" s="68"/>
      <c r="C55" s="34"/>
      <c r="D55" s="70"/>
      <c r="E55" s="71"/>
      <c r="F55" s="71"/>
      <c r="G55" s="34"/>
      <c r="H55" s="1"/>
      <c r="M55" s="1"/>
      <c r="R55" s="3"/>
    </row>
    <row r="56" spans="1:18" ht="15.75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/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490</v>
      </c>
      <c r="C60" s="35" t="s">
        <v>66</v>
      </c>
      <c r="D60" s="69">
        <f>SUM(D46:D59)</f>
        <v>0</v>
      </c>
      <c r="E60" s="69">
        <f>SUM(E46:E59)</f>
        <v>0</v>
      </c>
      <c r="F60" s="69">
        <f>SUM(F46:F59)</f>
        <v>0</v>
      </c>
      <c r="G60" s="35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71" t="str">
        <f>'2018'!A23</f>
        <v>Ocio</v>
      </c>
      <c r="C62" s="272"/>
      <c r="D62" s="272"/>
      <c r="E62" s="272"/>
      <c r="F62" s="272"/>
      <c r="G62" s="273"/>
      <c r="H62" s="1"/>
      <c r="M62" s="1"/>
      <c r="R62" s="3"/>
    </row>
    <row r="63" spans="1:18" ht="16.149999999999999" customHeight="1" thickBot="1">
      <c r="A63" s="1"/>
      <c r="B63" s="274"/>
      <c r="C63" s="275"/>
      <c r="D63" s="275"/>
      <c r="E63" s="275"/>
      <c r="F63" s="275"/>
      <c r="G63" s="276"/>
      <c r="H63" s="1"/>
      <c r="M63" s="1"/>
      <c r="R63" s="3"/>
    </row>
    <row r="64" spans="1:18" ht="15.75">
      <c r="A64" s="1"/>
      <c r="B64" s="279" t="s">
        <v>10</v>
      </c>
      <c r="C64" s="278"/>
      <c r="D64" s="277" t="s">
        <v>11</v>
      </c>
      <c r="E64" s="277"/>
      <c r="F64" s="277"/>
      <c r="G64" s="278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68</v>
      </c>
      <c r="E65" s="66" t="s">
        <v>69</v>
      </c>
      <c r="F65" s="66" t="s">
        <v>32</v>
      </c>
      <c r="G65" s="73" t="s">
        <v>394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/>
      <c r="E66" s="71"/>
      <c r="F66" s="71"/>
      <c r="G66" s="37"/>
      <c r="H66" s="1"/>
      <c r="M66" s="1"/>
      <c r="R66" s="3"/>
    </row>
    <row r="67" spans="1:18" ht="15.75">
      <c r="A67" s="1"/>
      <c r="B67" s="68"/>
      <c r="C67" s="34"/>
      <c r="D67" s="70"/>
      <c r="E67" s="71"/>
      <c r="F67" s="71"/>
      <c r="G67" s="91"/>
      <c r="H67" s="1"/>
      <c r="M67" s="1"/>
      <c r="R67" s="3"/>
    </row>
    <row r="68" spans="1:18" ht="15.75">
      <c r="A68" s="1"/>
      <c r="B68" s="68"/>
      <c r="C68" s="34"/>
      <c r="D68" s="70"/>
      <c r="E68" s="71"/>
      <c r="F68" s="71"/>
      <c r="G68" s="34"/>
      <c r="H68" s="1"/>
      <c r="M68" s="1"/>
      <c r="R68" s="3"/>
    </row>
    <row r="69" spans="1:18" ht="15.75">
      <c r="A69" s="1"/>
      <c r="B69" s="68"/>
      <c r="C69" s="34"/>
      <c r="D69" s="70"/>
      <c r="E69" s="71"/>
      <c r="F69" s="71"/>
      <c r="G69" s="34"/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/>
      <c r="G70" s="34"/>
      <c r="H70" s="1"/>
      <c r="M70" s="1"/>
      <c r="R70" s="3"/>
    </row>
    <row r="71" spans="1:18" ht="15.75">
      <c r="A71" s="1"/>
      <c r="B71" s="68"/>
      <c r="C71" s="34"/>
      <c r="D71" s="70"/>
      <c r="E71" s="71"/>
      <c r="F71" s="71"/>
      <c r="G71" s="34"/>
      <c r="H71" s="1"/>
      <c r="M71" s="1"/>
      <c r="R71" s="3"/>
    </row>
    <row r="72" spans="1:18" ht="15.75">
      <c r="A72" s="1"/>
      <c r="B72" s="68"/>
      <c r="C72" s="34"/>
      <c r="D72" s="70"/>
      <c r="E72" s="71"/>
      <c r="F72" s="71"/>
      <c r="G72" s="34"/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150</v>
      </c>
      <c r="C80" s="35" t="s">
        <v>66</v>
      </c>
      <c r="D80" s="69">
        <f>SUM(D66:D79)</f>
        <v>0</v>
      </c>
      <c r="E80" s="69">
        <f>SUM(E66:E79)</f>
        <v>0</v>
      </c>
      <c r="F80" s="69">
        <f>SUM(F66:F79)</f>
        <v>0</v>
      </c>
      <c r="G80" s="35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71" t="str">
        <f>'2018'!A24</f>
        <v>Transportes</v>
      </c>
      <c r="C82" s="272"/>
      <c r="D82" s="272"/>
      <c r="E82" s="272"/>
      <c r="F82" s="272"/>
      <c r="G82" s="273"/>
      <c r="H82" s="1"/>
      <c r="M82" s="1"/>
      <c r="R82" s="3"/>
    </row>
    <row r="83" spans="1:18" ht="16.149999999999999" customHeight="1" thickBot="1">
      <c r="A83" s="1"/>
      <c r="B83" s="274"/>
      <c r="C83" s="275"/>
      <c r="D83" s="275"/>
      <c r="E83" s="275"/>
      <c r="F83" s="275"/>
      <c r="G83" s="276"/>
      <c r="H83" s="1"/>
      <c r="M83" s="1"/>
      <c r="R83" s="3"/>
    </row>
    <row r="84" spans="1:18" ht="15.75">
      <c r="A84" s="1"/>
      <c r="B84" s="279" t="s">
        <v>10</v>
      </c>
      <c r="C84" s="278"/>
      <c r="D84" s="277" t="s">
        <v>11</v>
      </c>
      <c r="E84" s="277"/>
      <c r="F84" s="277"/>
      <c r="G84" s="278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68</v>
      </c>
      <c r="E85" s="66" t="s">
        <v>69</v>
      </c>
      <c r="F85" s="66" t="s">
        <v>32</v>
      </c>
      <c r="G85" s="73" t="s">
        <v>394</v>
      </c>
      <c r="H85" s="1"/>
      <c r="M85" s="1"/>
      <c r="R85" s="3"/>
    </row>
    <row r="86" spans="1:18" ht="15.75">
      <c r="A86" s="1"/>
      <c r="B86" s="67">
        <v>160</v>
      </c>
      <c r="C86" s="37" t="s">
        <v>51</v>
      </c>
      <c r="E86" s="71"/>
      <c r="F86" s="71"/>
      <c r="G86" s="34"/>
      <c r="H86" s="1"/>
      <c r="M86" s="1"/>
      <c r="R86" s="3"/>
    </row>
    <row r="87" spans="1:18" ht="15.75">
      <c r="A87" s="1"/>
      <c r="B87" s="68"/>
      <c r="C87" s="34"/>
      <c r="D87" s="70"/>
      <c r="E87" s="71"/>
      <c r="F87" s="71"/>
      <c r="G87" s="34"/>
      <c r="H87" s="1"/>
      <c r="M87" s="1"/>
      <c r="R87" s="3"/>
    </row>
    <row r="88" spans="1:18" ht="15.75">
      <c r="A88" s="1"/>
      <c r="B88" s="68"/>
      <c r="C88" s="34"/>
      <c r="D88" s="70"/>
      <c r="E88" s="71"/>
      <c r="F88" s="71"/>
      <c r="G88" s="34"/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/>
      <c r="H89" s="1"/>
      <c r="M89" s="1"/>
      <c r="R89" s="3"/>
    </row>
    <row r="90" spans="1:18" ht="15.75">
      <c r="A90" s="1"/>
      <c r="B90" s="68"/>
      <c r="C90" s="34"/>
      <c r="D90" s="70"/>
      <c r="E90" s="71"/>
      <c r="F90" s="71"/>
      <c r="G90" s="34"/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160</v>
      </c>
      <c r="C100" s="35" t="s">
        <v>66</v>
      </c>
      <c r="D100" s="69">
        <f>SUM(D87:D99)</f>
        <v>0</v>
      </c>
      <c r="E100" s="69">
        <f>SUM(E86:E99)</f>
        <v>0</v>
      </c>
      <c r="F100" s="69">
        <f>SUM(F86:F99)</f>
        <v>0</v>
      </c>
      <c r="G100" s="35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71" t="str">
        <f>'2018'!A25</f>
        <v>Coche</v>
      </c>
      <c r="C102" s="272"/>
      <c r="D102" s="272"/>
      <c r="E102" s="272"/>
      <c r="F102" s="272"/>
      <c r="G102" s="273"/>
      <c r="H102" s="1"/>
      <c r="M102" s="1"/>
      <c r="R102" s="3"/>
    </row>
    <row r="103" spans="1:18" ht="16.149999999999999" customHeight="1" thickBot="1">
      <c r="A103" s="1"/>
      <c r="B103" s="274"/>
      <c r="C103" s="275"/>
      <c r="D103" s="275"/>
      <c r="E103" s="275"/>
      <c r="F103" s="275"/>
      <c r="G103" s="276"/>
      <c r="H103" s="1"/>
      <c r="M103" s="1"/>
      <c r="R103" s="3"/>
    </row>
    <row r="104" spans="1:18" ht="15.75">
      <c r="A104" s="1"/>
      <c r="B104" s="279" t="s">
        <v>10</v>
      </c>
      <c r="C104" s="278"/>
      <c r="D104" s="277" t="s">
        <v>11</v>
      </c>
      <c r="E104" s="277"/>
      <c r="F104" s="277"/>
      <c r="G104" s="278"/>
      <c r="H104" s="1"/>
      <c r="M104" s="1"/>
      <c r="R104" s="3"/>
    </row>
    <row r="105" spans="1:18" ht="15.75">
      <c r="A105" s="175" t="s">
        <v>611</v>
      </c>
      <c r="B105" s="65" t="s">
        <v>32</v>
      </c>
      <c r="C105" s="73" t="s">
        <v>33</v>
      </c>
      <c r="D105" s="65" t="s">
        <v>68</v>
      </c>
      <c r="E105" s="66" t="s">
        <v>69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202">
        <f>'09'!A106+B106-D106</f>
        <v>258.47000000000003</v>
      </c>
      <c r="B106" s="67">
        <v>258.47000000000003</v>
      </c>
      <c r="C106" s="36" t="s">
        <v>55</v>
      </c>
      <c r="D106" s="70"/>
      <c r="E106" s="71"/>
      <c r="F106" s="71"/>
      <c r="G106" s="91" t="s">
        <v>55</v>
      </c>
      <c r="H106" s="1"/>
      <c r="M106" s="1"/>
      <c r="R106" s="3"/>
    </row>
    <row r="107" spans="1:18" ht="15.75">
      <c r="A107" s="202">
        <f>'09'!A107+B107-D107</f>
        <v>71</v>
      </c>
      <c r="B107" s="68">
        <v>71</v>
      </c>
      <c r="C107" s="36" t="s">
        <v>56</v>
      </c>
      <c r="D107" s="70"/>
      <c r="E107" s="71"/>
      <c r="F107" s="71"/>
      <c r="G107" s="91" t="s">
        <v>56</v>
      </c>
      <c r="H107" s="1"/>
      <c r="M107" s="1"/>
      <c r="R107" s="3"/>
    </row>
    <row r="108" spans="1:18" ht="15.75">
      <c r="A108" s="202">
        <f>'09'!A108+B108-D108</f>
        <v>1050</v>
      </c>
      <c r="B108" s="68">
        <v>50</v>
      </c>
      <c r="C108" s="36" t="s">
        <v>620</v>
      </c>
      <c r="D108" s="70"/>
      <c r="E108" s="71"/>
      <c r="F108" s="71"/>
      <c r="G108" s="94" t="s">
        <v>88</v>
      </c>
      <c r="H108" s="1"/>
      <c r="M108" s="1"/>
      <c r="R108" s="3"/>
    </row>
    <row r="109" spans="1:18" ht="15.75">
      <c r="A109" s="202">
        <f>'09'!A109+B109</f>
        <v>2733.9700000000003</v>
      </c>
      <c r="B109" s="68">
        <v>20.53</v>
      </c>
      <c r="C109" s="36" t="s">
        <v>619</v>
      </c>
      <c r="D109" s="70"/>
      <c r="E109" s="71"/>
      <c r="F109" s="71"/>
      <c r="G109" s="91"/>
      <c r="H109" s="1"/>
      <c r="M109" s="1"/>
      <c r="R109" s="3"/>
    </row>
    <row r="110" spans="1:18" ht="15.75"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B111" s="68"/>
      <c r="C111" s="79"/>
      <c r="D111" s="70"/>
      <c r="E111" s="71"/>
      <c r="F111" s="71"/>
      <c r="G111" s="94"/>
      <c r="H111" s="1"/>
      <c r="M111" s="1"/>
      <c r="R111" s="3"/>
    </row>
    <row r="112" spans="1:18" ht="15.75">
      <c r="B112" s="68"/>
      <c r="C112" s="92"/>
      <c r="D112" s="70"/>
      <c r="E112" s="71"/>
      <c r="F112" s="71"/>
      <c r="G112" s="91"/>
      <c r="H112" s="1"/>
      <c r="M112" s="1"/>
      <c r="R112" s="3"/>
    </row>
    <row r="113" spans="1:18" ht="15.75">
      <c r="B113" s="68"/>
      <c r="C113" s="93"/>
      <c r="D113" s="70"/>
      <c r="E113" s="71"/>
      <c r="F113" s="71"/>
      <c r="G113" s="91"/>
      <c r="H113" s="1"/>
      <c r="M113" s="1"/>
      <c r="R113" s="3"/>
    </row>
    <row r="114" spans="1:18" ht="15.75">
      <c r="B114" s="68"/>
      <c r="C114" s="92"/>
      <c r="D114" s="70"/>
      <c r="E114" s="71"/>
      <c r="F114" s="71"/>
      <c r="G114" s="91"/>
      <c r="H114" s="1"/>
      <c r="M114" s="1"/>
      <c r="R114" s="3"/>
    </row>
    <row r="115" spans="1:18" ht="15.75"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203">
        <f>SUM(A106:A119)</f>
        <v>4113.4400000000005</v>
      </c>
      <c r="B120" s="69">
        <f>SUM(B106:B119)</f>
        <v>400</v>
      </c>
      <c r="C120" s="35" t="s">
        <v>66</v>
      </c>
      <c r="D120" s="69">
        <f>SUM(D106:D119)</f>
        <v>0</v>
      </c>
      <c r="E120" s="69">
        <f>SUM(E106:E119)</f>
        <v>0</v>
      </c>
      <c r="F120" s="69">
        <f>SUM(F106:F119)</f>
        <v>0</v>
      </c>
      <c r="G120" s="35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71" t="str">
        <f>'2018'!A26</f>
        <v>Teléfono</v>
      </c>
      <c r="C122" s="272"/>
      <c r="D122" s="272"/>
      <c r="E122" s="272"/>
      <c r="F122" s="272"/>
      <c r="G122" s="273"/>
      <c r="H122" s="1"/>
      <c r="M122" s="1"/>
      <c r="R122" s="3"/>
    </row>
    <row r="123" spans="1:18" ht="16.149999999999999" customHeight="1" thickBot="1">
      <c r="A123" s="1"/>
      <c r="B123" s="274"/>
      <c r="C123" s="275"/>
      <c r="D123" s="275"/>
      <c r="E123" s="275"/>
      <c r="F123" s="275"/>
      <c r="G123" s="276"/>
      <c r="H123" s="1"/>
      <c r="M123" s="1"/>
      <c r="R123" s="3"/>
    </row>
    <row r="124" spans="1:18" ht="15.75">
      <c r="A124" s="1"/>
      <c r="B124" s="279" t="s">
        <v>10</v>
      </c>
      <c r="C124" s="278"/>
      <c r="D124" s="277" t="s">
        <v>11</v>
      </c>
      <c r="E124" s="277"/>
      <c r="F124" s="277"/>
      <c r="G124" s="278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68</v>
      </c>
      <c r="E125" s="66" t="s">
        <v>69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/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v>12.5</v>
      </c>
      <c r="C127" s="34" t="s">
        <v>58</v>
      </c>
      <c r="D127" s="70"/>
      <c r="E127" s="71"/>
      <c r="F127" s="71"/>
      <c r="G127" s="34" t="s">
        <v>199</v>
      </c>
      <c r="H127" s="1"/>
      <c r="M127" s="1"/>
      <c r="R127" s="3"/>
    </row>
    <row r="128" spans="1:18" ht="15.75">
      <c r="A128" s="1"/>
      <c r="B128" s="68">
        <v>8</v>
      </c>
      <c r="C128" s="34" t="s">
        <v>338</v>
      </c>
      <c r="D128" s="70"/>
      <c r="E128" s="71"/>
      <c r="F128" s="71"/>
      <c r="G128" s="34" t="s">
        <v>220</v>
      </c>
      <c r="H128" s="1"/>
      <c r="M128" s="1"/>
      <c r="R128" s="3"/>
    </row>
    <row r="129" spans="1:18" ht="15.75">
      <c r="A129" s="1"/>
      <c r="B129" s="68"/>
      <c r="C129" s="34"/>
      <c r="D129" s="70"/>
      <c r="E129" s="71"/>
      <c r="F129" s="71"/>
      <c r="G129" s="34" t="s">
        <v>338</v>
      </c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48</v>
      </c>
      <c r="C140" s="35" t="s">
        <v>66</v>
      </c>
      <c r="D140" s="69">
        <f>SUM(D126:D139)</f>
        <v>0</v>
      </c>
      <c r="E140" s="69">
        <f>SUM(E126:E139)</f>
        <v>0</v>
      </c>
      <c r="F140" s="69">
        <f>SUM(F126:F139)</f>
        <v>0</v>
      </c>
      <c r="G140" s="35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71" t="str">
        <f>'2018'!A27</f>
        <v>Gatos</v>
      </c>
      <c r="C142" s="272"/>
      <c r="D142" s="272"/>
      <c r="E142" s="272"/>
      <c r="F142" s="272"/>
      <c r="G142" s="273"/>
      <c r="H142" s="1"/>
      <c r="M142" s="1"/>
      <c r="R142" s="3"/>
    </row>
    <row r="143" spans="1:18" ht="16.149999999999999" customHeight="1" thickBot="1">
      <c r="A143" s="1"/>
      <c r="B143" s="274"/>
      <c r="C143" s="275"/>
      <c r="D143" s="275"/>
      <c r="E143" s="275"/>
      <c r="F143" s="275"/>
      <c r="G143" s="276"/>
      <c r="H143" s="1"/>
      <c r="M143" s="1"/>
      <c r="R143" s="3"/>
    </row>
    <row r="144" spans="1:18" ht="15.75">
      <c r="A144" s="1"/>
      <c r="B144" s="279" t="s">
        <v>10</v>
      </c>
      <c r="C144" s="278"/>
      <c r="D144" s="277" t="s">
        <v>11</v>
      </c>
      <c r="E144" s="277"/>
      <c r="F144" s="277"/>
      <c r="G144" s="278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68</v>
      </c>
      <c r="E145" s="66" t="s">
        <v>69</v>
      </c>
      <c r="F145" s="66" t="s">
        <v>32</v>
      </c>
      <c r="G145" s="73" t="s">
        <v>394</v>
      </c>
      <c r="H145" s="1"/>
      <c r="M145" s="1"/>
      <c r="R145" s="3"/>
    </row>
    <row r="146" spans="1:22" ht="15.75">
      <c r="A146" s="1"/>
      <c r="B146" s="67">
        <v>50</v>
      </c>
      <c r="C146" s="37" t="s">
        <v>490</v>
      </c>
      <c r="D146" s="70"/>
      <c r="E146" s="71"/>
      <c r="F146" s="71"/>
      <c r="G146" s="34"/>
      <c r="H146" s="1"/>
      <c r="M146" s="1"/>
      <c r="R146" s="3"/>
    </row>
    <row r="147" spans="1:22" ht="15.75">
      <c r="A147" s="1"/>
      <c r="B147" s="68"/>
      <c r="C147" s="34"/>
      <c r="D147" s="70"/>
      <c r="E147" s="71"/>
      <c r="F147" s="71"/>
      <c r="G147" s="34"/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/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50</v>
      </c>
      <c r="C160" s="35" t="s">
        <v>66</v>
      </c>
      <c r="D160" s="69">
        <f>SUM(D146:D159)</f>
        <v>0</v>
      </c>
      <c r="E160" s="69">
        <f>SUM(E146:E159)</f>
        <v>0</v>
      </c>
      <c r="F160" s="69">
        <f>SUM(F146:F159)</f>
        <v>0</v>
      </c>
      <c r="G160" s="35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71" t="str">
        <f>'2018'!A28</f>
        <v>Vacaciones</v>
      </c>
      <c r="C162" s="272"/>
      <c r="D162" s="272"/>
      <c r="E162" s="272"/>
      <c r="F162" s="272"/>
      <c r="G162" s="273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74"/>
      <c r="C163" s="275"/>
      <c r="D163" s="275"/>
      <c r="E163" s="275"/>
      <c r="F163" s="275"/>
      <c r="G163" s="27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79" t="s">
        <v>10</v>
      </c>
      <c r="C164" s="278"/>
      <c r="D164" s="277" t="s">
        <v>11</v>
      </c>
      <c r="E164" s="277"/>
      <c r="F164" s="277"/>
      <c r="G164" s="27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68</v>
      </c>
      <c r="E165" s="66" t="s">
        <v>69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/>
      <c r="E166" s="71"/>
      <c r="F166" s="71"/>
      <c r="G166" s="34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>
        <v>40</v>
      </c>
      <c r="C167" s="34" t="s">
        <v>598</v>
      </c>
      <c r="D167" s="70"/>
      <c r="E167" s="71"/>
      <c r="F167" s="71"/>
      <c r="G167" s="3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/>
      <c r="G168" s="3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240</v>
      </c>
      <c r="C180" s="35" t="s">
        <v>66</v>
      </c>
      <c r="D180" s="69">
        <f>SUM(D166:D179)</f>
        <v>0</v>
      </c>
      <c r="E180" s="69">
        <f>SUM(E166:E179)</f>
        <v>0</v>
      </c>
      <c r="F180" s="69">
        <f>SUM(F166:F179)</f>
        <v>0</v>
      </c>
      <c r="G180" s="35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71" t="str">
        <f>'2018'!A29</f>
        <v>Ropa</v>
      </c>
      <c r="C182" s="272"/>
      <c r="D182" s="272"/>
      <c r="E182" s="272"/>
      <c r="F182" s="272"/>
      <c r="G182" s="273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74"/>
      <c r="C183" s="275"/>
      <c r="D183" s="275"/>
      <c r="E183" s="275"/>
      <c r="F183" s="275"/>
      <c r="G183" s="27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79" t="s">
        <v>10</v>
      </c>
      <c r="C184" s="278"/>
      <c r="D184" s="277" t="s">
        <v>11</v>
      </c>
      <c r="E184" s="277"/>
      <c r="F184" s="277"/>
      <c r="G184" s="27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68</v>
      </c>
      <c r="E185" s="66" t="s">
        <v>69</v>
      </c>
      <c r="F185" s="66" t="s">
        <v>32</v>
      </c>
      <c r="G185" s="73" t="s">
        <v>394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70</v>
      </c>
      <c r="C186" s="37" t="s">
        <v>509</v>
      </c>
      <c r="D186" s="70"/>
      <c r="E186" s="71"/>
      <c r="F186" s="71"/>
      <c r="G186" s="34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/>
      <c r="E187" s="71"/>
      <c r="F187" s="71"/>
      <c r="G187" s="34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/>
      <c r="E188" s="71"/>
      <c r="F188" s="71"/>
      <c r="G188" s="34"/>
    </row>
    <row r="189" spans="1:22">
      <c r="B189" s="68"/>
      <c r="C189" s="34"/>
      <c r="D189" s="70"/>
      <c r="E189" s="71"/>
      <c r="F189" s="71"/>
      <c r="G189" s="34"/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70</v>
      </c>
      <c r="C200" s="35" t="s">
        <v>66</v>
      </c>
      <c r="D200" s="69">
        <f>SUM(D186:D199)</f>
        <v>0</v>
      </c>
      <c r="E200" s="69">
        <f>SUM(E186:E199)</f>
        <v>0</v>
      </c>
      <c r="F200" s="69">
        <f>SUM(F186:F199)</f>
        <v>0</v>
      </c>
      <c r="G200" s="35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71" t="str">
        <f>'2018'!A30</f>
        <v>Belleza</v>
      </c>
      <c r="C202" s="272"/>
      <c r="D202" s="272"/>
      <c r="E202" s="272"/>
      <c r="F202" s="272"/>
      <c r="G202" s="273"/>
    </row>
    <row r="203" spans="2:7" ht="15" customHeight="1" thickBot="1">
      <c r="B203" s="274"/>
      <c r="C203" s="275"/>
      <c r="D203" s="275"/>
      <c r="E203" s="275"/>
      <c r="F203" s="275"/>
      <c r="G203" s="276"/>
    </row>
    <row r="204" spans="2:7">
      <c r="B204" s="279" t="s">
        <v>10</v>
      </c>
      <c r="C204" s="278"/>
      <c r="D204" s="277" t="s">
        <v>11</v>
      </c>
      <c r="E204" s="277"/>
      <c r="F204" s="277"/>
      <c r="G204" s="278"/>
    </row>
    <row r="205" spans="2:7">
      <c r="B205" s="65" t="s">
        <v>32</v>
      </c>
      <c r="C205" s="73" t="s">
        <v>33</v>
      </c>
      <c r="D205" s="65" t="s">
        <v>68</v>
      </c>
      <c r="E205" s="66" t="s">
        <v>69</v>
      </c>
      <c r="F205" s="66" t="s">
        <v>32</v>
      </c>
      <c r="G205" s="73" t="s">
        <v>394</v>
      </c>
    </row>
    <row r="206" spans="2:7">
      <c r="B206" s="67">
        <v>35</v>
      </c>
      <c r="C206" s="37"/>
      <c r="D206" s="70"/>
      <c r="E206" s="71"/>
      <c r="F206" s="71"/>
      <c r="G206" s="34"/>
    </row>
    <row r="207" spans="2:7">
      <c r="B207" s="68"/>
      <c r="C207" s="34"/>
      <c r="D207" s="70"/>
      <c r="E207" s="71"/>
      <c r="F207" s="71"/>
      <c r="G207" s="34"/>
    </row>
    <row r="208" spans="2:7">
      <c r="B208" s="68"/>
      <c r="C208" s="34"/>
      <c r="D208" s="70"/>
      <c r="E208" s="71"/>
      <c r="F208" s="71"/>
      <c r="G208" s="34"/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66</v>
      </c>
      <c r="D220" s="69">
        <f>SUM(D206:D219)</f>
        <v>0</v>
      </c>
      <c r="E220" s="69">
        <f>SUM(E206:E219)</f>
        <v>0</v>
      </c>
      <c r="F220" s="69">
        <f>SUM(F206:F219)</f>
        <v>0</v>
      </c>
      <c r="G220" s="35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71" t="str">
        <f>'2018'!A31</f>
        <v>Deportes</v>
      </c>
      <c r="C222" s="272"/>
      <c r="D222" s="272"/>
      <c r="E222" s="272"/>
      <c r="F222" s="272"/>
      <c r="G222" s="273"/>
    </row>
    <row r="223" spans="2:7" ht="15" customHeight="1" thickBot="1">
      <c r="B223" s="274"/>
      <c r="C223" s="275"/>
      <c r="D223" s="275"/>
      <c r="E223" s="275"/>
      <c r="F223" s="275"/>
      <c r="G223" s="276"/>
    </row>
    <row r="224" spans="2:7">
      <c r="B224" s="279" t="s">
        <v>10</v>
      </c>
      <c r="C224" s="278"/>
      <c r="D224" s="277" t="s">
        <v>11</v>
      </c>
      <c r="E224" s="277"/>
      <c r="F224" s="277"/>
      <c r="G224" s="278"/>
    </row>
    <row r="225" spans="2:7">
      <c r="B225" s="65" t="s">
        <v>32</v>
      </c>
      <c r="C225" s="73" t="s">
        <v>33</v>
      </c>
      <c r="D225" s="65" t="s">
        <v>68</v>
      </c>
      <c r="E225" s="66" t="s">
        <v>69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/>
      <c r="E226" s="71"/>
      <c r="F226" s="71"/>
      <c r="G226" s="71" t="s">
        <v>50</v>
      </c>
    </row>
    <row r="227" spans="2:7">
      <c r="B227" s="68"/>
      <c r="C227" s="34" t="s">
        <v>46</v>
      </c>
      <c r="D227" s="70"/>
      <c r="E227" s="71"/>
      <c r="F227" s="71"/>
      <c r="G227" s="34"/>
    </row>
    <row r="228" spans="2:7">
      <c r="B228" s="68"/>
      <c r="C228" s="34"/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20</v>
      </c>
      <c r="C240" s="35" t="s">
        <v>66</v>
      </c>
      <c r="D240" s="69">
        <f>SUM(D226:D239)</f>
        <v>0</v>
      </c>
      <c r="E240" s="69">
        <f>SUM(E226:E239)</f>
        <v>0</v>
      </c>
      <c r="F240" s="69">
        <f>SUM(F226:F239)</f>
        <v>0</v>
      </c>
      <c r="G240" s="35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71" t="str">
        <f>'2018'!A32</f>
        <v>Hogar</v>
      </c>
      <c r="C242" s="272"/>
      <c r="D242" s="272"/>
      <c r="E242" s="272"/>
      <c r="F242" s="272"/>
      <c r="G242" s="273"/>
    </row>
    <row r="243" spans="2:7" ht="15" customHeight="1" thickBot="1">
      <c r="B243" s="274"/>
      <c r="C243" s="275"/>
      <c r="D243" s="275"/>
      <c r="E243" s="275"/>
      <c r="F243" s="275"/>
      <c r="G243" s="276"/>
    </row>
    <row r="244" spans="2:7" ht="15" customHeight="1">
      <c r="B244" s="279" t="s">
        <v>10</v>
      </c>
      <c r="C244" s="278"/>
      <c r="D244" s="277" t="s">
        <v>11</v>
      </c>
      <c r="E244" s="277"/>
      <c r="F244" s="277"/>
      <c r="G244" s="278"/>
    </row>
    <row r="245" spans="2:7" ht="15" customHeight="1">
      <c r="B245" s="65" t="s">
        <v>32</v>
      </c>
      <c r="C245" s="73" t="s">
        <v>33</v>
      </c>
      <c r="D245" s="65" t="s">
        <v>68</v>
      </c>
      <c r="E245" s="66" t="s">
        <v>69</v>
      </c>
      <c r="F245" s="66" t="s">
        <v>32</v>
      </c>
      <c r="G245" s="73" t="s">
        <v>394</v>
      </c>
    </row>
    <row r="246" spans="2:7" ht="15" customHeight="1">
      <c r="B246" s="68">
        <v>50</v>
      </c>
      <c r="C246" s="79"/>
      <c r="D246" s="70"/>
      <c r="E246" s="71"/>
      <c r="F246" s="71"/>
      <c r="G246" s="34"/>
    </row>
    <row r="247" spans="2:7" ht="15" customHeight="1">
      <c r="B247" s="68"/>
      <c r="C247" s="34"/>
      <c r="D247" s="70"/>
      <c r="E247" s="71"/>
      <c r="F247" s="71"/>
      <c r="G247" s="34"/>
    </row>
    <row r="248" spans="2:7">
      <c r="B248" s="68"/>
      <c r="C248" s="34"/>
      <c r="D248" s="70"/>
      <c r="E248" s="71"/>
      <c r="F248" s="71"/>
      <c r="G248" s="34"/>
    </row>
    <row r="249" spans="2:7">
      <c r="B249" s="68"/>
      <c r="C249" s="34"/>
      <c r="D249" s="70"/>
      <c r="E249" s="71"/>
      <c r="F249" s="71"/>
      <c r="G249" s="34"/>
    </row>
    <row r="250" spans="2:7">
      <c r="B250" s="68"/>
      <c r="C250" s="34"/>
      <c r="D250" s="70"/>
      <c r="E250" s="71"/>
      <c r="F250" s="71"/>
      <c r="G250" s="34"/>
    </row>
    <row r="251" spans="2:7">
      <c r="B251" s="68"/>
      <c r="C251" s="34"/>
      <c r="D251" s="70"/>
      <c r="E251" s="71"/>
      <c r="F251" s="71"/>
      <c r="G251" s="34"/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50</v>
      </c>
      <c r="C260" s="35" t="s">
        <v>66</v>
      </c>
      <c r="D260" s="69">
        <f>SUM(D246:D259)</f>
        <v>0</v>
      </c>
      <c r="E260" s="69">
        <f>SUM(E246:E259)</f>
        <v>0</v>
      </c>
      <c r="F260" s="69">
        <f>SUM(F246:F259)</f>
        <v>0</v>
      </c>
      <c r="G260" s="35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71" t="str">
        <f>'2018'!A33</f>
        <v>Formación</v>
      </c>
      <c r="C262" s="272"/>
      <c r="D262" s="272"/>
      <c r="E262" s="272"/>
      <c r="F262" s="272"/>
      <c r="G262" s="273"/>
    </row>
    <row r="263" spans="2:7" ht="15" customHeight="1" thickBot="1">
      <c r="B263" s="274"/>
      <c r="C263" s="275"/>
      <c r="D263" s="275"/>
      <c r="E263" s="275"/>
      <c r="F263" s="275"/>
      <c r="G263" s="276"/>
    </row>
    <row r="264" spans="2:7">
      <c r="B264" s="279" t="s">
        <v>10</v>
      </c>
      <c r="C264" s="278"/>
      <c r="D264" s="277" t="s">
        <v>11</v>
      </c>
      <c r="E264" s="277"/>
      <c r="F264" s="277"/>
      <c r="G264" s="278"/>
    </row>
    <row r="265" spans="2:7">
      <c r="B265" s="65" t="s">
        <v>32</v>
      </c>
      <c r="C265" s="73" t="s">
        <v>33</v>
      </c>
      <c r="D265" s="65" t="s">
        <v>68</v>
      </c>
      <c r="E265" s="66" t="s">
        <v>69</v>
      </c>
      <c r="F265" s="66" t="s">
        <v>32</v>
      </c>
      <c r="G265" s="73" t="s">
        <v>33</v>
      </c>
    </row>
    <row r="266" spans="2:7">
      <c r="B266" s="67">
        <v>50</v>
      </c>
      <c r="C266" s="37"/>
      <c r="D266" s="70"/>
      <c r="E266" s="71"/>
      <c r="F266" s="71"/>
      <c r="G266" s="34"/>
    </row>
    <row r="267" spans="2:7">
      <c r="B267" s="68"/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7">
      <c r="B273" s="68"/>
      <c r="C273" s="34"/>
      <c r="D273" s="70"/>
      <c r="E273" s="71"/>
      <c r="F273" s="71"/>
      <c r="G273" s="34"/>
    </row>
    <row r="274" spans="2:7">
      <c r="B274" s="68"/>
      <c r="C274" s="34"/>
      <c r="D274" s="70"/>
      <c r="E274" s="71"/>
      <c r="F274" s="71"/>
      <c r="G274" s="34"/>
    </row>
    <row r="275" spans="2:7">
      <c r="B275" s="68"/>
      <c r="C275" s="34"/>
      <c r="D275" s="70"/>
      <c r="E275" s="71"/>
      <c r="F275" s="71"/>
      <c r="G275" s="34"/>
    </row>
    <row r="276" spans="2:7">
      <c r="B276" s="68"/>
      <c r="C276" s="34"/>
      <c r="D276" s="70"/>
      <c r="E276" s="71"/>
      <c r="F276" s="71"/>
      <c r="G276" s="34"/>
    </row>
    <row r="277" spans="2:7">
      <c r="B277" s="68"/>
      <c r="C277" s="34"/>
      <c r="D277" s="70"/>
      <c r="E277" s="71"/>
      <c r="F277" s="71"/>
      <c r="G277" s="34"/>
    </row>
    <row r="278" spans="2:7">
      <c r="B278" s="68"/>
      <c r="C278" s="34"/>
      <c r="D278" s="70"/>
      <c r="E278" s="71"/>
      <c r="F278" s="71"/>
      <c r="G278" s="34"/>
    </row>
    <row r="279" spans="2:7" ht="15.75" thickBot="1">
      <c r="B279" s="69"/>
      <c r="C279" s="35"/>
      <c r="D279" s="69"/>
      <c r="E279" s="72"/>
      <c r="F279" s="72"/>
      <c r="G279" s="35"/>
    </row>
    <row r="280" spans="2:7" ht="15.75" thickBot="1">
      <c r="B280" s="69">
        <f>SUM(B266:B279)</f>
        <v>50</v>
      </c>
      <c r="C280" s="35" t="s">
        <v>66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271" t="str">
        <f>'2018'!A34</f>
        <v>Regalos</v>
      </c>
      <c r="C282" s="272"/>
      <c r="D282" s="272"/>
      <c r="E282" s="272"/>
      <c r="F282" s="272"/>
      <c r="G282" s="273"/>
    </row>
    <row r="283" spans="2:7" ht="15" customHeight="1" thickBot="1">
      <c r="B283" s="274"/>
      <c r="C283" s="275"/>
      <c r="D283" s="275"/>
      <c r="E283" s="275"/>
      <c r="F283" s="275"/>
      <c r="G283" s="276"/>
    </row>
    <row r="284" spans="2:7">
      <c r="B284" s="279" t="s">
        <v>10</v>
      </c>
      <c r="C284" s="278"/>
      <c r="D284" s="277" t="s">
        <v>11</v>
      </c>
      <c r="E284" s="277"/>
      <c r="F284" s="277"/>
      <c r="G284" s="278"/>
    </row>
    <row r="285" spans="2:7">
      <c r="B285" s="65" t="s">
        <v>32</v>
      </c>
      <c r="C285" s="73" t="s">
        <v>33</v>
      </c>
      <c r="D285" s="65" t="s">
        <v>68</v>
      </c>
      <c r="E285" s="66" t="s">
        <v>69</v>
      </c>
      <c r="F285" s="66" t="s">
        <v>32</v>
      </c>
      <c r="G285" s="73" t="s">
        <v>394</v>
      </c>
    </row>
    <row r="286" spans="2:7">
      <c r="B286" s="67">
        <v>100</v>
      </c>
      <c r="C286" s="37" t="s">
        <v>36</v>
      </c>
      <c r="D286" s="70"/>
      <c r="E286" s="71"/>
      <c r="F286" s="71"/>
      <c r="G286" s="34"/>
    </row>
    <row r="287" spans="2:7">
      <c r="B287" s="68">
        <v>-40</v>
      </c>
      <c r="C287" s="34" t="s">
        <v>597</v>
      </c>
      <c r="D287" s="70"/>
      <c r="E287" s="71"/>
      <c r="F287" s="71"/>
      <c r="G287" s="34"/>
    </row>
    <row r="288" spans="2:7">
      <c r="B288" s="68"/>
      <c r="C288" s="34"/>
      <c r="D288" s="70"/>
      <c r="E288" s="71"/>
      <c r="F288" s="71"/>
      <c r="G288" s="34"/>
    </row>
    <row r="289" spans="2:7">
      <c r="B289" s="68"/>
      <c r="C289" s="34"/>
      <c r="D289" s="70"/>
      <c r="E289" s="71"/>
      <c r="F289" s="71"/>
      <c r="G289" s="34"/>
    </row>
    <row r="290" spans="2:7">
      <c r="B290" s="68"/>
      <c r="C290" s="34"/>
      <c r="D290" s="70"/>
      <c r="E290" s="71"/>
      <c r="F290" s="71"/>
      <c r="G290" s="34"/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60</v>
      </c>
      <c r="C300" s="35" t="s">
        <v>66</v>
      </c>
      <c r="D300" s="69">
        <f>SUM(D286:D299)</f>
        <v>0</v>
      </c>
      <c r="E300" s="69">
        <f>SUM(E286:E299)</f>
        <v>0</v>
      </c>
      <c r="F300" s="69">
        <f>SUM(F286:F299)</f>
        <v>0</v>
      </c>
      <c r="G300" s="35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71" t="str">
        <f>'2018'!A35</f>
        <v>Salud</v>
      </c>
      <c r="C302" s="272"/>
      <c r="D302" s="272"/>
      <c r="E302" s="272"/>
      <c r="F302" s="272"/>
      <c r="G302" s="273"/>
    </row>
    <row r="303" spans="2:7" ht="15" customHeight="1" thickBot="1">
      <c r="B303" s="274"/>
      <c r="C303" s="275"/>
      <c r="D303" s="275"/>
      <c r="E303" s="275"/>
      <c r="F303" s="275"/>
      <c r="G303" s="276"/>
    </row>
    <row r="304" spans="2:7">
      <c r="B304" s="279" t="s">
        <v>10</v>
      </c>
      <c r="C304" s="278"/>
      <c r="D304" s="277" t="s">
        <v>11</v>
      </c>
      <c r="E304" s="277"/>
      <c r="F304" s="277"/>
      <c r="G304" s="278"/>
    </row>
    <row r="305" spans="2:7">
      <c r="B305" s="65" t="s">
        <v>32</v>
      </c>
      <c r="C305" s="73" t="s">
        <v>33</v>
      </c>
      <c r="D305" s="65" t="s">
        <v>68</v>
      </c>
      <c r="E305" s="66" t="s">
        <v>69</v>
      </c>
      <c r="F305" s="66" t="s">
        <v>32</v>
      </c>
      <c r="G305" s="73" t="s">
        <v>394</v>
      </c>
    </row>
    <row r="306" spans="2:7">
      <c r="B306" s="67">
        <v>110</v>
      </c>
      <c r="C306" s="37" t="s">
        <v>475</v>
      </c>
      <c r="D306" s="70"/>
      <c r="E306" s="71"/>
      <c r="F306" s="71"/>
      <c r="G306" s="34"/>
    </row>
    <row r="307" spans="2:7">
      <c r="B307" s="119"/>
      <c r="C307" s="79"/>
      <c r="D307" s="70"/>
      <c r="E307" s="71"/>
      <c r="F307" s="71"/>
      <c r="G307" s="34"/>
    </row>
    <row r="308" spans="2:7">
      <c r="B308" s="119"/>
      <c r="C308" s="79"/>
      <c r="D308" s="70"/>
      <c r="E308" s="71"/>
      <c r="F308" s="71"/>
      <c r="G308" s="34"/>
    </row>
    <row r="309" spans="2:7">
      <c r="B309" s="68"/>
      <c r="C309" s="34"/>
      <c r="D309" s="70"/>
      <c r="E309" s="71"/>
      <c r="F309" s="71"/>
      <c r="G309" s="34"/>
    </row>
    <row r="310" spans="2:7">
      <c r="B310" s="68"/>
      <c r="C310" s="34"/>
      <c r="D310" s="70"/>
      <c r="E310" s="71"/>
      <c r="F310" s="71"/>
      <c r="G310" s="34"/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110</v>
      </c>
      <c r="C320" s="35" t="s">
        <v>66</v>
      </c>
      <c r="D320" s="69">
        <f>SUM(D306:D319)</f>
        <v>0</v>
      </c>
      <c r="E320" s="69">
        <f>SUM(E306:E319)</f>
        <v>0</v>
      </c>
      <c r="F320" s="69">
        <f>SUM(F306:F319)</f>
        <v>0</v>
      </c>
      <c r="G320" s="35" t="s">
        <v>66</v>
      </c>
    </row>
    <row r="321" spans="2:7" ht="15.75" thickBot="1"/>
    <row r="322" spans="2:7" ht="14.45" customHeight="1">
      <c r="B322" s="271" t="str">
        <f>'2018'!A36</f>
        <v>Martina</v>
      </c>
      <c r="C322" s="272"/>
      <c r="D322" s="272"/>
      <c r="E322" s="272"/>
      <c r="F322" s="272"/>
      <c r="G322" s="273"/>
    </row>
    <row r="323" spans="2:7" ht="15" customHeight="1" thickBot="1">
      <c r="B323" s="274"/>
      <c r="C323" s="275"/>
      <c r="D323" s="275"/>
      <c r="E323" s="275"/>
      <c r="F323" s="275"/>
      <c r="G323" s="276"/>
    </row>
    <row r="324" spans="2:7">
      <c r="B324" s="279" t="s">
        <v>10</v>
      </c>
      <c r="C324" s="278"/>
      <c r="D324" s="277" t="s">
        <v>11</v>
      </c>
      <c r="E324" s="277"/>
      <c r="F324" s="277"/>
      <c r="G324" s="278"/>
    </row>
    <row r="325" spans="2:7">
      <c r="B325" s="65" t="s">
        <v>32</v>
      </c>
      <c r="C325" s="73" t="s">
        <v>33</v>
      </c>
      <c r="D325" s="65" t="s">
        <v>68</v>
      </c>
      <c r="E325" s="66" t="s">
        <v>69</v>
      </c>
      <c r="F325" s="66" t="s">
        <v>32</v>
      </c>
      <c r="G325" s="73" t="s">
        <v>394</v>
      </c>
    </row>
    <row r="326" spans="2:7">
      <c r="B326" s="67">
        <v>90</v>
      </c>
      <c r="C326" s="37"/>
      <c r="D326" s="70"/>
      <c r="E326" s="71"/>
      <c r="F326" s="71"/>
      <c r="G326" s="34"/>
    </row>
    <row r="327" spans="2:7">
      <c r="B327" s="68"/>
      <c r="C327" s="34"/>
      <c r="D327" s="70"/>
      <c r="E327" s="71"/>
      <c r="F327" s="71"/>
      <c r="G327" s="34"/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90</v>
      </c>
      <c r="C340" s="35" t="s">
        <v>66</v>
      </c>
      <c r="D340" s="69">
        <f>SUM(D326:D339)</f>
        <v>0</v>
      </c>
      <c r="E340" s="69">
        <f>SUM(E326:E339)</f>
        <v>0</v>
      </c>
      <c r="F340" s="69">
        <f>SUM(F326:F339)</f>
        <v>0</v>
      </c>
      <c r="G340" s="35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71" t="str">
        <f>'2018'!A37</f>
        <v>Impuestos</v>
      </c>
      <c r="C342" s="272"/>
      <c r="D342" s="272"/>
      <c r="E342" s="272"/>
      <c r="F342" s="272"/>
      <c r="G342" s="273"/>
    </row>
    <row r="343" spans="2:7" ht="15" customHeight="1" thickBot="1">
      <c r="B343" s="274"/>
      <c r="C343" s="275"/>
      <c r="D343" s="275"/>
      <c r="E343" s="275"/>
      <c r="F343" s="275"/>
      <c r="G343" s="276"/>
    </row>
    <row r="344" spans="2:7">
      <c r="B344" s="279" t="s">
        <v>10</v>
      </c>
      <c r="C344" s="278"/>
      <c r="D344" s="277" t="s">
        <v>11</v>
      </c>
      <c r="E344" s="277"/>
      <c r="F344" s="277"/>
      <c r="G344" s="278"/>
    </row>
    <row r="345" spans="2:7">
      <c r="B345" s="65" t="s">
        <v>32</v>
      </c>
      <c r="C345" s="73" t="s">
        <v>33</v>
      </c>
      <c r="D345" s="65" t="s">
        <v>68</v>
      </c>
      <c r="E345" s="66" t="s">
        <v>69</v>
      </c>
      <c r="F345" s="66" t="s">
        <v>32</v>
      </c>
      <c r="G345" s="73" t="s">
        <v>394</v>
      </c>
    </row>
    <row r="346" spans="2:7">
      <c r="B346" s="67">
        <v>30</v>
      </c>
      <c r="C346" s="37" t="s">
        <v>119</v>
      </c>
      <c r="D346" s="70"/>
      <c r="E346" s="71"/>
      <c r="F346" s="71"/>
      <c r="G346" s="34"/>
    </row>
    <row r="347" spans="2:7">
      <c r="B347" s="68">
        <v>30</v>
      </c>
      <c r="C347" s="34" t="s">
        <v>563</v>
      </c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60</v>
      </c>
      <c r="C360" s="35" t="s">
        <v>66</v>
      </c>
      <c r="D360" s="69">
        <f>SUM(D346:D359)</f>
        <v>0</v>
      </c>
      <c r="E360" s="69">
        <f>SUM(E346:E359)</f>
        <v>0</v>
      </c>
      <c r="F360" s="69">
        <f>SUM(F346:F359)</f>
        <v>0</v>
      </c>
      <c r="G360" s="35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71" t="str">
        <f>'2018'!A38</f>
        <v>Gastos Curros</v>
      </c>
      <c r="C362" s="272"/>
      <c r="D362" s="272"/>
      <c r="E362" s="272"/>
      <c r="F362" s="272"/>
      <c r="G362" s="273"/>
    </row>
    <row r="363" spans="2:7" ht="15" customHeight="1" thickBot="1">
      <c r="B363" s="274"/>
      <c r="C363" s="275"/>
      <c r="D363" s="275"/>
      <c r="E363" s="275"/>
      <c r="F363" s="275"/>
      <c r="G363" s="276"/>
    </row>
    <row r="364" spans="2:7">
      <c r="B364" s="279" t="s">
        <v>10</v>
      </c>
      <c r="C364" s="278"/>
      <c r="D364" s="277" t="s">
        <v>11</v>
      </c>
      <c r="E364" s="277"/>
      <c r="F364" s="277"/>
      <c r="G364" s="278"/>
    </row>
    <row r="365" spans="2:7">
      <c r="B365" s="65" t="s">
        <v>32</v>
      </c>
      <c r="C365" s="73" t="s">
        <v>33</v>
      </c>
      <c r="D365" s="65" t="s">
        <v>68</v>
      </c>
      <c r="E365" s="66" t="s">
        <v>69</v>
      </c>
      <c r="F365" s="66" t="s">
        <v>32</v>
      </c>
      <c r="G365" s="73" t="s">
        <v>394</v>
      </c>
    </row>
    <row r="366" spans="2:7">
      <c r="B366" s="67">
        <v>70</v>
      </c>
      <c r="C366" s="37" t="s">
        <v>36</v>
      </c>
      <c r="D366" s="70"/>
      <c r="E366" s="71"/>
      <c r="F366" s="71"/>
      <c r="G366" s="91" t="s">
        <v>91</v>
      </c>
    </row>
    <row r="367" spans="2:7">
      <c r="B367" s="68"/>
      <c r="C367" s="34"/>
      <c r="D367" s="70"/>
      <c r="E367" s="71"/>
      <c r="F367" s="71"/>
      <c r="G367" s="91"/>
    </row>
    <row r="368" spans="2:7">
      <c r="B368" s="68"/>
      <c r="C368" s="34"/>
      <c r="D368" s="70"/>
      <c r="E368" s="71"/>
      <c r="F368" s="71"/>
      <c r="G368" s="34"/>
    </row>
    <row r="369" spans="2:7">
      <c r="B369" s="68"/>
      <c r="C369" s="34"/>
      <c r="D369" s="70"/>
      <c r="E369" s="71"/>
      <c r="F369" s="71"/>
      <c r="G369" s="34"/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70</v>
      </c>
      <c r="C380" s="35" t="s">
        <v>66</v>
      </c>
      <c r="D380" s="69">
        <f>SUM(D366:D379)</f>
        <v>0</v>
      </c>
      <c r="E380" s="69">
        <f>SUM(E366:E379)</f>
        <v>0</v>
      </c>
      <c r="F380" s="69">
        <f>SUM(F366:F379)</f>
        <v>0</v>
      </c>
      <c r="G380" s="35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71" t="str">
        <f>'2018'!A39</f>
        <v>Dreamed Holidays</v>
      </c>
      <c r="C382" s="272"/>
      <c r="D382" s="272"/>
      <c r="E382" s="272"/>
      <c r="F382" s="272"/>
      <c r="G382" s="273"/>
    </row>
    <row r="383" spans="2:7" ht="15" customHeight="1" thickBot="1">
      <c r="B383" s="274"/>
      <c r="C383" s="275"/>
      <c r="D383" s="275"/>
      <c r="E383" s="275"/>
      <c r="F383" s="275"/>
      <c r="G383" s="276"/>
    </row>
    <row r="384" spans="2:7">
      <c r="B384" s="279" t="s">
        <v>10</v>
      </c>
      <c r="C384" s="278"/>
      <c r="D384" s="277" t="s">
        <v>11</v>
      </c>
      <c r="E384" s="277"/>
      <c r="F384" s="277"/>
      <c r="G384" s="278"/>
    </row>
    <row r="385" spans="2:7">
      <c r="B385" s="65" t="s">
        <v>32</v>
      </c>
      <c r="C385" s="73" t="s">
        <v>33</v>
      </c>
      <c r="D385" s="65" t="s">
        <v>68</v>
      </c>
      <c r="E385" s="66" t="s">
        <v>69</v>
      </c>
      <c r="F385" s="66" t="s">
        <v>32</v>
      </c>
      <c r="G385" s="73" t="s">
        <v>33</v>
      </c>
    </row>
    <row r="386" spans="2:7">
      <c r="B386" s="67">
        <v>20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20</v>
      </c>
      <c r="C400" s="35" t="s">
        <v>66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71" t="str">
        <f>'2018'!A40</f>
        <v>Financieros</v>
      </c>
      <c r="C402" s="272"/>
      <c r="D402" s="272"/>
      <c r="E402" s="272"/>
      <c r="F402" s="272"/>
      <c r="G402" s="273"/>
    </row>
    <row r="403" spans="2:7" ht="15" customHeight="1" thickBot="1">
      <c r="B403" s="274"/>
      <c r="C403" s="275"/>
      <c r="D403" s="275"/>
      <c r="E403" s="275"/>
      <c r="F403" s="275"/>
      <c r="G403" s="276"/>
    </row>
    <row r="404" spans="2:7">
      <c r="B404" s="279" t="s">
        <v>10</v>
      </c>
      <c r="C404" s="278"/>
      <c r="D404" s="277" t="s">
        <v>11</v>
      </c>
      <c r="E404" s="277"/>
      <c r="F404" s="277"/>
      <c r="G404" s="278"/>
    </row>
    <row r="405" spans="2:7">
      <c r="B405" s="65" t="s">
        <v>32</v>
      </c>
      <c r="C405" s="73" t="s">
        <v>33</v>
      </c>
      <c r="D405" s="65" t="s">
        <v>68</v>
      </c>
      <c r="E405" s="66" t="s">
        <v>69</v>
      </c>
      <c r="F405" s="66" t="s">
        <v>32</v>
      </c>
      <c r="G405" s="73" t="s">
        <v>33</v>
      </c>
    </row>
    <row r="406" spans="2:7">
      <c r="B406" s="67">
        <v>10</v>
      </c>
      <c r="C406" s="37"/>
      <c r="D406" s="70"/>
      <c r="E406" s="71"/>
      <c r="F406" s="71"/>
      <c r="G406" s="34"/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10</v>
      </c>
      <c r="C420" s="35" t="s">
        <v>66</v>
      </c>
      <c r="D420" s="69">
        <f>SUM(D406:D419)</f>
        <v>0</v>
      </c>
      <c r="E420" s="69">
        <f>SUM(E406:E419)</f>
        <v>0</v>
      </c>
      <c r="F420" s="69">
        <f>SUM(F406:F419)</f>
        <v>0</v>
      </c>
      <c r="G420" s="35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71" t="str">
        <f>'2018'!A41</f>
        <v>Ahorros Colchón</v>
      </c>
      <c r="C422" s="289"/>
      <c r="D422" s="289"/>
      <c r="E422" s="289"/>
      <c r="F422" s="289"/>
      <c r="G422" s="290"/>
    </row>
    <row r="423" spans="2:7" ht="15" customHeight="1" thickBot="1">
      <c r="B423" s="291"/>
      <c r="C423" s="292"/>
      <c r="D423" s="292"/>
      <c r="E423" s="292"/>
      <c r="F423" s="292"/>
      <c r="G423" s="293"/>
    </row>
    <row r="424" spans="2:7">
      <c r="B424" s="279" t="s">
        <v>10</v>
      </c>
      <c r="C424" s="278"/>
      <c r="D424" s="277" t="s">
        <v>11</v>
      </c>
      <c r="E424" s="277"/>
      <c r="F424" s="277"/>
      <c r="G424" s="278"/>
    </row>
    <row r="425" spans="2:7">
      <c r="B425" s="65" t="s">
        <v>32</v>
      </c>
      <c r="C425" s="73" t="s">
        <v>33</v>
      </c>
      <c r="D425" s="65" t="s">
        <v>68</v>
      </c>
      <c r="E425" s="66" t="s">
        <v>69</v>
      </c>
      <c r="F425" s="66" t="s">
        <v>32</v>
      </c>
      <c r="G425" s="73" t="s">
        <v>33</v>
      </c>
    </row>
    <row r="426" spans="2:7">
      <c r="B426" s="67">
        <f>'2018'!AM17</f>
        <v>0</v>
      </c>
      <c r="C426" s="37" t="s">
        <v>562</v>
      </c>
      <c r="D426" s="70"/>
      <c r="E426" s="71"/>
      <c r="F426" s="71"/>
      <c r="G426" s="34"/>
    </row>
    <row r="427" spans="2:7">
      <c r="B427" s="68"/>
      <c r="C427" s="34"/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0</v>
      </c>
      <c r="C440" s="35" t="s">
        <v>66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71" t="str">
        <f>'2018'!A42</f>
        <v>Dinero Bloqueado</v>
      </c>
      <c r="C442" s="289"/>
      <c r="D442" s="289"/>
      <c r="E442" s="289"/>
      <c r="F442" s="289"/>
      <c r="G442" s="290"/>
    </row>
    <row r="443" spans="2:7" ht="15" customHeight="1" thickBot="1">
      <c r="B443" s="291"/>
      <c r="C443" s="292"/>
      <c r="D443" s="292"/>
      <c r="E443" s="292"/>
      <c r="F443" s="292"/>
      <c r="G443" s="293"/>
    </row>
    <row r="444" spans="2:7">
      <c r="B444" s="279" t="s">
        <v>10</v>
      </c>
      <c r="C444" s="278"/>
      <c r="D444" s="277" t="s">
        <v>11</v>
      </c>
      <c r="E444" s="277"/>
      <c r="F444" s="277"/>
      <c r="G444" s="278"/>
    </row>
    <row r="445" spans="2:7">
      <c r="B445" s="65" t="s">
        <v>32</v>
      </c>
      <c r="C445" s="73" t="s">
        <v>33</v>
      </c>
      <c r="D445" s="65" t="s">
        <v>68</v>
      </c>
      <c r="E445" s="66" t="s">
        <v>69</v>
      </c>
      <c r="F445" s="66" t="s">
        <v>32</v>
      </c>
      <c r="G445" s="73" t="s">
        <v>33</v>
      </c>
    </row>
    <row r="446" spans="2:7">
      <c r="B446" s="67"/>
      <c r="C446" s="37"/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0</v>
      </c>
      <c r="C460" s="35" t="s">
        <v>66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71" t="str">
        <f>'2018'!A43</f>
        <v>Cartama Finanazas</v>
      </c>
      <c r="C462" s="289"/>
      <c r="D462" s="289"/>
      <c r="E462" s="289"/>
      <c r="F462" s="289"/>
      <c r="G462" s="290"/>
    </row>
    <row r="463" spans="2:7" ht="15" customHeight="1" thickBot="1">
      <c r="B463" s="291"/>
      <c r="C463" s="292"/>
      <c r="D463" s="292"/>
      <c r="E463" s="292"/>
      <c r="F463" s="292"/>
      <c r="G463" s="293"/>
    </row>
    <row r="464" spans="2:7">
      <c r="B464" s="279" t="s">
        <v>10</v>
      </c>
      <c r="C464" s="278"/>
      <c r="D464" s="277" t="s">
        <v>11</v>
      </c>
      <c r="E464" s="277"/>
      <c r="F464" s="277"/>
      <c r="G464" s="278"/>
    </row>
    <row r="465" spans="1:7">
      <c r="A465" s="175" t="s">
        <v>611</v>
      </c>
      <c r="B465" s="65" t="s">
        <v>32</v>
      </c>
      <c r="C465" s="73" t="s">
        <v>33</v>
      </c>
      <c r="D465" s="65" t="s">
        <v>68</v>
      </c>
      <c r="E465" s="66" t="s">
        <v>69</v>
      </c>
      <c r="F465" s="66" t="s">
        <v>32</v>
      </c>
      <c r="G465" s="73" t="s">
        <v>33</v>
      </c>
    </row>
    <row r="466" spans="1:7" ht="15.75">
      <c r="A466" s="202">
        <f>'09'!A466+B466-E466</f>
        <v>316</v>
      </c>
      <c r="B466" s="68">
        <v>45</v>
      </c>
      <c r="C466" s="34" t="s">
        <v>487</v>
      </c>
      <c r="D466" s="70"/>
      <c r="E466" s="71"/>
      <c r="F466" s="71"/>
      <c r="G466" s="34"/>
    </row>
    <row r="467" spans="1:7" ht="15.75">
      <c r="A467" s="202">
        <f>'09'!A467+B467-E467</f>
        <v>5</v>
      </c>
      <c r="B467" s="68">
        <v>5</v>
      </c>
      <c r="C467" s="34" t="s">
        <v>612</v>
      </c>
      <c r="D467" s="70"/>
      <c r="E467" s="71"/>
      <c r="F467" s="71"/>
      <c r="G467" s="34"/>
    </row>
    <row r="468" spans="1:7" ht="15.75">
      <c r="A468" s="202">
        <f>'09'!A468+B468-E468</f>
        <v>5</v>
      </c>
      <c r="B468" s="68">
        <v>5</v>
      </c>
      <c r="C468" s="34" t="s">
        <v>613</v>
      </c>
      <c r="D468" s="70"/>
      <c r="E468" s="71"/>
      <c r="F468" s="71"/>
      <c r="G468" s="34"/>
    </row>
    <row r="469" spans="1:7">
      <c r="B469" s="68"/>
      <c r="C469" s="34"/>
      <c r="D469" s="70"/>
      <c r="E469" s="71"/>
      <c r="F469" s="71"/>
      <c r="G469" s="34"/>
    </row>
    <row r="470" spans="1:7">
      <c r="B470" s="68"/>
      <c r="C470" s="34"/>
      <c r="D470" s="70"/>
      <c r="E470" s="71"/>
      <c r="F470" s="71"/>
      <c r="G470" s="34"/>
    </row>
    <row r="471" spans="1:7">
      <c r="B471" s="68"/>
      <c r="C471" s="34"/>
      <c r="D471" s="70"/>
      <c r="E471" s="71"/>
      <c r="F471" s="71"/>
      <c r="G471" s="34"/>
    </row>
    <row r="472" spans="1:7">
      <c r="B472" s="68"/>
      <c r="C472" s="34"/>
      <c r="D472" s="70"/>
      <c r="E472" s="71"/>
      <c r="F472" s="71"/>
      <c r="G472" s="34"/>
    </row>
    <row r="473" spans="1:7">
      <c r="B473" s="68"/>
      <c r="C473" s="34"/>
      <c r="D473" s="70"/>
      <c r="E473" s="71"/>
      <c r="F473" s="71"/>
      <c r="G473" s="34"/>
    </row>
    <row r="474" spans="1:7">
      <c r="B474" s="68"/>
      <c r="C474" s="34"/>
      <c r="D474" s="70"/>
      <c r="E474" s="71"/>
      <c r="F474" s="71"/>
      <c r="G474" s="34"/>
    </row>
    <row r="475" spans="1:7">
      <c r="B475" s="68"/>
      <c r="C475" s="34"/>
      <c r="D475" s="70"/>
      <c r="E475" s="71"/>
      <c r="F475" s="71"/>
      <c r="G475" s="34"/>
    </row>
    <row r="476" spans="1:7">
      <c r="B476" s="68"/>
      <c r="C476" s="34"/>
      <c r="D476" s="70"/>
      <c r="E476" s="71"/>
      <c r="F476" s="71"/>
      <c r="G476" s="34"/>
    </row>
    <row r="477" spans="1:7">
      <c r="B477" s="68"/>
      <c r="C477" s="34"/>
      <c r="D477" s="70"/>
      <c r="E477" s="71"/>
      <c r="F477" s="71"/>
      <c r="G477" s="34"/>
    </row>
    <row r="478" spans="1:7">
      <c r="B478" s="68"/>
      <c r="C478" s="34"/>
      <c r="D478" s="70"/>
      <c r="E478" s="71"/>
      <c r="F478" s="71"/>
      <c r="G478" s="34"/>
    </row>
    <row r="479" spans="1:7" ht="15.75" thickBot="1">
      <c r="B479" s="69"/>
      <c r="C479" s="35"/>
      <c r="D479" s="69"/>
      <c r="E479" s="72"/>
      <c r="F479" s="72"/>
      <c r="G479" s="35"/>
    </row>
    <row r="480" spans="1:7" ht="15.75" thickBot="1">
      <c r="A480" s="203">
        <f>SUM(A466:A468)</f>
        <v>326</v>
      </c>
      <c r="B480" s="69">
        <f>SUM(B466:B479)</f>
        <v>55</v>
      </c>
      <c r="C480" s="35" t="s">
        <v>66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66</v>
      </c>
    </row>
    <row r="481" spans="2:7" ht="15.75" thickBot="1"/>
    <row r="482" spans="2:7" ht="14.45" customHeight="1">
      <c r="B482" s="271" t="str">
        <f>'2018'!A44</f>
        <v>NULO</v>
      </c>
      <c r="C482" s="289"/>
      <c r="D482" s="289"/>
      <c r="E482" s="289"/>
      <c r="F482" s="289"/>
      <c r="G482" s="290"/>
    </row>
    <row r="483" spans="2:7" ht="15" customHeight="1" thickBot="1">
      <c r="B483" s="291"/>
      <c r="C483" s="292"/>
      <c r="D483" s="292"/>
      <c r="E483" s="292"/>
      <c r="F483" s="292"/>
      <c r="G483" s="293"/>
    </row>
    <row r="484" spans="2:7">
      <c r="B484" s="279" t="s">
        <v>10</v>
      </c>
      <c r="C484" s="278"/>
      <c r="D484" s="277" t="s">
        <v>11</v>
      </c>
      <c r="E484" s="277"/>
      <c r="F484" s="277"/>
      <c r="G484" s="278"/>
    </row>
    <row r="485" spans="2:7">
      <c r="B485" s="65" t="s">
        <v>32</v>
      </c>
      <c r="C485" s="73" t="s">
        <v>33</v>
      </c>
      <c r="D485" s="65" t="s">
        <v>68</v>
      </c>
      <c r="E485" s="66" t="s">
        <v>69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66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71" t="str">
        <f>'2018'!A45</f>
        <v>OTROS</v>
      </c>
      <c r="C502" s="289"/>
      <c r="D502" s="289"/>
      <c r="E502" s="289"/>
      <c r="F502" s="289"/>
      <c r="G502" s="290"/>
    </row>
    <row r="503" spans="2:7" ht="15" customHeight="1" thickBot="1">
      <c r="B503" s="291"/>
      <c r="C503" s="292"/>
      <c r="D503" s="292"/>
      <c r="E503" s="292"/>
      <c r="F503" s="292"/>
      <c r="G503" s="293"/>
    </row>
    <row r="504" spans="2:7">
      <c r="B504" s="279" t="s">
        <v>10</v>
      </c>
      <c r="C504" s="278"/>
      <c r="D504" s="277" t="s">
        <v>11</v>
      </c>
      <c r="E504" s="277"/>
      <c r="F504" s="277"/>
      <c r="G504" s="278"/>
    </row>
    <row r="505" spans="2:7">
      <c r="B505" s="65" t="s">
        <v>32</v>
      </c>
      <c r="C505" s="73" t="s">
        <v>33</v>
      </c>
      <c r="D505" s="65" t="s">
        <v>68</v>
      </c>
      <c r="E505" s="66" t="s">
        <v>69</v>
      </c>
      <c r="F505" s="66" t="s">
        <v>32</v>
      </c>
      <c r="G505" s="73" t="s">
        <v>33</v>
      </c>
    </row>
    <row r="506" spans="2:7">
      <c r="B506" s="67"/>
      <c r="C506" s="37"/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>
        <f>SUM(B506:B519)</f>
        <v>0</v>
      </c>
      <c r="C520" s="35" t="s">
        <v>66</v>
      </c>
      <c r="D520" s="69">
        <f>SUM(D506:D519)</f>
        <v>0</v>
      </c>
      <c r="E520" s="69">
        <f>SUM(E506:E519)</f>
        <v>0</v>
      </c>
      <c r="F520" s="69">
        <f>SUM(F506:F519)</f>
        <v>0</v>
      </c>
      <c r="G520" s="35" t="s">
        <v>66</v>
      </c>
    </row>
  </sheetData>
  <mergeCells count="111"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A00-000000000000}"/>
    <hyperlink ref="I22" location="Trimestre!C39:F40" display="TELÉFONO" xr:uid="{00000000-0004-0000-0A00-000001000000}"/>
    <hyperlink ref="I22:L23" location="'2018'!AM7:AP7" display="INGRESOS" xr:uid="{00000000-0004-0000-0A00-000002000000}"/>
    <hyperlink ref="B2" location="Trimestre!C25:F26" display="HIPOTECA" xr:uid="{00000000-0004-0000-0A00-000003000000}"/>
    <hyperlink ref="B2:G3" location="'2018'!AM20:AP20" display="'2018'!AM20:AP20" xr:uid="{00000000-0004-0000-0A00-000004000000}"/>
    <hyperlink ref="B22" location="Trimestre!C25:F26" display="HIPOTECA" xr:uid="{00000000-0004-0000-0A00-000005000000}"/>
    <hyperlink ref="B22:G23" location="'2018'!AM21:AP21" display="'2018'!AM21:AP21" xr:uid="{00000000-0004-0000-0A00-000006000000}"/>
    <hyperlink ref="B42" location="Trimestre!C25:F26" display="HIPOTECA" xr:uid="{00000000-0004-0000-0A00-000007000000}"/>
    <hyperlink ref="B42:G43" location="'2018'!AM22:AP22" display="'2018'!AM22:AP22" xr:uid="{00000000-0004-0000-0A00-000008000000}"/>
    <hyperlink ref="B62" location="Trimestre!C25:F26" display="HIPOTECA" xr:uid="{00000000-0004-0000-0A00-000009000000}"/>
    <hyperlink ref="B62:G63" location="'2018'!AM23:AP23" display="'2018'!AM23:AP23" xr:uid="{00000000-0004-0000-0A00-00000A000000}"/>
    <hyperlink ref="B82" location="Trimestre!C25:F26" display="HIPOTECA" xr:uid="{00000000-0004-0000-0A00-00000B000000}"/>
    <hyperlink ref="B82:G83" location="'2018'!AM24:AP24" display="'2018'!AM24:AP24" xr:uid="{00000000-0004-0000-0A00-00000C000000}"/>
    <hyperlink ref="B102" location="Trimestre!C25:F26" display="HIPOTECA" xr:uid="{00000000-0004-0000-0A00-00000D000000}"/>
    <hyperlink ref="B102:G103" location="'2018'!AM25:AP25" display="'2018'!AM25:AP25" xr:uid="{00000000-0004-0000-0A00-00000E000000}"/>
    <hyperlink ref="B122" location="Trimestre!C25:F26" display="HIPOTECA" xr:uid="{00000000-0004-0000-0A00-00000F000000}"/>
    <hyperlink ref="B122:G123" location="'2018'!AM26:AP26" display="'2018'!AM26:AP26" xr:uid="{00000000-0004-0000-0A00-000010000000}"/>
    <hyperlink ref="B142" location="Trimestre!C25:F26" display="HIPOTECA" xr:uid="{00000000-0004-0000-0A00-000011000000}"/>
    <hyperlink ref="B142:G143" location="'2018'!AM27:AP27" display="'2018'!AM27:AP27" xr:uid="{00000000-0004-0000-0A00-000012000000}"/>
    <hyperlink ref="B162" location="Trimestre!C25:F26" display="HIPOTECA" xr:uid="{00000000-0004-0000-0A00-000013000000}"/>
    <hyperlink ref="B162:G163" location="'2018'!AM28:AP28" display="'2018'!AM28:AP28" xr:uid="{00000000-0004-0000-0A00-000014000000}"/>
    <hyperlink ref="B182" location="Trimestre!C25:F26" display="HIPOTECA" xr:uid="{00000000-0004-0000-0A00-000015000000}"/>
    <hyperlink ref="B182:G183" location="'2018'!AM29:AP29" display="'2018'!AM29:AP29" xr:uid="{00000000-0004-0000-0A00-000016000000}"/>
    <hyperlink ref="B202" location="Trimestre!C25:F26" display="HIPOTECA" xr:uid="{00000000-0004-0000-0A00-000017000000}"/>
    <hyperlink ref="B202:G203" location="'2018'!AM30:AP30" display="'2018'!AM30:AP30" xr:uid="{00000000-0004-0000-0A00-000018000000}"/>
    <hyperlink ref="B222" location="Trimestre!C25:F26" display="HIPOTECA" xr:uid="{00000000-0004-0000-0A00-000019000000}"/>
    <hyperlink ref="B222:G223" location="'2018'!AM31:AP31" display="'2018'!AM31:AP31" xr:uid="{00000000-0004-0000-0A00-00001A000000}"/>
    <hyperlink ref="B242" location="Trimestre!C25:F26" display="HIPOTECA" xr:uid="{00000000-0004-0000-0A00-00001B000000}"/>
    <hyperlink ref="B242:G243" location="'2018'!AM32:AP32" display="'2018'!AM32:AP32" xr:uid="{00000000-0004-0000-0A00-00001C000000}"/>
    <hyperlink ref="B262" location="Trimestre!C25:F26" display="HIPOTECA" xr:uid="{00000000-0004-0000-0A00-00001D000000}"/>
    <hyperlink ref="B262:G263" location="'2018'!AM33:AP33" display="'2018'!AM33:AP33" xr:uid="{00000000-0004-0000-0A00-00001E000000}"/>
    <hyperlink ref="B282" location="Trimestre!C25:F26" display="HIPOTECA" xr:uid="{00000000-0004-0000-0A00-00001F000000}"/>
    <hyperlink ref="B282:G283" location="'2018'!AM34:AP34" display="'2018'!AM34:AP34" xr:uid="{00000000-0004-0000-0A00-000020000000}"/>
    <hyperlink ref="B302" location="Trimestre!C25:F26" display="HIPOTECA" xr:uid="{00000000-0004-0000-0A00-000021000000}"/>
    <hyperlink ref="B302:G303" location="'2018'!AM35:AP35" display="'2018'!AM35:AP35" xr:uid="{00000000-0004-0000-0A00-000022000000}"/>
    <hyperlink ref="B322" location="Trimestre!C25:F26" display="HIPOTECA" xr:uid="{00000000-0004-0000-0A00-000023000000}"/>
    <hyperlink ref="B322:G323" location="'2018'!AM36:AP36" display="'2018'!AM36:AP36" xr:uid="{00000000-0004-0000-0A00-000024000000}"/>
    <hyperlink ref="B342" location="Trimestre!C25:F26" display="HIPOTECA" xr:uid="{00000000-0004-0000-0A00-000025000000}"/>
    <hyperlink ref="B342:G343" location="'2018'!AM37:AP37" display="'2018'!AM37:AP37" xr:uid="{00000000-0004-0000-0A00-000026000000}"/>
    <hyperlink ref="B362" location="Trimestre!C25:F26" display="HIPOTECA" xr:uid="{00000000-0004-0000-0A00-000027000000}"/>
    <hyperlink ref="B362:G363" location="'2018'!AM38:AP38" display="'2018'!AM38:AP38" xr:uid="{00000000-0004-0000-0A00-000028000000}"/>
    <hyperlink ref="B382" location="Trimestre!C25:F26" display="HIPOTECA" xr:uid="{00000000-0004-0000-0A00-000029000000}"/>
    <hyperlink ref="B382:G383" location="'2018'!AM39:AP39" display="'2018'!AM39:AP39" xr:uid="{00000000-0004-0000-0A00-00002A000000}"/>
    <hyperlink ref="B402" location="Trimestre!C25:F26" display="HIPOTECA" xr:uid="{00000000-0004-0000-0A00-00002B000000}"/>
    <hyperlink ref="B402:G403" location="'2018'!AM40:AP40" display="'2018'!AM40:AP40" xr:uid="{00000000-0004-0000-0A00-00002C000000}"/>
    <hyperlink ref="B422" location="Trimestre!C25:F26" display="HIPOTECA" xr:uid="{00000000-0004-0000-0A00-00002D000000}"/>
    <hyperlink ref="B422:G423" location="'2018'!AM41:AP41" display="'2018'!AM41:AP41" xr:uid="{00000000-0004-0000-0A00-00002E000000}"/>
    <hyperlink ref="B442" location="Trimestre!C25:F26" display="HIPOTECA" xr:uid="{00000000-0004-0000-0A00-00002F000000}"/>
    <hyperlink ref="B442:G443" location="'2018'!AM42:AP42" display="'2018'!AM42:AP42" xr:uid="{00000000-0004-0000-0A00-000030000000}"/>
    <hyperlink ref="B462" location="Trimestre!C25:F26" display="HIPOTECA" xr:uid="{00000000-0004-0000-0A00-000031000000}"/>
    <hyperlink ref="B462:G463" location="'2018'!AM43:AP43" display="'2018'!AM43:AP43" xr:uid="{00000000-0004-0000-0A00-000032000000}"/>
    <hyperlink ref="B482" location="Trimestre!C25:F26" display="HIPOTECA" xr:uid="{00000000-0004-0000-0A00-000033000000}"/>
    <hyperlink ref="B482:G483" location="'2018'!AM44:AP44" display="'2018'!AM44:AP44" xr:uid="{00000000-0004-0000-0A00-000034000000}"/>
    <hyperlink ref="B502" location="Trimestre!C25:F26" display="HIPOTECA" xr:uid="{00000000-0004-0000-0A00-000035000000}"/>
    <hyperlink ref="B502:G503" location="'2018'!AM45:AP45" display="'2018'!AM45:AP45" xr:uid="{00000000-0004-0000-0A00-000036000000}"/>
    <hyperlink ref="I2:L3" location="'2018'!AM4:AP4" display="SALDO REAL" xr:uid="{00000000-0004-0000-0A00-000037000000}"/>
  </hyperlink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V520"/>
  <sheetViews>
    <sheetView topLeftCell="A92" workbookViewId="0">
      <selection activeCell="B113" sqref="B113"/>
    </sheetView>
  </sheetViews>
  <sheetFormatPr defaultColWidth="11.42578125" defaultRowHeight="15"/>
  <cols>
    <col min="1" max="1" width="11.42578125" style="175"/>
    <col min="2" max="2" width="10" style="175" customWidth="1"/>
    <col min="3" max="3" width="33.28515625" style="175" customWidth="1"/>
    <col min="4" max="6" width="10" style="175" customWidth="1"/>
    <col min="7" max="7" width="33.28515625" style="175" customWidth="1"/>
    <col min="8" max="9" width="11.42578125" style="175"/>
    <col min="10" max="10" width="31.28515625" style="175" customWidth="1"/>
    <col min="11" max="16384" width="11.42578125" style="175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71" t="str">
        <f>'2018'!A20</f>
        <v>Cártama Gastos</v>
      </c>
      <c r="C2" s="272"/>
      <c r="D2" s="272"/>
      <c r="E2" s="272"/>
      <c r="F2" s="272"/>
      <c r="G2" s="273"/>
      <c r="H2" s="1"/>
      <c r="I2" s="284" t="s">
        <v>4</v>
      </c>
      <c r="J2" s="272"/>
      <c r="K2" s="272"/>
      <c r="L2" s="273"/>
      <c r="M2" s="1"/>
      <c r="N2" s="1"/>
      <c r="R2" s="3"/>
    </row>
    <row r="3" spans="1:22" ht="16.5" thickBot="1">
      <c r="A3" s="1"/>
      <c r="B3" s="274"/>
      <c r="C3" s="275"/>
      <c r="D3" s="275"/>
      <c r="E3" s="275"/>
      <c r="F3" s="275"/>
      <c r="G3" s="276"/>
      <c r="H3" s="1"/>
      <c r="I3" s="274"/>
      <c r="J3" s="275"/>
      <c r="K3" s="275"/>
      <c r="L3" s="276"/>
      <c r="M3" s="1"/>
      <c r="N3" s="1"/>
      <c r="R3" s="3"/>
    </row>
    <row r="4" spans="1:22" ht="15.75">
      <c r="A4" s="1"/>
      <c r="B4" s="279" t="s">
        <v>10</v>
      </c>
      <c r="C4" s="278"/>
      <c r="D4" s="277" t="s">
        <v>11</v>
      </c>
      <c r="E4" s="277"/>
      <c r="F4" s="277"/>
      <c r="G4" s="278"/>
      <c r="H4" s="1"/>
      <c r="I4" s="124" t="s">
        <v>70</v>
      </c>
      <c r="J4" s="195" t="s">
        <v>71</v>
      </c>
      <c r="K4" s="285" t="s">
        <v>72</v>
      </c>
      <c r="L4" s="286"/>
      <c r="M4" s="1"/>
      <c r="N4" s="1"/>
      <c r="R4" s="3"/>
    </row>
    <row r="5" spans="1:22" ht="15.75">
      <c r="A5" s="1" t="s">
        <v>611</v>
      </c>
      <c r="B5" s="65" t="s">
        <v>32</v>
      </c>
      <c r="C5" s="73" t="s">
        <v>33</v>
      </c>
      <c r="D5" s="65" t="s">
        <v>68</v>
      </c>
      <c r="E5" s="66" t="s">
        <v>69</v>
      </c>
      <c r="F5" s="66" t="s">
        <v>32</v>
      </c>
      <c r="G5" s="73" t="s">
        <v>33</v>
      </c>
      <c r="H5" s="1"/>
      <c r="I5" s="196" t="s">
        <v>73</v>
      </c>
      <c r="J5" s="197" t="s">
        <v>74</v>
      </c>
      <c r="K5" s="287"/>
      <c r="L5" s="288"/>
      <c r="M5" s="1"/>
      <c r="N5" s="1"/>
      <c r="R5" s="3"/>
    </row>
    <row r="6" spans="1:22" ht="15.75">
      <c r="A6" s="202">
        <f>'10'!A6+B6-E6</f>
        <v>799.18</v>
      </c>
      <c r="B6" s="67">
        <v>399.59</v>
      </c>
      <c r="C6" s="37" t="s">
        <v>586</v>
      </c>
      <c r="D6" s="70"/>
      <c r="E6" s="71"/>
      <c r="F6" s="71"/>
      <c r="G6" s="34" t="s">
        <v>35</v>
      </c>
      <c r="H6" s="1"/>
      <c r="I6" s="198" t="s">
        <v>73</v>
      </c>
      <c r="J6" s="197" t="s">
        <v>75</v>
      </c>
      <c r="K6" s="280">
        <v>550</v>
      </c>
      <c r="L6" s="281"/>
      <c r="M6" s="1" t="s">
        <v>395</v>
      </c>
      <c r="N6" s="1"/>
      <c r="R6" s="3"/>
    </row>
    <row r="7" spans="1:22" ht="15.75">
      <c r="A7" s="202">
        <f>'10'!A7+B7-E7</f>
        <v>480</v>
      </c>
      <c r="B7" s="68">
        <v>60</v>
      </c>
      <c r="C7" s="34" t="s">
        <v>326</v>
      </c>
      <c r="D7" s="70"/>
      <c r="E7" s="71"/>
      <c r="F7" s="71"/>
      <c r="G7" s="34" t="s">
        <v>106</v>
      </c>
      <c r="H7" s="117"/>
      <c r="I7" s="198" t="s">
        <v>76</v>
      </c>
      <c r="J7" s="197" t="s">
        <v>77</v>
      </c>
      <c r="K7" s="280"/>
      <c r="L7" s="281"/>
      <c r="M7" s="1"/>
      <c r="N7" s="1"/>
      <c r="R7" s="3"/>
    </row>
    <row r="8" spans="1:22" ht="15.75">
      <c r="A8" s="202">
        <f>'10'!A8+B8-E8</f>
        <v>0</v>
      </c>
      <c r="B8" s="68">
        <v>0</v>
      </c>
      <c r="C8" s="34" t="s">
        <v>38</v>
      </c>
      <c r="D8" s="70"/>
      <c r="F8" s="71"/>
      <c r="G8" s="34" t="s">
        <v>38</v>
      </c>
      <c r="H8" s="1"/>
      <c r="I8" s="198" t="s">
        <v>76</v>
      </c>
      <c r="J8" s="197" t="s">
        <v>78</v>
      </c>
      <c r="K8" s="280">
        <v>7000</v>
      </c>
      <c r="L8" s="281"/>
      <c r="M8" s="1"/>
      <c r="N8" s="1"/>
      <c r="R8" s="3"/>
    </row>
    <row r="9" spans="1:22" ht="15.75">
      <c r="A9" s="202">
        <f>'10'!A9+B9-E9</f>
        <v>28.14</v>
      </c>
      <c r="B9" s="68">
        <v>0</v>
      </c>
      <c r="C9" s="34" t="s">
        <v>40</v>
      </c>
      <c r="D9" s="70"/>
      <c r="E9" s="71"/>
      <c r="F9" s="71"/>
      <c r="G9" s="34" t="s">
        <v>40</v>
      </c>
      <c r="H9" s="1"/>
      <c r="I9" s="198" t="s">
        <v>76</v>
      </c>
      <c r="J9" s="197" t="s">
        <v>268</v>
      </c>
      <c r="K9" s="280">
        <v>659.77</v>
      </c>
      <c r="L9" s="281"/>
      <c r="M9" s="1"/>
      <c r="N9" s="1"/>
      <c r="R9" s="3"/>
    </row>
    <row r="10" spans="1:22" ht="15.75">
      <c r="A10" s="202">
        <f>'10'!A10+B10-E10</f>
        <v>24</v>
      </c>
      <c r="B10" s="68">
        <v>12</v>
      </c>
      <c r="C10" s="34" t="s">
        <v>39</v>
      </c>
      <c r="D10" s="70"/>
      <c r="E10" s="71"/>
      <c r="F10" s="71"/>
      <c r="G10" s="34" t="s">
        <v>39</v>
      </c>
      <c r="H10" s="1"/>
      <c r="I10" s="198" t="s">
        <v>76</v>
      </c>
      <c r="J10" s="197" t="s">
        <v>115</v>
      </c>
      <c r="K10" s="280">
        <v>1800.04</v>
      </c>
      <c r="L10" s="281"/>
      <c r="M10" s="1" t="s">
        <v>266</v>
      </c>
      <c r="N10" s="1"/>
      <c r="R10" s="3"/>
    </row>
    <row r="11" spans="1:22" ht="15.75">
      <c r="A11" s="202">
        <f>'10'!A11+B11-E11</f>
        <v>60.82</v>
      </c>
      <c r="B11" s="68">
        <v>30.41</v>
      </c>
      <c r="C11" s="34" t="s">
        <v>37</v>
      </c>
      <c r="D11" s="70"/>
      <c r="E11" s="71"/>
      <c r="F11" s="71"/>
      <c r="G11" s="34" t="s">
        <v>37</v>
      </c>
      <c r="H11" s="1"/>
      <c r="I11" s="198" t="s">
        <v>93</v>
      </c>
      <c r="J11" s="197" t="s">
        <v>94</v>
      </c>
      <c r="K11" s="280"/>
      <c r="L11" s="281"/>
      <c r="M11" s="1"/>
      <c r="N11" s="1"/>
      <c r="R11" s="3"/>
    </row>
    <row r="12" spans="1:22" ht="15.75">
      <c r="A12" s="202">
        <f>'10'!A12+B12-E12</f>
        <v>325</v>
      </c>
      <c r="B12" s="68">
        <v>25</v>
      </c>
      <c r="C12" s="34" t="s">
        <v>207</v>
      </c>
      <c r="D12" s="70"/>
      <c r="E12" s="71"/>
      <c r="F12" s="71"/>
      <c r="G12" s="34"/>
      <c r="H12" s="1"/>
      <c r="I12" s="198" t="s">
        <v>304</v>
      </c>
      <c r="J12" s="197" t="s">
        <v>305</v>
      </c>
      <c r="K12" s="280">
        <v>5092.08</v>
      </c>
      <c r="L12" s="281"/>
      <c r="M12" s="178"/>
      <c r="N12" s="1"/>
      <c r="R12" s="3"/>
    </row>
    <row r="13" spans="1:22" ht="15.75">
      <c r="A13" s="202">
        <f>'10'!A13+B13-E13</f>
        <v>49</v>
      </c>
      <c r="B13" s="68">
        <v>7</v>
      </c>
      <c r="C13" s="34" t="s">
        <v>353</v>
      </c>
      <c r="D13" s="70"/>
      <c r="E13" s="71"/>
      <c r="F13" s="71"/>
      <c r="G13" s="34"/>
      <c r="H13" s="1"/>
      <c r="I13" s="198"/>
      <c r="J13" s="197"/>
      <c r="K13" s="280"/>
      <c r="L13" s="281"/>
      <c r="M13" s="1"/>
      <c r="N13" s="1"/>
      <c r="R13" s="3"/>
    </row>
    <row r="14" spans="1:22" ht="15.75">
      <c r="A14" s="202"/>
      <c r="B14" s="68"/>
      <c r="C14" s="34"/>
      <c r="D14" s="70"/>
      <c r="E14" s="71"/>
      <c r="F14" s="71"/>
      <c r="G14" s="34"/>
      <c r="H14" s="1"/>
      <c r="I14" s="198"/>
      <c r="J14" s="197"/>
      <c r="K14" s="280"/>
      <c r="L14" s="281"/>
      <c r="M14" s="1"/>
      <c r="N14" s="1"/>
      <c r="R14" s="3"/>
    </row>
    <row r="15" spans="1:22" ht="15.75">
      <c r="A15" s="202"/>
      <c r="B15" s="68"/>
      <c r="C15" s="34"/>
      <c r="D15" s="70"/>
      <c r="E15" s="71"/>
      <c r="F15" s="71"/>
      <c r="G15" s="34"/>
      <c r="H15" s="1"/>
      <c r="I15" s="198"/>
      <c r="J15" s="197"/>
      <c r="K15" s="280"/>
      <c r="L15" s="281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198"/>
      <c r="J16" s="197"/>
      <c r="K16" s="280"/>
      <c r="L16" s="281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198"/>
      <c r="J17" s="197"/>
      <c r="K17" s="280"/>
      <c r="L17" s="281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199"/>
      <c r="J18" s="200"/>
      <c r="K18" s="282"/>
      <c r="L18" s="283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83</v>
      </c>
      <c r="J19" s="38"/>
      <c r="K19" s="282">
        <f>SUM(K5:K18)</f>
        <v>15101.890000000001</v>
      </c>
      <c r="L19" s="283"/>
      <c r="M19" s="1"/>
      <c r="N19" s="1"/>
      <c r="R19" s="3"/>
    </row>
    <row r="20" spans="1:18" ht="16.5" thickBot="1">
      <c r="A20" s="202">
        <f>SUM(A6:A15)</f>
        <v>1766.1399999999999</v>
      </c>
      <c r="B20" s="69">
        <f>SUM(B6:B19)</f>
        <v>534</v>
      </c>
      <c r="C20" s="35" t="s">
        <v>66</v>
      </c>
      <c r="D20" s="69">
        <f>SUM(D6:D19)</f>
        <v>0</v>
      </c>
      <c r="E20" s="69">
        <f>SUM(E6:E19)</f>
        <v>0</v>
      </c>
      <c r="F20" s="69">
        <f>SUM(F6:F19)</f>
        <v>0</v>
      </c>
      <c r="G20" s="35" t="s">
        <v>66</v>
      </c>
      <c r="H20" s="1"/>
      <c r="I20" s="175" t="s">
        <v>116</v>
      </c>
      <c r="L20" s="178">
        <f>K19-K10-K12</f>
        <v>8209.7700000000023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71" t="str">
        <f>'2018'!A21</f>
        <v>Waterloo</v>
      </c>
      <c r="C22" s="272"/>
      <c r="D22" s="272"/>
      <c r="E22" s="272"/>
      <c r="F22" s="272"/>
      <c r="G22" s="273"/>
      <c r="H22" s="1"/>
      <c r="I22" s="284" t="s">
        <v>6</v>
      </c>
      <c r="J22" s="272"/>
      <c r="K22" s="272"/>
      <c r="L22" s="273"/>
      <c r="M22" s="1"/>
      <c r="R22" s="3"/>
    </row>
    <row r="23" spans="1:18" ht="16.149999999999999" customHeight="1" thickBot="1">
      <c r="A23" s="1"/>
      <c r="B23" s="274"/>
      <c r="C23" s="275"/>
      <c r="D23" s="275"/>
      <c r="E23" s="275"/>
      <c r="F23" s="275"/>
      <c r="G23" s="276"/>
      <c r="H23" s="1"/>
      <c r="I23" s="274"/>
      <c r="J23" s="275"/>
      <c r="K23" s="275"/>
      <c r="L23" s="276"/>
      <c r="M23" s="1"/>
      <c r="R23" s="3"/>
    </row>
    <row r="24" spans="1:18" ht="15.75">
      <c r="A24" s="1"/>
      <c r="B24" s="279" t="s">
        <v>10</v>
      </c>
      <c r="C24" s="278"/>
      <c r="D24" s="277" t="s">
        <v>11</v>
      </c>
      <c r="E24" s="277"/>
      <c r="F24" s="277"/>
      <c r="G24" s="278"/>
      <c r="H24" s="1"/>
      <c r="I24" s="124" t="s">
        <v>33</v>
      </c>
      <c r="J24" s="33" t="s">
        <v>133</v>
      </c>
      <c r="K24" s="285" t="s">
        <v>134</v>
      </c>
      <c r="L24" s="286"/>
      <c r="M24" s="1"/>
      <c r="R24" s="3"/>
    </row>
    <row r="25" spans="1:18" ht="15.75">
      <c r="A25" s="1" t="s">
        <v>611</v>
      </c>
      <c r="B25" s="65" t="s">
        <v>32</v>
      </c>
      <c r="C25" s="73" t="s">
        <v>33</v>
      </c>
      <c r="D25" s="65" t="s">
        <v>68</v>
      </c>
      <c r="E25" s="66" t="s">
        <v>69</v>
      </c>
      <c r="F25" s="66" t="s">
        <v>32</v>
      </c>
      <c r="G25" s="73" t="s">
        <v>33</v>
      </c>
      <c r="H25" s="1"/>
      <c r="I25" s="189"/>
      <c r="J25" s="3"/>
      <c r="K25" s="287"/>
      <c r="L25" s="288"/>
      <c r="M25" s="1"/>
      <c r="R25" s="3"/>
    </row>
    <row r="26" spans="1:18" ht="15.75">
      <c r="A26" s="202">
        <f>'10'!A26+B26-D26</f>
        <v>1800</v>
      </c>
      <c r="B26" s="67">
        <v>900</v>
      </c>
      <c r="C26" s="79" t="s">
        <v>42</v>
      </c>
      <c r="D26" s="70"/>
      <c r="E26" s="71"/>
      <c r="F26" s="71"/>
      <c r="G26" s="34" t="s">
        <v>42</v>
      </c>
      <c r="H26" s="1"/>
      <c r="I26" s="190"/>
      <c r="J26" s="36"/>
      <c r="K26" s="280"/>
      <c r="L26" s="281"/>
      <c r="M26" s="1"/>
      <c r="R26" s="3"/>
    </row>
    <row r="27" spans="1:18" ht="15.75">
      <c r="A27" s="202">
        <f>'10'!A27+B27-D27</f>
        <v>343</v>
      </c>
      <c r="B27" s="68">
        <v>170</v>
      </c>
      <c r="C27" s="79" t="s">
        <v>44</v>
      </c>
      <c r="D27" s="70"/>
      <c r="E27" s="71"/>
      <c r="F27" s="71"/>
      <c r="G27" s="34" t="s">
        <v>44</v>
      </c>
      <c r="H27" s="1"/>
      <c r="I27" s="190"/>
      <c r="J27" s="36"/>
      <c r="K27" s="280"/>
      <c r="L27" s="281"/>
      <c r="M27" s="1"/>
      <c r="R27" s="3"/>
    </row>
    <row r="28" spans="1:18" ht="15.75">
      <c r="A28" s="202">
        <f>'10'!A28+B28-D28</f>
        <v>200</v>
      </c>
      <c r="B28" s="68">
        <v>40</v>
      </c>
      <c r="C28" s="79" t="s">
        <v>45</v>
      </c>
      <c r="D28" s="70"/>
      <c r="E28" s="71"/>
      <c r="F28" s="71"/>
      <c r="G28" s="34" t="s">
        <v>45</v>
      </c>
      <c r="H28" s="1"/>
      <c r="I28" s="190"/>
      <c r="J28" s="36"/>
      <c r="K28" s="280"/>
      <c r="L28" s="281"/>
      <c r="M28" s="1"/>
      <c r="R28" s="3"/>
    </row>
    <row r="29" spans="1:18" ht="15.75">
      <c r="A29" s="202">
        <f>'10'!A29+B29-D29</f>
        <v>36.54</v>
      </c>
      <c r="B29" s="68">
        <v>18</v>
      </c>
      <c r="C29" s="79" t="s">
        <v>41</v>
      </c>
      <c r="D29" s="70"/>
      <c r="E29" s="71"/>
      <c r="F29" s="71"/>
      <c r="G29" s="34" t="s">
        <v>41</v>
      </c>
      <c r="H29" s="1"/>
      <c r="I29" s="190"/>
      <c r="J29" s="36"/>
      <c r="K29" s="280"/>
      <c r="L29" s="281"/>
      <c r="M29" s="1"/>
      <c r="R29" s="3"/>
    </row>
    <row r="30" spans="1:18" ht="15.75">
      <c r="A30" s="202">
        <f>'10'!A30+B30-D30</f>
        <v>593.55999999999995</v>
      </c>
      <c r="B30" s="68">
        <v>0</v>
      </c>
      <c r="C30" s="79" t="s">
        <v>46</v>
      </c>
      <c r="D30" s="70"/>
      <c r="E30" s="71"/>
      <c r="F30" s="71"/>
      <c r="G30" s="34"/>
      <c r="H30" s="1"/>
      <c r="I30" s="190"/>
      <c r="J30" s="36"/>
      <c r="K30" s="280"/>
      <c r="L30" s="281"/>
      <c r="M30" s="1"/>
      <c r="R30" s="3"/>
    </row>
    <row r="31" spans="1:18" ht="15.75">
      <c r="A31" s="202"/>
      <c r="B31" s="68"/>
      <c r="C31" s="34"/>
      <c r="D31" s="70"/>
      <c r="E31" s="71"/>
      <c r="F31" s="71"/>
      <c r="G31" s="34"/>
      <c r="H31" s="1"/>
      <c r="I31" s="190"/>
      <c r="J31" s="36"/>
      <c r="K31" s="280"/>
      <c r="L31" s="281"/>
      <c r="M31" s="1"/>
      <c r="R31" s="3"/>
    </row>
    <row r="32" spans="1:18" ht="15.75">
      <c r="A32" s="202"/>
      <c r="B32" s="68"/>
      <c r="C32" s="34"/>
      <c r="D32" s="70"/>
      <c r="E32" s="71"/>
      <c r="F32" s="71"/>
      <c r="G32" s="34"/>
      <c r="H32" s="1"/>
      <c r="I32" s="190"/>
      <c r="J32" s="36"/>
      <c r="K32" s="280"/>
      <c r="L32" s="281"/>
      <c r="M32" s="1"/>
      <c r="R32" s="3"/>
    </row>
    <row r="33" spans="1:18" ht="15.75">
      <c r="A33" s="202"/>
      <c r="B33" s="68"/>
      <c r="C33" s="34"/>
      <c r="D33" s="70"/>
      <c r="E33" s="71"/>
      <c r="F33" s="71"/>
      <c r="G33" s="34"/>
      <c r="H33" s="1"/>
      <c r="I33" s="190"/>
      <c r="J33" s="36"/>
      <c r="K33" s="280"/>
      <c r="L33" s="281"/>
      <c r="M33" s="1"/>
      <c r="R33" s="3"/>
    </row>
    <row r="34" spans="1:18" ht="15.75">
      <c r="A34" s="202"/>
      <c r="B34" s="68"/>
      <c r="C34" s="34"/>
      <c r="D34" s="70"/>
      <c r="E34" s="71"/>
      <c r="F34" s="71"/>
      <c r="G34" s="34"/>
      <c r="H34" s="1"/>
      <c r="I34" s="190"/>
      <c r="J34" s="36"/>
      <c r="K34" s="280"/>
      <c r="L34" s="281"/>
      <c r="M34" s="1"/>
      <c r="R34" s="3"/>
    </row>
    <row r="35" spans="1:18" ht="15.75">
      <c r="A35" s="202"/>
      <c r="B35" s="68"/>
      <c r="C35" s="34"/>
      <c r="D35" s="70"/>
      <c r="E35" s="71"/>
      <c r="F35" s="71"/>
      <c r="G35" s="34"/>
      <c r="H35" s="1"/>
      <c r="I35" s="190"/>
      <c r="J35" s="36"/>
      <c r="K35" s="280"/>
      <c r="L35" s="281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90"/>
      <c r="J36" s="36"/>
      <c r="K36" s="280"/>
      <c r="L36" s="281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90"/>
      <c r="J37" s="36"/>
      <c r="K37" s="280"/>
      <c r="L37" s="281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191"/>
      <c r="J38" s="38"/>
      <c r="K38" s="282"/>
      <c r="L38" s="283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202">
        <f>SUM(A26:A35)</f>
        <v>2973.1</v>
      </c>
      <c r="B40" s="69">
        <f>SUM(B26:B39)</f>
        <v>1128</v>
      </c>
      <c r="C40" s="35" t="s">
        <v>66</v>
      </c>
      <c r="D40" s="69">
        <f>SUM(D26:D39)</f>
        <v>0</v>
      </c>
      <c r="E40" s="69">
        <f>SUM(E26:E39)</f>
        <v>0</v>
      </c>
      <c r="F40" s="69">
        <f>SUM(F26:F39)</f>
        <v>0</v>
      </c>
      <c r="G40" s="35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71" t="str">
        <f>'2018'!A22</f>
        <v>Comida+Limpieza</v>
      </c>
      <c r="C42" s="272"/>
      <c r="D42" s="272"/>
      <c r="E42" s="272"/>
      <c r="F42" s="272"/>
      <c r="G42" s="273"/>
      <c r="H42" s="1"/>
      <c r="M42" s="1"/>
      <c r="R42" s="3"/>
    </row>
    <row r="43" spans="1:18" ht="16.149999999999999" customHeight="1" thickBot="1">
      <c r="A43" s="1"/>
      <c r="B43" s="274"/>
      <c r="C43" s="275"/>
      <c r="D43" s="275"/>
      <c r="E43" s="275"/>
      <c r="F43" s="275"/>
      <c r="G43" s="276"/>
      <c r="H43" s="1"/>
      <c r="M43" s="1"/>
      <c r="R43" s="3"/>
    </row>
    <row r="44" spans="1:18" ht="15.75">
      <c r="A44" s="1"/>
      <c r="B44" s="279" t="s">
        <v>10</v>
      </c>
      <c r="C44" s="278"/>
      <c r="D44" s="277" t="s">
        <v>11</v>
      </c>
      <c r="E44" s="277"/>
      <c r="F44" s="277"/>
      <c r="G44" s="278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68</v>
      </c>
      <c r="E45" s="66" t="s">
        <v>69</v>
      </c>
      <c r="F45" s="66" t="s">
        <v>32</v>
      </c>
      <c r="G45" s="73" t="s">
        <v>394</v>
      </c>
      <c r="H45" s="1"/>
      <c r="M45" s="1"/>
      <c r="R45" s="3"/>
    </row>
    <row r="46" spans="1:18" ht="15.75">
      <c r="A46" s="1"/>
      <c r="B46" s="67">
        <v>460</v>
      </c>
      <c r="C46" s="37"/>
      <c r="D46" s="70"/>
      <c r="E46" s="71"/>
      <c r="F46" s="71"/>
      <c r="G46" s="90"/>
      <c r="H46" s="1"/>
      <c r="M46" s="1"/>
      <c r="R46" s="3"/>
    </row>
    <row r="47" spans="1:18" ht="15.75">
      <c r="A47" s="1"/>
      <c r="B47" s="68">
        <v>30</v>
      </c>
      <c r="C47" s="34" t="s">
        <v>110</v>
      </c>
      <c r="D47" s="70"/>
      <c r="E47" s="71"/>
      <c r="F47" s="71"/>
      <c r="G47" s="34"/>
      <c r="H47" s="1"/>
      <c r="M47" s="1"/>
      <c r="R47" s="3"/>
    </row>
    <row r="48" spans="1:18" ht="15.75">
      <c r="A48" s="1"/>
      <c r="B48" s="68"/>
      <c r="C48" s="34"/>
      <c r="D48" s="70"/>
      <c r="E48" s="71"/>
      <c r="F48" s="71"/>
      <c r="G48" s="34"/>
      <c r="H48" s="1"/>
      <c r="M48" s="1"/>
      <c r="R48" s="3"/>
    </row>
    <row r="49" spans="1:18" ht="15.75">
      <c r="A49" s="1"/>
      <c r="B49" s="68"/>
      <c r="C49" s="34"/>
      <c r="D49" s="70"/>
      <c r="E49" s="71"/>
      <c r="F49" s="71"/>
      <c r="G49" s="34"/>
      <c r="H49" s="1"/>
      <c r="M49" s="1"/>
      <c r="R49" s="3"/>
    </row>
    <row r="50" spans="1:18" ht="15.75">
      <c r="A50" s="1"/>
      <c r="B50" s="68"/>
      <c r="C50" s="34"/>
      <c r="D50" s="70"/>
      <c r="E50" s="71"/>
      <c r="F50" s="71"/>
      <c r="G50" s="34"/>
      <c r="H50" s="1"/>
      <c r="M50" s="1"/>
      <c r="R50" s="3"/>
    </row>
    <row r="51" spans="1:18" ht="15.75">
      <c r="A51" s="1"/>
      <c r="B51" s="68"/>
      <c r="C51" s="34"/>
      <c r="D51" s="70"/>
      <c r="E51" s="71"/>
      <c r="F51" s="71"/>
      <c r="G51" s="34"/>
      <c r="H51" s="1"/>
      <c r="M51" s="1"/>
      <c r="R51" s="3"/>
    </row>
    <row r="52" spans="1:18" ht="15.75">
      <c r="A52" s="1"/>
      <c r="B52" s="68"/>
      <c r="C52" s="34"/>
      <c r="D52" s="70"/>
      <c r="E52" s="71"/>
      <c r="F52" s="71"/>
      <c r="G52" s="34"/>
      <c r="H52" s="1"/>
      <c r="M52" s="1"/>
      <c r="R52" s="3"/>
    </row>
    <row r="53" spans="1:18" ht="15.75">
      <c r="A53" s="1"/>
      <c r="B53" s="68"/>
      <c r="C53" s="34"/>
      <c r="D53" s="70"/>
      <c r="E53" s="71"/>
      <c r="F53" s="71"/>
      <c r="G53" s="34"/>
      <c r="H53" s="1"/>
      <c r="M53" s="1"/>
      <c r="R53" s="3"/>
    </row>
    <row r="54" spans="1:18" ht="15.75">
      <c r="A54" s="1"/>
      <c r="B54" s="68"/>
      <c r="C54" s="34"/>
      <c r="D54" s="70"/>
      <c r="E54" s="71"/>
      <c r="F54" s="71"/>
      <c r="G54" s="34"/>
      <c r="H54" s="1"/>
      <c r="M54" s="1"/>
      <c r="R54" s="3"/>
    </row>
    <row r="55" spans="1:18" ht="15.75">
      <c r="A55" s="1"/>
      <c r="B55" s="68"/>
      <c r="C55" s="34"/>
      <c r="D55" s="70"/>
      <c r="E55" s="71"/>
      <c r="F55" s="71"/>
      <c r="G55" s="34"/>
      <c r="H55" s="1"/>
      <c r="M55" s="1"/>
      <c r="R55" s="3"/>
    </row>
    <row r="56" spans="1:18" ht="15.75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/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490</v>
      </c>
      <c r="C60" s="35" t="s">
        <v>66</v>
      </c>
      <c r="D60" s="69">
        <f>SUM(D46:D59)</f>
        <v>0</v>
      </c>
      <c r="E60" s="69">
        <f>SUM(E46:E59)</f>
        <v>0</v>
      </c>
      <c r="F60" s="69">
        <f>SUM(F46:F59)</f>
        <v>0</v>
      </c>
      <c r="G60" s="35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71" t="str">
        <f>'2018'!A23</f>
        <v>Ocio</v>
      </c>
      <c r="C62" s="272"/>
      <c r="D62" s="272"/>
      <c r="E62" s="272"/>
      <c r="F62" s="272"/>
      <c r="G62" s="273"/>
      <c r="H62" s="1"/>
      <c r="M62" s="1"/>
      <c r="R62" s="3"/>
    </row>
    <row r="63" spans="1:18" ht="16.149999999999999" customHeight="1" thickBot="1">
      <c r="A63" s="1"/>
      <c r="B63" s="274"/>
      <c r="C63" s="275"/>
      <c r="D63" s="275"/>
      <c r="E63" s="275"/>
      <c r="F63" s="275"/>
      <c r="G63" s="276"/>
      <c r="H63" s="1"/>
      <c r="M63" s="1"/>
      <c r="R63" s="3"/>
    </row>
    <row r="64" spans="1:18" ht="15.75">
      <c r="A64" s="1"/>
      <c r="B64" s="279" t="s">
        <v>10</v>
      </c>
      <c r="C64" s="278"/>
      <c r="D64" s="277" t="s">
        <v>11</v>
      </c>
      <c r="E64" s="277"/>
      <c r="F64" s="277"/>
      <c r="G64" s="278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68</v>
      </c>
      <c r="E65" s="66" t="s">
        <v>69</v>
      </c>
      <c r="F65" s="66" t="s">
        <v>32</v>
      </c>
      <c r="G65" s="73" t="s">
        <v>394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/>
      <c r="E66" s="71"/>
      <c r="F66" s="71"/>
      <c r="G66" s="37"/>
      <c r="H66" s="1"/>
      <c r="M66" s="1"/>
      <c r="R66" s="3"/>
    </row>
    <row r="67" spans="1:18" ht="15.75">
      <c r="A67" s="1"/>
      <c r="B67" s="68"/>
      <c r="C67" s="34"/>
      <c r="D67" s="70"/>
      <c r="E67" s="71"/>
      <c r="F67" s="71"/>
      <c r="G67" s="91"/>
      <c r="H67" s="1"/>
      <c r="M67" s="1"/>
      <c r="R67" s="3"/>
    </row>
    <row r="68" spans="1:18" ht="15.75">
      <c r="A68" s="1"/>
      <c r="B68" s="68"/>
      <c r="C68" s="34"/>
      <c r="D68" s="70"/>
      <c r="E68" s="71"/>
      <c r="F68" s="71"/>
      <c r="G68" s="34"/>
      <c r="H68" s="1"/>
      <c r="M68" s="1"/>
      <c r="R68" s="3"/>
    </row>
    <row r="69" spans="1:18" ht="15.75">
      <c r="A69" s="1"/>
      <c r="B69" s="68"/>
      <c r="C69" s="34"/>
      <c r="D69" s="70"/>
      <c r="E69" s="71"/>
      <c r="F69" s="71"/>
      <c r="G69" s="34"/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/>
      <c r="G70" s="34"/>
      <c r="H70" s="1"/>
      <c r="M70" s="1"/>
      <c r="R70" s="3"/>
    </row>
    <row r="71" spans="1:18" ht="15.75">
      <c r="A71" s="1"/>
      <c r="B71" s="68"/>
      <c r="C71" s="34"/>
      <c r="D71" s="70"/>
      <c r="E71" s="71"/>
      <c r="F71" s="71"/>
      <c r="G71" s="34"/>
      <c r="H71" s="1"/>
      <c r="M71" s="1"/>
      <c r="R71" s="3"/>
    </row>
    <row r="72" spans="1:18" ht="15.75">
      <c r="A72" s="1"/>
      <c r="B72" s="68"/>
      <c r="C72" s="34"/>
      <c r="D72" s="70"/>
      <c r="E72" s="71"/>
      <c r="F72" s="71"/>
      <c r="G72" s="34"/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150</v>
      </c>
      <c r="C80" s="35" t="s">
        <v>66</v>
      </c>
      <c r="D80" s="69">
        <f>SUM(D66:D79)</f>
        <v>0</v>
      </c>
      <c r="E80" s="69">
        <f>SUM(E66:E79)</f>
        <v>0</v>
      </c>
      <c r="F80" s="69">
        <f>SUM(F66:F79)</f>
        <v>0</v>
      </c>
      <c r="G80" s="35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71" t="str">
        <f>'2018'!A24</f>
        <v>Transportes</v>
      </c>
      <c r="C82" s="272"/>
      <c r="D82" s="272"/>
      <c r="E82" s="272"/>
      <c r="F82" s="272"/>
      <c r="G82" s="273"/>
      <c r="H82" s="1"/>
      <c r="M82" s="1"/>
      <c r="R82" s="3"/>
    </row>
    <row r="83" spans="1:18" ht="16.149999999999999" customHeight="1" thickBot="1">
      <c r="A83" s="1"/>
      <c r="B83" s="274"/>
      <c r="C83" s="275"/>
      <c r="D83" s="275"/>
      <c r="E83" s="275"/>
      <c r="F83" s="275"/>
      <c r="G83" s="276"/>
      <c r="H83" s="1"/>
      <c r="M83" s="1"/>
      <c r="R83" s="3"/>
    </row>
    <row r="84" spans="1:18" ht="15.75">
      <c r="A84" s="1"/>
      <c r="B84" s="279" t="s">
        <v>10</v>
      </c>
      <c r="C84" s="278"/>
      <c r="D84" s="277" t="s">
        <v>11</v>
      </c>
      <c r="E84" s="277"/>
      <c r="F84" s="277"/>
      <c r="G84" s="278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68</v>
      </c>
      <c r="E85" s="66" t="s">
        <v>69</v>
      </c>
      <c r="F85" s="66" t="s">
        <v>32</v>
      </c>
      <c r="G85" s="73" t="s">
        <v>394</v>
      </c>
      <c r="H85" s="1"/>
      <c r="M85" s="1"/>
      <c r="R85" s="3"/>
    </row>
    <row r="86" spans="1:18" ht="15.75">
      <c r="A86" s="1"/>
      <c r="B86" s="67">
        <v>160</v>
      </c>
      <c r="C86" s="37" t="s">
        <v>51</v>
      </c>
      <c r="D86" s="70"/>
      <c r="E86" s="71"/>
      <c r="F86" s="71"/>
      <c r="G86" s="34"/>
      <c r="H86" s="1"/>
      <c r="M86" s="1"/>
      <c r="R86" s="3"/>
    </row>
    <row r="87" spans="1:18" ht="15.75">
      <c r="A87" s="1"/>
      <c r="B87" s="68"/>
      <c r="C87" s="34"/>
      <c r="D87" s="70"/>
      <c r="E87" s="71"/>
      <c r="F87" s="71"/>
      <c r="G87" s="34"/>
      <c r="H87" s="1"/>
      <c r="M87" s="1"/>
      <c r="R87" s="3"/>
    </row>
    <row r="88" spans="1:18" ht="15.75">
      <c r="A88" s="1"/>
      <c r="B88" s="68"/>
      <c r="C88" s="34"/>
      <c r="D88" s="70"/>
      <c r="E88" s="71"/>
      <c r="F88" s="71"/>
      <c r="G88" s="34"/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/>
      <c r="H89" s="1"/>
      <c r="M89" s="1"/>
      <c r="R89" s="3"/>
    </row>
    <row r="90" spans="1:18" ht="15.75">
      <c r="A90" s="1"/>
      <c r="B90" s="68"/>
      <c r="C90" s="34"/>
      <c r="D90" s="70"/>
      <c r="E90" s="71"/>
      <c r="F90" s="71"/>
      <c r="G90" s="34"/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160</v>
      </c>
      <c r="C100" s="35" t="s">
        <v>66</v>
      </c>
      <c r="D100" s="69">
        <f>SUM(D86:D99)</f>
        <v>0</v>
      </c>
      <c r="E100" s="69">
        <f>SUM(E86:E99)</f>
        <v>0</v>
      </c>
      <c r="F100" s="69">
        <f>SUM(F86:F99)</f>
        <v>0</v>
      </c>
      <c r="G100" s="35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71" t="str">
        <f>'2018'!A25</f>
        <v>Coche</v>
      </c>
      <c r="C102" s="272"/>
      <c r="D102" s="272"/>
      <c r="E102" s="272"/>
      <c r="F102" s="272"/>
      <c r="G102" s="273"/>
      <c r="H102" s="1"/>
      <c r="M102" s="1"/>
      <c r="R102" s="3"/>
    </row>
    <row r="103" spans="1:18" ht="16.149999999999999" customHeight="1" thickBot="1">
      <c r="A103" s="1"/>
      <c r="B103" s="274"/>
      <c r="C103" s="275"/>
      <c r="D103" s="275"/>
      <c r="E103" s="275"/>
      <c r="F103" s="275"/>
      <c r="G103" s="276"/>
      <c r="H103" s="1"/>
      <c r="M103" s="1"/>
      <c r="R103" s="3"/>
    </row>
    <row r="104" spans="1:18" ht="15.75">
      <c r="A104" s="1"/>
      <c r="B104" s="279" t="s">
        <v>10</v>
      </c>
      <c r="C104" s="278"/>
      <c r="D104" s="277" t="s">
        <v>11</v>
      </c>
      <c r="E104" s="277"/>
      <c r="F104" s="277"/>
      <c r="G104" s="278"/>
      <c r="H104" s="1"/>
      <c r="M104" s="1"/>
      <c r="R104" s="3"/>
    </row>
    <row r="105" spans="1:18" ht="15.75">
      <c r="A105" s="175" t="s">
        <v>611</v>
      </c>
      <c r="B105" s="65" t="s">
        <v>32</v>
      </c>
      <c r="C105" s="73" t="s">
        <v>33</v>
      </c>
      <c r="D105" s="65" t="s">
        <v>68</v>
      </c>
      <c r="E105" s="66" t="s">
        <v>69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202">
        <f>'10'!A106+B106-D106</f>
        <v>516.94000000000005</v>
      </c>
      <c r="B106" s="67">
        <v>258.47000000000003</v>
      </c>
      <c r="C106" s="36" t="s">
        <v>55</v>
      </c>
      <c r="D106" s="70"/>
      <c r="E106" s="71"/>
      <c r="F106" s="71"/>
      <c r="G106" s="91" t="s">
        <v>55</v>
      </c>
      <c r="H106" s="1"/>
      <c r="M106" s="1"/>
      <c r="R106" s="3"/>
    </row>
    <row r="107" spans="1:18" ht="15.75">
      <c r="A107" s="202">
        <f>'10'!A107+B107-D107</f>
        <v>142</v>
      </c>
      <c r="B107" s="68">
        <v>71</v>
      </c>
      <c r="C107" s="36" t="s">
        <v>56</v>
      </c>
      <c r="D107" s="70"/>
      <c r="E107" s="71"/>
      <c r="F107" s="71"/>
      <c r="G107" s="91" t="s">
        <v>56</v>
      </c>
      <c r="H107" s="1"/>
      <c r="M107" s="1"/>
      <c r="R107" s="3"/>
    </row>
    <row r="108" spans="1:18" ht="15.75">
      <c r="A108" s="202">
        <f>'10'!A108+B108-D108</f>
        <v>1100</v>
      </c>
      <c r="B108" s="68">
        <v>50</v>
      </c>
      <c r="C108" s="36" t="s">
        <v>620</v>
      </c>
      <c r="D108" s="70"/>
      <c r="E108" s="71"/>
      <c r="F108" s="71"/>
      <c r="G108" s="94" t="s">
        <v>88</v>
      </c>
      <c r="H108" s="1"/>
      <c r="M108" s="1"/>
      <c r="R108" s="3"/>
    </row>
    <row r="109" spans="1:18" ht="15.75">
      <c r="A109" s="202">
        <f>'10'!A109+B109</f>
        <v>2754.5000000000005</v>
      </c>
      <c r="B109" s="68">
        <v>20.53</v>
      </c>
      <c r="C109" s="36" t="s">
        <v>619</v>
      </c>
      <c r="D109" s="70"/>
      <c r="E109" s="71"/>
      <c r="F109" s="71"/>
      <c r="G109" s="91"/>
      <c r="H109" s="1"/>
      <c r="M109" s="1"/>
      <c r="R109" s="3"/>
    </row>
    <row r="110" spans="1:18" ht="15.75"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B111" s="68"/>
      <c r="C111" s="79"/>
      <c r="D111" s="70"/>
      <c r="E111" s="71"/>
      <c r="F111" s="71"/>
      <c r="G111" s="94"/>
      <c r="H111" s="1"/>
      <c r="M111" s="1"/>
      <c r="R111" s="3"/>
    </row>
    <row r="112" spans="1:18" ht="15.75">
      <c r="B112" s="68"/>
      <c r="C112" s="92"/>
      <c r="D112" s="70"/>
      <c r="E112" s="71"/>
      <c r="F112" s="71"/>
      <c r="G112" s="91"/>
      <c r="H112" s="1"/>
      <c r="M112" s="1"/>
      <c r="R112" s="3"/>
    </row>
    <row r="113" spans="1:18" ht="15.75">
      <c r="B113" s="68"/>
      <c r="C113" s="93"/>
      <c r="D113" s="70"/>
      <c r="E113" s="71"/>
      <c r="F113" s="71"/>
      <c r="G113" s="91"/>
      <c r="H113" s="1"/>
      <c r="M113" s="1"/>
      <c r="R113" s="3"/>
    </row>
    <row r="114" spans="1:18" ht="15.75">
      <c r="B114" s="68"/>
      <c r="C114" s="92"/>
      <c r="D114" s="70"/>
      <c r="E114" s="71"/>
      <c r="F114" s="71"/>
      <c r="G114" s="91"/>
      <c r="H114" s="1"/>
      <c r="M114" s="1"/>
      <c r="R114" s="3"/>
    </row>
    <row r="115" spans="1:18" ht="15.75"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203">
        <f>SUM(A106:A108)</f>
        <v>1758.94</v>
      </c>
      <c r="B120" s="69">
        <f>SUM(B106:B119)</f>
        <v>400</v>
      </c>
      <c r="C120" s="35" t="s">
        <v>66</v>
      </c>
      <c r="D120" s="69">
        <f>SUM(D106:D119)</f>
        <v>0</v>
      </c>
      <c r="E120" s="69">
        <f>SUM(E106:E119)</f>
        <v>0</v>
      </c>
      <c r="F120" s="69">
        <f>SUM(F106:F119)</f>
        <v>0</v>
      </c>
      <c r="G120" s="35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71" t="str">
        <f>'2018'!A26</f>
        <v>Teléfono</v>
      </c>
      <c r="C122" s="272"/>
      <c r="D122" s="272"/>
      <c r="E122" s="272"/>
      <c r="F122" s="272"/>
      <c r="G122" s="273"/>
      <c r="H122" s="1"/>
      <c r="M122" s="1"/>
      <c r="R122" s="3"/>
    </row>
    <row r="123" spans="1:18" ht="16.149999999999999" customHeight="1" thickBot="1">
      <c r="A123" s="1"/>
      <c r="B123" s="274"/>
      <c r="C123" s="275"/>
      <c r="D123" s="275"/>
      <c r="E123" s="275"/>
      <c r="F123" s="275"/>
      <c r="G123" s="276"/>
      <c r="H123" s="1"/>
      <c r="M123" s="1"/>
      <c r="R123" s="3"/>
    </row>
    <row r="124" spans="1:18" ht="15.75">
      <c r="A124" s="1"/>
      <c r="B124" s="279" t="s">
        <v>10</v>
      </c>
      <c r="C124" s="278"/>
      <c r="D124" s="277" t="s">
        <v>11</v>
      </c>
      <c r="E124" s="277"/>
      <c r="F124" s="277"/>
      <c r="G124" s="278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68</v>
      </c>
      <c r="E125" s="66" t="s">
        <v>69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/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v>12.5</v>
      </c>
      <c r="C127" s="34" t="s">
        <v>58</v>
      </c>
      <c r="D127" s="70"/>
      <c r="E127" s="71"/>
      <c r="F127" s="71"/>
      <c r="G127" s="34" t="s">
        <v>199</v>
      </c>
      <c r="H127" s="1"/>
      <c r="M127" s="1"/>
      <c r="R127" s="3"/>
    </row>
    <row r="128" spans="1:18" ht="15.75">
      <c r="A128" s="1"/>
      <c r="B128" s="68">
        <v>8</v>
      </c>
      <c r="C128" s="34" t="s">
        <v>338</v>
      </c>
      <c r="D128" s="70"/>
      <c r="E128" s="71"/>
      <c r="F128" s="71"/>
      <c r="G128" s="34" t="s">
        <v>220</v>
      </c>
      <c r="H128" s="1"/>
      <c r="M128" s="1"/>
      <c r="R128" s="3"/>
    </row>
    <row r="129" spans="1:18" ht="15.75">
      <c r="A129" s="1"/>
      <c r="B129" s="68"/>
      <c r="C129" s="34"/>
      <c r="D129" s="70"/>
      <c r="E129" s="71"/>
      <c r="F129" s="71"/>
      <c r="G129" s="34" t="s">
        <v>338</v>
      </c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48</v>
      </c>
      <c r="C140" s="35" t="s">
        <v>66</v>
      </c>
      <c r="D140" s="69">
        <f>SUM(D126:D139)</f>
        <v>0</v>
      </c>
      <c r="E140" s="69">
        <f>SUM(E126:E139)</f>
        <v>0</v>
      </c>
      <c r="F140" s="69">
        <f>SUM(F126:F139)</f>
        <v>0</v>
      </c>
      <c r="G140" s="35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71" t="str">
        <f>'2018'!A27</f>
        <v>Gatos</v>
      </c>
      <c r="C142" s="272"/>
      <c r="D142" s="272"/>
      <c r="E142" s="272"/>
      <c r="F142" s="272"/>
      <c r="G142" s="273"/>
      <c r="H142" s="1"/>
      <c r="M142" s="1"/>
      <c r="R142" s="3"/>
    </row>
    <row r="143" spans="1:18" ht="16.149999999999999" customHeight="1" thickBot="1">
      <c r="A143" s="1"/>
      <c r="B143" s="274"/>
      <c r="C143" s="275"/>
      <c r="D143" s="275"/>
      <c r="E143" s="275"/>
      <c r="F143" s="275"/>
      <c r="G143" s="276"/>
      <c r="H143" s="1"/>
      <c r="M143" s="1"/>
      <c r="R143" s="3"/>
    </row>
    <row r="144" spans="1:18" ht="15.75">
      <c r="A144" s="1"/>
      <c r="B144" s="279" t="s">
        <v>10</v>
      </c>
      <c r="C144" s="278"/>
      <c r="D144" s="277" t="s">
        <v>11</v>
      </c>
      <c r="E144" s="277"/>
      <c r="F144" s="277"/>
      <c r="G144" s="278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68</v>
      </c>
      <c r="E145" s="66" t="s">
        <v>69</v>
      </c>
      <c r="F145" s="66" t="s">
        <v>32</v>
      </c>
      <c r="G145" s="73" t="s">
        <v>394</v>
      </c>
      <c r="H145" s="1"/>
      <c r="M145" s="1"/>
      <c r="R145" s="3"/>
    </row>
    <row r="146" spans="1:22" ht="15.75">
      <c r="A146" s="1"/>
      <c r="B146" s="67">
        <v>50</v>
      </c>
      <c r="C146" s="37" t="s">
        <v>490</v>
      </c>
      <c r="D146" s="70"/>
      <c r="E146" s="71"/>
      <c r="F146" s="71"/>
      <c r="G146" s="34"/>
      <c r="H146" s="1"/>
      <c r="M146" s="1"/>
      <c r="R146" s="3"/>
    </row>
    <row r="147" spans="1:22" ht="15.75">
      <c r="A147" s="1"/>
      <c r="B147" s="68"/>
      <c r="C147" s="34"/>
      <c r="D147" s="70"/>
      <c r="E147" s="71"/>
      <c r="F147" s="71"/>
      <c r="G147" s="34"/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/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50</v>
      </c>
      <c r="C160" s="35" t="s">
        <v>66</v>
      </c>
      <c r="D160" s="69">
        <f>SUM(D146:D159)</f>
        <v>0</v>
      </c>
      <c r="E160" s="69">
        <f>SUM(E146:E159)</f>
        <v>0</v>
      </c>
      <c r="F160" s="69">
        <f>SUM(F146:F159)</f>
        <v>0</v>
      </c>
      <c r="G160" s="35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71" t="str">
        <f>'2018'!A28</f>
        <v>Vacaciones</v>
      </c>
      <c r="C162" s="272"/>
      <c r="D162" s="272"/>
      <c r="E162" s="272"/>
      <c r="F162" s="272"/>
      <c r="G162" s="273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74"/>
      <c r="C163" s="275"/>
      <c r="D163" s="275"/>
      <c r="E163" s="275"/>
      <c r="F163" s="275"/>
      <c r="G163" s="27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79" t="s">
        <v>10</v>
      </c>
      <c r="C164" s="278"/>
      <c r="D164" s="277" t="s">
        <v>11</v>
      </c>
      <c r="E164" s="277"/>
      <c r="F164" s="277"/>
      <c r="G164" s="27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68</v>
      </c>
      <c r="E165" s="66" t="s">
        <v>69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/>
      <c r="E166" s="71"/>
      <c r="F166" s="71"/>
      <c r="G166" s="34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/>
      <c r="C167" s="34"/>
      <c r="D167" s="70"/>
      <c r="E167" s="71"/>
      <c r="F167" s="71"/>
      <c r="G167" s="3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/>
      <c r="G168" s="3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200</v>
      </c>
      <c r="C180" s="35" t="s">
        <v>66</v>
      </c>
      <c r="D180" s="69">
        <f>SUM(D166:D179)</f>
        <v>0</v>
      </c>
      <c r="E180" s="69">
        <f>SUM(E166:E179)</f>
        <v>0</v>
      </c>
      <c r="F180" s="69">
        <f>SUM(F166:F179)</f>
        <v>0</v>
      </c>
      <c r="G180" s="35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71" t="str">
        <f>'2018'!A29</f>
        <v>Ropa</v>
      </c>
      <c r="C182" s="272"/>
      <c r="D182" s="272"/>
      <c r="E182" s="272"/>
      <c r="F182" s="272"/>
      <c r="G182" s="273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74"/>
      <c r="C183" s="275"/>
      <c r="D183" s="275"/>
      <c r="E183" s="275"/>
      <c r="F183" s="275"/>
      <c r="G183" s="27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79" t="s">
        <v>10</v>
      </c>
      <c r="C184" s="278"/>
      <c r="D184" s="277" t="s">
        <v>11</v>
      </c>
      <c r="E184" s="277"/>
      <c r="F184" s="277"/>
      <c r="G184" s="27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68</v>
      </c>
      <c r="E185" s="66" t="s">
        <v>69</v>
      </c>
      <c r="F185" s="66" t="s">
        <v>32</v>
      </c>
      <c r="G185" s="73" t="s">
        <v>394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70</v>
      </c>
      <c r="C186" s="37" t="s">
        <v>509</v>
      </c>
      <c r="D186" s="70"/>
      <c r="E186" s="71"/>
      <c r="F186" s="71"/>
      <c r="G186" s="34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/>
      <c r="E187" s="71"/>
      <c r="F187" s="71"/>
      <c r="G187" s="34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/>
      <c r="E188" s="71"/>
      <c r="F188" s="71"/>
      <c r="G188" s="34"/>
    </row>
    <row r="189" spans="1:22">
      <c r="B189" s="68"/>
      <c r="C189" s="34"/>
      <c r="D189" s="70"/>
      <c r="E189" s="71"/>
      <c r="F189" s="71"/>
      <c r="G189" s="34"/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70</v>
      </c>
      <c r="C200" s="35" t="s">
        <v>66</v>
      </c>
      <c r="D200" s="69">
        <f>SUM(D186:D199)</f>
        <v>0</v>
      </c>
      <c r="E200" s="69">
        <f>SUM(E186:E199)</f>
        <v>0</v>
      </c>
      <c r="F200" s="69">
        <f>SUM(F186:F199)</f>
        <v>0</v>
      </c>
      <c r="G200" s="35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71" t="str">
        <f>'2018'!A30</f>
        <v>Belleza</v>
      </c>
      <c r="C202" s="272"/>
      <c r="D202" s="272"/>
      <c r="E202" s="272"/>
      <c r="F202" s="272"/>
      <c r="G202" s="273"/>
    </row>
    <row r="203" spans="2:7" ht="15" customHeight="1" thickBot="1">
      <c r="B203" s="274"/>
      <c r="C203" s="275"/>
      <c r="D203" s="275"/>
      <c r="E203" s="275"/>
      <c r="F203" s="275"/>
      <c r="G203" s="276"/>
    </row>
    <row r="204" spans="2:7">
      <c r="B204" s="279" t="s">
        <v>10</v>
      </c>
      <c r="C204" s="278"/>
      <c r="D204" s="277" t="s">
        <v>11</v>
      </c>
      <c r="E204" s="277"/>
      <c r="F204" s="277"/>
      <c r="G204" s="278"/>
    </row>
    <row r="205" spans="2:7">
      <c r="B205" s="65" t="s">
        <v>32</v>
      </c>
      <c r="C205" s="73" t="s">
        <v>33</v>
      </c>
      <c r="D205" s="65" t="s">
        <v>68</v>
      </c>
      <c r="E205" s="66" t="s">
        <v>69</v>
      </c>
      <c r="F205" s="66" t="s">
        <v>32</v>
      </c>
      <c r="G205" s="73" t="s">
        <v>394</v>
      </c>
    </row>
    <row r="206" spans="2:7">
      <c r="B206" s="67">
        <v>35</v>
      </c>
      <c r="C206" s="37"/>
      <c r="D206" s="70"/>
      <c r="E206" s="71"/>
      <c r="F206" s="71"/>
      <c r="G206" s="34"/>
    </row>
    <row r="207" spans="2:7">
      <c r="B207" s="68"/>
      <c r="C207" s="34"/>
      <c r="D207" s="70"/>
      <c r="E207" s="71"/>
      <c r="F207" s="71"/>
      <c r="G207" s="34"/>
    </row>
    <row r="208" spans="2:7">
      <c r="B208" s="68"/>
      <c r="C208" s="34"/>
      <c r="D208" s="70"/>
      <c r="E208" s="71"/>
      <c r="F208" s="71"/>
      <c r="G208" s="34"/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66</v>
      </c>
      <c r="D220" s="69">
        <f>SUM(D206:D219)</f>
        <v>0</v>
      </c>
      <c r="E220" s="69">
        <f>SUM(E206:E219)</f>
        <v>0</v>
      </c>
      <c r="F220" s="69">
        <f>SUM(F206:F219)</f>
        <v>0</v>
      </c>
      <c r="G220" s="35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71" t="str">
        <f>'2018'!A31</f>
        <v>Deportes</v>
      </c>
      <c r="C222" s="272"/>
      <c r="D222" s="272"/>
      <c r="E222" s="272"/>
      <c r="F222" s="272"/>
      <c r="G222" s="273"/>
    </row>
    <row r="223" spans="2:7" ht="15" customHeight="1" thickBot="1">
      <c r="B223" s="274"/>
      <c r="C223" s="275"/>
      <c r="D223" s="275"/>
      <c r="E223" s="275"/>
      <c r="F223" s="275"/>
      <c r="G223" s="276"/>
    </row>
    <row r="224" spans="2:7">
      <c r="B224" s="279" t="s">
        <v>10</v>
      </c>
      <c r="C224" s="278"/>
      <c r="D224" s="277" t="s">
        <v>11</v>
      </c>
      <c r="E224" s="277"/>
      <c r="F224" s="277"/>
      <c r="G224" s="278"/>
    </row>
    <row r="225" spans="2:7">
      <c r="B225" s="65" t="s">
        <v>32</v>
      </c>
      <c r="C225" s="73" t="s">
        <v>33</v>
      </c>
      <c r="D225" s="65" t="s">
        <v>68</v>
      </c>
      <c r="E225" s="66" t="s">
        <v>69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/>
      <c r="E226" s="71"/>
      <c r="F226" s="71"/>
      <c r="G226" s="71" t="s">
        <v>50</v>
      </c>
    </row>
    <row r="227" spans="2:7">
      <c r="B227" s="68"/>
      <c r="C227" s="34" t="s">
        <v>46</v>
      </c>
      <c r="D227" s="70"/>
      <c r="E227" s="71"/>
      <c r="F227" s="71"/>
      <c r="G227" s="34"/>
    </row>
    <row r="228" spans="2:7">
      <c r="B228" s="68"/>
      <c r="C228" s="34"/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20</v>
      </c>
      <c r="C240" s="35" t="s">
        <v>66</v>
      </c>
      <c r="D240" s="69">
        <f>SUM(D226:D239)</f>
        <v>0</v>
      </c>
      <c r="E240" s="69">
        <f>SUM(E226:E239)</f>
        <v>0</v>
      </c>
      <c r="F240" s="69">
        <f>SUM(F226:F239)</f>
        <v>0</v>
      </c>
      <c r="G240" s="35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71" t="str">
        <f>'2018'!A32</f>
        <v>Hogar</v>
      </c>
      <c r="C242" s="272"/>
      <c r="D242" s="272"/>
      <c r="E242" s="272"/>
      <c r="F242" s="272"/>
      <c r="G242" s="273"/>
    </row>
    <row r="243" spans="2:7" ht="15" customHeight="1" thickBot="1">
      <c r="B243" s="274"/>
      <c r="C243" s="275"/>
      <c r="D243" s="275"/>
      <c r="E243" s="275"/>
      <c r="F243" s="275"/>
      <c r="G243" s="276"/>
    </row>
    <row r="244" spans="2:7" ht="15" customHeight="1">
      <c r="B244" s="279" t="s">
        <v>10</v>
      </c>
      <c r="C244" s="278"/>
      <c r="D244" s="277" t="s">
        <v>11</v>
      </c>
      <c r="E244" s="277"/>
      <c r="F244" s="277"/>
      <c r="G244" s="278"/>
    </row>
    <row r="245" spans="2:7" ht="15" customHeight="1">
      <c r="B245" s="65" t="s">
        <v>32</v>
      </c>
      <c r="C245" s="73" t="s">
        <v>33</v>
      </c>
      <c r="D245" s="65" t="s">
        <v>68</v>
      </c>
      <c r="E245" s="66" t="s">
        <v>69</v>
      </c>
      <c r="F245" s="66" t="s">
        <v>32</v>
      </c>
      <c r="G245" s="73" t="s">
        <v>394</v>
      </c>
    </row>
    <row r="246" spans="2:7" ht="15" customHeight="1">
      <c r="B246" s="68">
        <v>50</v>
      </c>
      <c r="C246" s="79"/>
      <c r="D246" s="70"/>
      <c r="E246" s="71"/>
      <c r="F246" s="71"/>
      <c r="G246" s="34"/>
    </row>
    <row r="247" spans="2:7" ht="15" customHeight="1">
      <c r="B247" s="68"/>
      <c r="C247" s="34"/>
      <c r="D247" s="70"/>
      <c r="E247" s="71"/>
      <c r="F247" s="71"/>
      <c r="G247" s="34"/>
    </row>
    <row r="248" spans="2:7">
      <c r="B248" s="68"/>
      <c r="C248" s="34"/>
      <c r="D248" s="70"/>
      <c r="E248" s="71"/>
      <c r="F248" s="71"/>
      <c r="G248" s="34"/>
    </row>
    <row r="249" spans="2:7">
      <c r="B249" s="68"/>
      <c r="C249" s="34"/>
      <c r="D249" s="70"/>
      <c r="E249" s="71"/>
      <c r="F249" s="71"/>
      <c r="G249" s="34"/>
    </row>
    <row r="250" spans="2:7">
      <c r="B250" s="68"/>
      <c r="C250" s="34"/>
      <c r="D250" s="70"/>
      <c r="E250" s="71"/>
      <c r="F250" s="71"/>
      <c r="G250" s="34"/>
    </row>
    <row r="251" spans="2:7">
      <c r="B251" s="68"/>
      <c r="C251" s="34"/>
      <c r="D251" s="70"/>
      <c r="E251" s="71"/>
      <c r="F251" s="71"/>
      <c r="G251" s="34"/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50</v>
      </c>
      <c r="C260" s="35" t="s">
        <v>66</v>
      </c>
      <c r="D260" s="69">
        <f>SUM(D246:D259)</f>
        <v>0</v>
      </c>
      <c r="E260" s="69">
        <f>SUM(E246:E259)</f>
        <v>0</v>
      </c>
      <c r="F260" s="69">
        <f>SUM(F246:F259)</f>
        <v>0</v>
      </c>
      <c r="G260" s="35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71" t="str">
        <f>'2018'!A33</f>
        <v>Formación</v>
      </c>
      <c r="C262" s="272"/>
      <c r="D262" s="272"/>
      <c r="E262" s="272"/>
      <c r="F262" s="272"/>
      <c r="G262" s="273"/>
    </row>
    <row r="263" spans="2:7" ht="15" customHeight="1" thickBot="1">
      <c r="B263" s="274"/>
      <c r="C263" s="275"/>
      <c r="D263" s="275"/>
      <c r="E263" s="275"/>
      <c r="F263" s="275"/>
      <c r="G263" s="276"/>
    </row>
    <row r="264" spans="2:7">
      <c r="B264" s="279" t="s">
        <v>10</v>
      </c>
      <c r="C264" s="278"/>
      <c r="D264" s="277" t="s">
        <v>11</v>
      </c>
      <c r="E264" s="277"/>
      <c r="F264" s="277"/>
      <c r="G264" s="278"/>
    </row>
    <row r="265" spans="2:7">
      <c r="B265" s="65" t="s">
        <v>32</v>
      </c>
      <c r="C265" s="73" t="s">
        <v>33</v>
      </c>
      <c r="D265" s="65" t="s">
        <v>68</v>
      </c>
      <c r="E265" s="66" t="s">
        <v>69</v>
      </c>
      <c r="F265" s="66" t="s">
        <v>32</v>
      </c>
      <c r="G265" s="73" t="s">
        <v>33</v>
      </c>
    </row>
    <row r="266" spans="2:7">
      <c r="B266" s="67">
        <v>50</v>
      </c>
      <c r="C266" s="37"/>
      <c r="D266" s="70"/>
      <c r="E266" s="71"/>
      <c r="F266" s="71"/>
      <c r="G266" s="34"/>
    </row>
    <row r="267" spans="2:7">
      <c r="B267" s="68"/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7">
      <c r="B273" s="68"/>
      <c r="C273" s="34"/>
      <c r="D273" s="70"/>
      <c r="E273" s="71"/>
      <c r="F273" s="71"/>
      <c r="G273" s="34"/>
    </row>
    <row r="274" spans="2:7">
      <c r="B274" s="68"/>
      <c r="C274" s="34"/>
      <c r="D274" s="70"/>
      <c r="E274" s="71"/>
      <c r="F274" s="71"/>
      <c r="G274" s="34"/>
    </row>
    <row r="275" spans="2:7">
      <c r="B275" s="68"/>
      <c r="C275" s="34"/>
      <c r="D275" s="70"/>
      <c r="E275" s="71"/>
      <c r="F275" s="71"/>
      <c r="G275" s="34"/>
    </row>
    <row r="276" spans="2:7">
      <c r="B276" s="68"/>
      <c r="C276" s="34"/>
      <c r="D276" s="70"/>
      <c r="E276" s="71"/>
      <c r="F276" s="71"/>
      <c r="G276" s="34"/>
    </row>
    <row r="277" spans="2:7">
      <c r="B277" s="68"/>
      <c r="C277" s="34"/>
      <c r="D277" s="70"/>
      <c r="E277" s="71"/>
      <c r="F277" s="71"/>
      <c r="G277" s="34"/>
    </row>
    <row r="278" spans="2:7">
      <c r="B278" s="68"/>
      <c r="C278" s="34"/>
      <c r="D278" s="70"/>
      <c r="E278" s="71"/>
      <c r="F278" s="71"/>
      <c r="G278" s="34"/>
    </row>
    <row r="279" spans="2:7" ht="15.75" thickBot="1">
      <c r="B279" s="69"/>
      <c r="C279" s="35"/>
      <c r="D279" s="69"/>
      <c r="E279" s="72"/>
      <c r="F279" s="72"/>
      <c r="G279" s="35"/>
    </row>
    <row r="280" spans="2:7" ht="15.75" thickBot="1">
      <c r="B280" s="69">
        <f>SUM(B266:B279)</f>
        <v>50</v>
      </c>
      <c r="C280" s="35" t="s">
        <v>66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271" t="str">
        <f>'2018'!A34</f>
        <v>Regalos</v>
      </c>
      <c r="C282" s="272"/>
      <c r="D282" s="272"/>
      <c r="E282" s="272"/>
      <c r="F282" s="272"/>
      <c r="G282" s="273"/>
    </row>
    <row r="283" spans="2:7" ht="15" customHeight="1" thickBot="1">
      <c r="B283" s="274"/>
      <c r="C283" s="275"/>
      <c r="D283" s="275"/>
      <c r="E283" s="275"/>
      <c r="F283" s="275"/>
      <c r="G283" s="276"/>
    </row>
    <row r="284" spans="2:7">
      <c r="B284" s="279" t="s">
        <v>10</v>
      </c>
      <c r="C284" s="278"/>
      <c r="D284" s="277" t="s">
        <v>11</v>
      </c>
      <c r="E284" s="277"/>
      <c r="F284" s="277"/>
      <c r="G284" s="278"/>
    </row>
    <row r="285" spans="2:7">
      <c r="B285" s="65" t="s">
        <v>32</v>
      </c>
      <c r="C285" s="73" t="s">
        <v>33</v>
      </c>
      <c r="D285" s="65" t="s">
        <v>68</v>
      </c>
      <c r="E285" s="66" t="s">
        <v>69</v>
      </c>
      <c r="F285" s="66" t="s">
        <v>32</v>
      </c>
      <c r="G285" s="73" t="s">
        <v>394</v>
      </c>
    </row>
    <row r="286" spans="2:7">
      <c r="B286" s="67">
        <v>100</v>
      </c>
      <c r="C286" s="37" t="s">
        <v>36</v>
      </c>
      <c r="D286" s="70"/>
      <c r="E286" s="71"/>
      <c r="F286" s="71"/>
      <c r="G286" s="34"/>
    </row>
    <row r="287" spans="2:7">
      <c r="B287" s="68"/>
      <c r="C287" s="34"/>
      <c r="D287" s="70"/>
      <c r="E287" s="71"/>
      <c r="F287" s="71"/>
      <c r="G287" s="34"/>
    </row>
    <row r="288" spans="2:7">
      <c r="B288" s="68"/>
      <c r="C288" s="34"/>
      <c r="D288" s="70"/>
      <c r="E288" s="71"/>
      <c r="F288" s="71"/>
      <c r="G288" s="34"/>
    </row>
    <row r="289" spans="2:7">
      <c r="B289" s="68"/>
      <c r="C289" s="34"/>
      <c r="D289" s="70"/>
      <c r="E289" s="71"/>
      <c r="F289" s="71"/>
      <c r="G289" s="34"/>
    </row>
    <row r="290" spans="2:7">
      <c r="B290" s="68"/>
      <c r="C290" s="34"/>
      <c r="D290" s="70"/>
      <c r="E290" s="71"/>
      <c r="F290" s="71"/>
      <c r="G290" s="34"/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100</v>
      </c>
      <c r="C300" s="35" t="s">
        <v>66</v>
      </c>
      <c r="D300" s="69">
        <f>SUM(D286:D299)</f>
        <v>0</v>
      </c>
      <c r="E300" s="69">
        <f>SUM(E286:E299)</f>
        <v>0</v>
      </c>
      <c r="F300" s="69">
        <f>SUM(F286:F299)</f>
        <v>0</v>
      </c>
      <c r="G300" s="35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71" t="str">
        <f>'2018'!A35</f>
        <v>Salud</v>
      </c>
      <c r="C302" s="272"/>
      <c r="D302" s="272"/>
      <c r="E302" s="272"/>
      <c r="F302" s="272"/>
      <c r="G302" s="273"/>
    </row>
    <row r="303" spans="2:7" ht="15" customHeight="1" thickBot="1">
      <c r="B303" s="274"/>
      <c r="C303" s="275"/>
      <c r="D303" s="275"/>
      <c r="E303" s="275"/>
      <c r="F303" s="275"/>
      <c r="G303" s="276"/>
    </row>
    <row r="304" spans="2:7">
      <c r="B304" s="279" t="s">
        <v>10</v>
      </c>
      <c r="C304" s="278"/>
      <c r="D304" s="277" t="s">
        <v>11</v>
      </c>
      <c r="E304" s="277"/>
      <c r="F304" s="277"/>
      <c r="G304" s="278"/>
    </row>
    <row r="305" spans="2:7">
      <c r="B305" s="65" t="s">
        <v>32</v>
      </c>
      <c r="C305" s="73" t="s">
        <v>33</v>
      </c>
      <c r="D305" s="65" t="s">
        <v>68</v>
      </c>
      <c r="E305" s="66" t="s">
        <v>69</v>
      </c>
      <c r="F305" s="66" t="s">
        <v>32</v>
      </c>
      <c r="G305" s="73" t="s">
        <v>394</v>
      </c>
    </row>
    <row r="306" spans="2:7">
      <c r="B306" s="67">
        <v>100</v>
      </c>
      <c r="C306" s="37" t="s">
        <v>475</v>
      </c>
      <c r="D306" s="70"/>
      <c r="E306" s="71"/>
      <c r="F306" s="71"/>
      <c r="G306" s="34"/>
    </row>
    <row r="307" spans="2:7">
      <c r="B307" s="119">
        <v>15</v>
      </c>
      <c r="C307" s="79"/>
      <c r="D307" s="70"/>
      <c r="E307" s="71"/>
      <c r="F307" s="71"/>
      <c r="G307" s="34"/>
    </row>
    <row r="308" spans="2:7">
      <c r="B308" s="119"/>
      <c r="C308" s="79"/>
      <c r="D308" s="70"/>
      <c r="E308" s="71"/>
      <c r="F308" s="71"/>
      <c r="G308" s="34"/>
    </row>
    <row r="309" spans="2:7">
      <c r="B309" s="68"/>
      <c r="C309" s="34"/>
      <c r="D309" s="70"/>
      <c r="E309" s="71"/>
      <c r="F309" s="71"/>
      <c r="G309" s="34"/>
    </row>
    <row r="310" spans="2:7">
      <c r="B310" s="68"/>
      <c r="C310" s="34"/>
      <c r="D310" s="70"/>
      <c r="E310" s="71"/>
      <c r="F310" s="71"/>
      <c r="G310" s="34"/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115</v>
      </c>
      <c r="C320" s="35" t="s">
        <v>66</v>
      </c>
      <c r="D320" s="69">
        <f>SUM(D306:D319)</f>
        <v>0</v>
      </c>
      <c r="E320" s="69">
        <f>SUM(E306:E319)</f>
        <v>0</v>
      </c>
      <c r="F320" s="69">
        <f>SUM(F306:F319)</f>
        <v>0</v>
      </c>
      <c r="G320" s="35" t="s">
        <v>66</v>
      </c>
    </row>
    <row r="321" spans="2:7" ht="15.75" thickBot="1"/>
    <row r="322" spans="2:7" ht="14.45" customHeight="1">
      <c r="B322" s="271" t="str">
        <f>'2018'!A36</f>
        <v>Martina</v>
      </c>
      <c r="C322" s="272"/>
      <c r="D322" s="272"/>
      <c r="E322" s="272"/>
      <c r="F322" s="272"/>
      <c r="G322" s="273"/>
    </row>
    <row r="323" spans="2:7" ht="15" customHeight="1" thickBot="1">
      <c r="B323" s="274"/>
      <c r="C323" s="275"/>
      <c r="D323" s="275"/>
      <c r="E323" s="275"/>
      <c r="F323" s="275"/>
      <c r="G323" s="276"/>
    </row>
    <row r="324" spans="2:7">
      <c r="B324" s="279" t="s">
        <v>10</v>
      </c>
      <c r="C324" s="278"/>
      <c r="D324" s="277" t="s">
        <v>11</v>
      </c>
      <c r="E324" s="277"/>
      <c r="F324" s="277"/>
      <c r="G324" s="278"/>
    </row>
    <row r="325" spans="2:7">
      <c r="B325" s="65" t="s">
        <v>32</v>
      </c>
      <c r="C325" s="73" t="s">
        <v>33</v>
      </c>
      <c r="D325" s="65" t="s">
        <v>68</v>
      </c>
      <c r="E325" s="66" t="s">
        <v>69</v>
      </c>
      <c r="F325" s="66" t="s">
        <v>32</v>
      </c>
      <c r="G325" s="73" t="s">
        <v>394</v>
      </c>
    </row>
    <row r="326" spans="2:7">
      <c r="B326" s="67">
        <v>90</v>
      </c>
      <c r="C326" s="37"/>
      <c r="D326" s="70"/>
      <c r="E326" s="71"/>
      <c r="F326" s="71"/>
      <c r="G326" s="34"/>
    </row>
    <row r="327" spans="2:7">
      <c r="B327" s="68"/>
      <c r="C327" s="34"/>
      <c r="D327" s="70"/>
      <c r="E327" s="71"/>
      <c r="F327" s="71"/>
      <c r="G327" s="34"/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90</v>
      </c>
      <c r="C340" s="35" t="s">
        <v>66</v>
      </c>
      <c r="D340" s="69">
        <f>SUM(D326:D339)</f>
        <v>0</v>
      </c>
      <c r="E340" s="69">
        <f>SUM(E326:E339)</f>
        <v>0</v>
      </c>
      <c r="F340" s="69">
        <f>SUM(F326:F339)</f>
        <v>0</v>
      </c>
      <c r="G340" s="35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71" t="str">
        <f>'2018'!A37</f>
        <v>Impuestos</v>
      </c>
      <c r="C342" s="272"/>
      <c r="D342" s="272"/>
      <c r="E342" s="272"/>
      <c r="F342" s="272"/>
      <c r="G342" s="273"/>
    </row>
    <row r="343" spans="2:7" ht="15" customHeight="1" thickBot="1">
      <c r="B343" s="274"/>
      <c r="C343" s="275"/>
      <c r="D343" s="275"/>
      <c r="E343" s="275"/>
      <c r="F343" s="275"/>
      <c r="G343" s="276"/>
    </row>
    <row r="344" spans="2:7">
      <c r="B344" s="279" t="s">
        <v>10</v>
      </c>
      <c r="C344" s="278"/>
      <c r="D344" s="277" t="s">
        <v>11</v>
      </c>
      <c r="E344" s="277"/>
      <c r="F344" s="277"/>
      <c r="G344" s="278"/>
    </row>
    <row r="345" spans="2:7">
      <c r="B345" s="65" t="s">
        <v>32</v>
      </c>
      <c r="C345" s="73" t="s">
        <v>33</v>
      </c>
      <c r="D345" s="65" t="s">
        <v>68</v>
      </c>
      <c r="E345" s="66" t="s">
        <v>69</v>
      </c>
      <c r="F345" s="66" t="s">
        <v>32</v>
      </c>
      <c r="G345" s="73" t="s">
        <v>394</v>
      </c>
    </row>
    <row r="346" spans="2:7">
      <c r="B346" s="67">
        <v>30</v>
      </c>
      <c r="C346" s="37" t="s">
        <v>119</v>
      </c>
      <c r="D346" s="70"/>
      <c r="E346" s="71"/>
      <c r="F346" s="71"/>
      <c r="G346" s="34"/>
    </row>
    <row r="347" spans="2:7">
      <c r="B347" s="68">
        <v>10</v>
      </c>
      <c r="C347" s="34" t="s">
        <v>590</v>
      </c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40</v>
      </c>
      <c r="C360" s="35" t="s">
        <v>66</v>
      </c>
      <c r="D360" s="69">
        <f>SUM(D346:D359)</f>
        <v>0</v>
      </c>
      <c r="E360" s="69">
        <f>SUM(E346:E359)</f>
        <v>0</v>
      </c>
      <c r="F360" s="69">
        <f>SUM(F346:F359)</f>
        <v>0</v>
      </c>
      <c r="G360" s="35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71" t="str">
        <f>'2018'!A38</f>
        <v>Gastos Curros</v>
      </c>
      <c r="C362" s="272"/>
      <c r="D362" s="272"/>
      <c r="E362" s="272"/>
      <c r="F362" s="272"/>
      <c r="G362" s="273"/>
    </row>
    <row r="363" spans="2:7" ht="15" customHeight="1" thickBot="1">
      <c r="B363" s="274"/>
      <c r="C363" s="275"/>
      <c r="D363" s="275"/>
      <c r="E363" s="275"/>
      <c r="F363" s="275"/>
      <c r="G363" s="276"/>
    </row>
    <row r="364" spans="2:7">
      <c r="B364" s="279" t="s">
        <v>10</v>
      </c>
      <c r="C364" s="278"/>
      <c r="D364" s="277" t="s">
        <v>11</v>
      </c>
      <c r="E364" s="277"/>
      <c r="F364" s="277"/>
      <c r="G364" s="278"/>
    </row>
    <row r="365" spans="2:7">
      <c r="B365" s="65" t="s">
        <v>32</v>
      </c>
      <c r="C365" s="73" t="s">
        <v>33</v>
      </c>
      <c r="D365" s="65" t="s">
        <v>68</v>
      </c>
      <c r="E365" s="66" t="s">
        <v>69</v>
      </c>
      <c r="F365" s="66" t="s">
        <v>32</v>
      </c>
      <c r="G365" s="73" t="s">
        <v>394</v>
      </c>
    </row>
    <row r="366" spans="2:7">
      <c r="B366" s="67">
        <v>70</v>
      </c>
      <c r="C366" s="37" t="s">
        <v>36</v>
      </c>
      <c r="D366" s="70"/>
      <c r="E366" s="71"/>
      <c r="F366" s="71"/>
      <c r="G366" s="91" t="s">
        <v>91</v>
      </c>
    </row>
    <row r="367" spans="2:7">
      <c r="B367" s="68"/>
      <c r="C367" s="34"/>
      <c r="D367" s="70"/>
      <c r="E367" s="71"/>
      <c r="F367" s="71"/>
      <c r="G367" s="91"/>
    </row>
    <row r="368" spans="2:7">
      <c r="B368" s="68"/>
      <c r="C368" s="34"/>
      <c r="D368" s="70"/>
      <c r="E368" s="71"/>
      <c r="F368" s="71"/>
      <c r="G368" s="34"/>
    </row>
    <row r="369" spans="2:7">
      <c r="B369" s="68"/>
      <c r="C369" s="34"/>
      <c r="D369" s="70"/>
      <c r="E369" s="71"/>
      <c r="F369" s="71"/>
      <c r="G369" s="34"/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70</v>
      </c>
      <c r="C380" s="35" t="s">
        <v>66</v>
      </c>
      <c r="D380" s="69">
        <f>SUM(D366:D379)</f>
        <v>0</v>
      </c>
      <c r="E380" s="69">
        <f>SUM(E366:E379)</f>
        <v>0</v>
      </c>
      <c r="F380" s="69">
        <f>SUM(F366:F379)</f>
        <v>0</v>
      </c>
      <c r="G380" s="35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71" t="str">
        <f>'2018'!A39</f>
        <v>Dreamed Holidays</v>
      </c>
      <c r="C382" s="272"/>
      <c r="D382" s="272"/>
      <c r="E382" s="272"/>
      <c r="F382" s="272"/>
      <c r="G382" s="273"/>
    </row>
    <row r="383" spans="2:7" ht="15" customHeight="1" thickBot="1">
      <c r="B383" s="274"/>
      <c r="C383" s="275"/>
      <c r="D383" s="275"/>
      <c r="E383" s="275"/>
      <c r="F383" s="275"/>
      <c r="G383" s="276"/>
    </row>
    <row r="384" spans="2:7">
      <c r="B384" s="279" t="s">
        <v>10</v>
      </c>
      <c r="C384" s="278"/>
      <c r="D384" s="277" t="s">
        <v>11</v>
      </c>
      <c r="E384" s="277"/>
      <c r="F384" s="277"/>
      <c r="G384" s="278"/>
    </row>
    <row r="385" spans="2:7">
      <c r="B385" s="65" t="s">
        <v>32</v>
      </c>
      <c r="C385" s="73" t="s">
        <v>33</v>
      </c>
      <c r="D385" s="65" t="s">
        <v>68</v>
      </c>
      <c r="E385" s="66" t="s">
        <v>69</v>
      </c>
      <c r="F385" s="66" t="s">
        <v>32</v>
      </c>
      <c r="G385" s="73" t="s">
        <v>33</v>
      </c>
    </row>
    <row r="386" spans="2:7">
      <c r="B386" s="67">
        <v>20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20</v>
      </c>
      <c r="C400" s="35" t="s">
        <v>66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71" t="str">
        <f>'2018'!A40</f>
        <v>Financieros</v>
      </c>
      <c r="C402" s="272"/>
      <c r="D402" s="272"/>
      <c r="E402" s="272"/>
      <c r="F402" s="272"/>
      <c r="G402" s="273"/>
    </row>
    <row r="403" spans="2:7" ht="15" customHeight="1" thickBot="1">
      <c r="B403" s="274"/>
      <c r="C403" s="275"/>
      <c r="D403" s="275"/>
      <c r="E403" s="275"/>
      <c r="F403" s="275"/>
      <c r="G403" s="276"/>
    </row>
    <row r="404" spans="2:7">
      <c r="B404" s="279" t="s">
        <v>10</v>
      </c>
      <c r="C404" s="278"/>
      <c r="D404" s="277" t="s">
        <v>11</v>
      </c>
      <c r="E404" s="277"/>
      <c r="F404" s="277"/>
      <c r="G404" s="278"/>
    </row>
    <row r="405" spans="2:7">
      <c r="B405" s="65" t="s">
        <v>32</v>
      </c>
      <c r="C405" s="73" t="s">
        <v>33</v>
      </c>
      <c r="D405" s="65" t="s">
        <v>68</v>
      </c>
      <c r="E405" s="66" t="s">
        <v>69</v>
      </c>
      <c r="F405" s="66" t="s">
        <v>32</v>
      </c>
      <c r="G405" s="73" t="s">
        <v>33</v>
      </c>
    </row>
    <row r="406" spans="2:7">
      <c r="B406" s="67">
        <v>30</v>
      </c>
      <c r="C406" s="37"/>
      <c r="D406" s="70"/>
      <c r="E406" s="71"/>
      <c r="F406" s="71"/>
      <c r="G406" s="34"/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30</v>
      </c>
      <c r="C420" s="35" t="s">
        <v>66</v>
      </c>
      <c r="D420" s="69">
        <f>SUM(D406:D419)</f>
        <v>0</v>
      </c>
      <c r="E420" s="69">
        <f>SUM(E406:E419)</f>
        <v>0</v>
      </c>
      <c r="F420" s="69">
        <f>SUM(F406:F419)</f>
        <v>0</v>
      </c>
      <c r="G420" s="35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71" t="str">
        <f>'2018'!A41</f>
        <v>Ahorros Colchón</v>
      </c>
      <c r="C422" s="289"/>
      <c r="D422" s="289"/>
      <c r="E422" s="289"/>
      <c r="F422" s="289"/>
      <c r="G422" s="290"/>
    </row>
    <row r="423" spans="2:7" ht="15" customHeight="1" thickBot="1">
      <c r="B423" s="291"/>
      <c r="C423" s="292"/>
      <c r="D423" s="292"/>
      <c r="E423" s="292"/>
      <c r="F423" s="292"/>
      <c r="G423" s="293"/>
    </row>
    <row r="424" spans="2:7">
      <c r="B424" s="279" t="s">
        <v>10</v>
      </c>
      <c r="C424" s="278"/>
      <c r="D424" s="277" t="s">
        <v>11</v>
      </c>
      <c r="E424" s="277"/>
      <c r="F424" s="277"/>
      <c r="G424" s="278"/>
    </row>
    <row r="425" spans="2:7">
      <c r="B425" s="65" t="s">
        <v>32</v>
      </c>
      <c r="C425" s="73" t="s">
        <v>33</v>
      </c>
      <c r="D425" s="65" t="s">
        <v>68</v>
      </c>
      <c r="E425" s="66" t="s">
        <v>69</v>
      </c>
      <c r="F425" s="66" t="s">
        <v>32</v>
      </c>
      <c r="G425" s="73" t="s">
        <v>33</v>
      </c>
    </row>
    <row r="426" spans="2:7">
      <c r="B426" s="67">
        <f>'2018'!AM17</f>
        <v>0</v>
      </c>
      <c r="C426" s="37" t="s">
        <v>562</v>
      </c>
      <c r="D426" s="70"/>
      <c r="E426" s="71"/>
      <c r="F426" s="71"/>
      <c r="G426" s="34"/>
    </row>
    <row r="427" spans="2:7">
      <c r="B427" s="68"/>
      <c r="C427" s="34"/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0</v>
      </c>
      <c r="C440" s="35" t="s">
        <v>66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71" t="str">
        <f>'2018'!A42</f>
        <v>Dinero Bloqueado</v>
      </c>
      <c r="C442" s="289"/>
      <c r="D442" s="289"/>
      <c r="E442" s="289"/>
      <c r="F442" s="289"/>
      <c r="G442" s="290"/>
    </row>
    <row r="443" spans="2:7" ht="15" customHeight="1" thickBot="1">
      <c r="B443" s="291"/>
      <c r="C443" s="292"/>
      <c r="D443" s="292"/>
      <c r="E443" s="292"/>
      <c r="F443" s="292"/>
      <c r="G443" s="293"/>
    </row>
    <row r="444" spans="2:7">
      <c r="B444" s="279" t="s">
        <v>10</v>
      </c>
      <c r="C444" s="278"/>
      <c r="D444" s="277" t="s">
        <v>11</v>
      </c>
      <c r="E444" s="277"/>
      <c r="F444" s="277"/>
      <c r="G444" s="278"/>
    </row>
    <row r="445" spans="2:7">
      <c r="B445" s="65" t="s">
        <v>32</v>
      </c>
      <c r="C445" s="73" t="s">
        <v>33</v>
      </c>
      <c r="D445" s="65" t="s">
        <v>68</v>
      </c>
      <c r="E445" s="66" t="s">
        <v>69</v>
      </c>
      <c r="F445" s="66" t="s">
        <v>32</v>
      </c>
      <c r="G445" s="73" t="s">
        <v>33</v>
      </c>
    </row>
    <row r="446" spans="2:7">
      <c r="B446" s="67"/>
      <c r="C446" s="37"/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0</v>
      </c>
      <c r="C460" s="35" t="s">
        <v>66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71" t="str">
        <f>'2018'!A43</f>
        <v>Cartama Finanazas</v>
      </c>
      <c r="C462" s="289"/>
      <c r="D462" s="289"/>
      <c r="E462" s="289"/>
      <c r="F462" s="289"/>
      <c r="G462" s="290"/>
    </row>
    <row r="463" spans="2:7" ht="15" customHeight="1" thickBot="1">
      <c r="B463" s="291"/>
      <c r="C463" s="292"/>
      <c r="D463" s="292"/>
      <c r="E463" s="292"/>
      <c r="F463" s="292"/>
      <c r="G463" s="293"/>
    </row>
    <row r="464" spans="2:7">
      <c r="B464" s="279" t="s">
        <v>10</v>
      </c>
      <c r="C464" s="278"/>
      <c r="D464" s="277" t="s">
        <v>11</v>
      </c>
      <c r="E464" s="277"/>
      <c r="F464" s="277"/>
      <c r="G464" s="278"/>
    </row>
    <row r="465" spans="1:7">
      <c r="A465" s="175" t="s">
        <v>611</v>
      </c>
      <c r="B465" s="65" t="s">
        <v>32</v>
      </c>
      <c r="C465" s="73" t="s">
        <v>33</v>
      </c>
      <c r="D465" s="65" t="s">
        <v>68</v>
      </c>
      <c r="E465" s="66" t="s">
        <v>69</v>
      </c>
      <c r="F465" s="66" t="s">
        <v>32</v>
      </c>
      <c r="G465" s="73" t="s">
        <v>33</v>
      </c>
    </row>
    <row r="466" spans="1:7" ht="15.75">
      <c r="A466" s="202">
        <f>'10'!A466+B466-E466</f>
        <v>356</v>
      </c>
      <c r="B466" s="68">
        <v>40</v>
      </c>
      <c r="C466" s="34" t="s">
        <v>487</v>
      </c>
      <c r="D466" s="70"/>
      <c r="E466" s="71"/>
      <c r="F466" s="71"/>
      <c r="G466" s="34"/>
    </row>
    <row r="467" spans="1:7">
      <c r="A467" s="203">
        <f>'10'!A467+'11'!B467</f>
        <v>10</v>
      </c>
      <c r="B467" s="68">
        <v>5</v>
      </c>
      <c r="C467" s="34" t="s">
        <v>612</v>
      </c>
      <c r="D467" s="70"/>
      <c r="E467" s="71"/>
      <c r="F467" s="71"/>
      <c r="G467" s="34"/>
    </row>
    <row r="468" spans="1:7">
      <c r="A468" s="203">
        <f>'10'!A468+'11'!B468</f>
        <v>10</v>
      </c>
      <c r="B468" s="68">
        <v>5</v>
      </c>
      <c r="C468" s="34" t="s">
        <v>613</v>
      </c>
      <c r="D468" s="70"/>
      <c r="E468" s="71"/>
      <c r="F468" s="71"/>
      <c r="G468" s="34"/>
    </row>
    <row r="469" spans="1:7">
      <c r="B469" s="68"/>
      <c r="C469" s="34"/>
      <c r="D469" s="70"/>
      <c r="E469" s="71"/>
      <c r="F469" s="71"/>
      <c r="G469" s="34"/>
    </row>
    <row r="470" spans="1:7">
      <c r="B470" s="68"/>
      <c r="C470" s="34"/>
      <c r="D470" s="70"/>
      <c r="E470" s="71"/>
      <c r="F470" s="71"/>
      <c r="G470" s="34"/>
    </row>
    <row r="471" spans="1:7">
      <c r="B471" s="68"/>
      <c r="C471" s="34"/>
      <c r="D471" s="70"/>
      <c r="E471" s="71"/>
      <c r="F471" s="71"/>
      <c r="G471" s="34"/>
    </row>
    <row r="472" spans="1:7">
      <c r="B472" s="68"/>
      <c r="C472" s="34"/>
      <c r="D472" s="70"/>
      <c r="E472" s="71"/>
      <c r="F472" s="71"/>
      <c r="G472" s="34"/>
    </row>
    <row r="473" spans="1:7">
      <c r="B473" s="68"/>
      <c r="C473" s="34"/>
      <c r="D473" s="70"/>
      <c r="E473" s="71"/>
      <c r="F473" s="71"/>
      <c r="G473" s="34"/>
    </row>
    <row r="474" spans="1:7">
      <c r="B474" s="68"/>
      <c r="C474" s="34"/>
      <c r="D474" s="70"/>
      <c r="E474" s="71"/>
      <c r="F474" s="71"/>
      <c r="G474" s="34"/>
    </row>
    <row r="475" spans="1:7">
      <c r="B475" s="68"/>
      <c r="C475" s="34"/>
      <c r="D475" s="70"/>
      <c r="E475" s="71"/>
      <c r="F475" s="71"/>
      <c r="G475" s="34"/>
    </row>
    <row r="476" spans="1:7">
      <c r="B476" s="68"/>
      <c r="C476" s="34"/>
      <c r="D476" s="70"/>
      <c r="E476" s="71"/>
      <c r="F476" s="71"/>
      <c r="G476" s="34"/>
    </row>
    <row r="477" spans="1:7">
      <c r="B477" s="68"/>
      <c r="C477" s="34"/>
      <c r="D477" s="70"/>
      <c r="E477" s="71"/>
      <c r="F477" s="71"/>
      <c r="G477" s="34"/>
    </row>
    <row r="478" spans="1:7">
      <c r="B478" s="68"/>
      <c r="C478" s="34"/>
      <c r="D478" s="70"/>
      <c r="E478" s="71"/>
      <c r="F478" s="71"/>
      <c r="G478" s="34"/>
    </row>
    <row r="479" spans="1:7" ht="15.75" thickBot="1">
      <c r="B479" s="69"/>
      <c r="C479" s="35"/>
      <c r="D479" s="69"/>
      <c r="E479" s="72"/>
      <c r="F479" s="72"/>
      <c r="G479" s="35"/>
    </row>
    <row r="480" spans="1:7" ht="15.75" thickBot="1">
      <c r="A480" s="203">
        <f>SUM(A466:A468)</f>
        <v>376</v>
      </c>
      <c r="B480" s="69">
        <f>SUM(B466:B479)</f>
        <v>50</v>
      </c>
      <c r="C480" s="35" t="s">
        <v>66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66</v>
      </c>
    </row>
    <row r="481" spans="2:7" ht="15.75" thickBot="1"/>
    <row r="482" spans="2:7" ht="14.45" customHeight="1">
      <c r="B482" s="271" t="str">
        <f>'2018'!A44</f>
        <v>NULO</v>
      </c>
      <c r="C482" s="289"/>
      <c r="D482" s="289"/>
      <c r="E482" s="289"/>
      <c r="F482" s="289"/>
      <c r="G482" s="290"/>
    </row>
    <row r="483" spans="2:7" ht="15" customHeight="1" thickBot="1">
      <c r="B483" s="291"/>
      <c r="C483" s="292"/>
      <c r="D483" s="292"/>
      <c r="E483" s="292"/>
      <c r="F483" s="292"/>
      <c r="G483" s="293"/>
    </row>
    <row r="484" spans="2:7">
      <c r="B484" s="279" t="s">
        <v>10</v>
      </c>
      <c r="C484" s="278"/>
      <c r="D484" s="277" t="s">
        <v>11</v>
      </c>
      <c r="E484" s="277"/>
      <c r="F484" s="277"/>
      <c r="G484" s="278"/>
    </row>
    <row r="485" spans="2:7">
      <c r="B485" s="65" t="s">
        <v>32</v>
      </c>
      <c r="C485" s="73" t="s">
        <v>33</v>
      </c>
      <c r="D485" s="65" t="s">
        <v>68</v>
      </c>
      <c r="E485" s="66" t="s">
        <v>69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66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71" t="str">
        <f>'2018'!A45</f>
        <v>OTROS</v>
      </c>
      <c r="C502" s="289"/>
      <c r="D502" s="289"/>
      <c r="E502" s="289"/>
      <c r="F502" s="289"/>
      <c r="G502" s="290"/>
    </row>
    <row r="503" spans="2:7" ht="15" customHeight="1" thickBot="1">
      <c r="B503" s="291"/>
      <c r="C503" s="292"/>
      <c r="D503" s="292"/>
      <c r="E503" s="292"/>
      <c r="F503" s="292"/>
      <c r="G503" s="293"/>
    </row>
    <row r="504" spans="2:7">
      <c r="B504" s="279" t="s">
        <v>10</v>
      </c>
      <c r="C504" s="278"/>
      <c r="D504" s="277" t="s">
        <v>11</v>
      </c>
      <c r="E504" s="277"/>
      <c r="F504" s="277"/>
      <c r="G504" s="278"/>
    </row>
    <row r="505" spans="2:7">
      <c r="B505" s="65" t="s">
        <v>32</v>
      </c>
      <c r="C505" s="73" t="s">
        <v>33</v>
      </c>
      <c r="D505" s="65" t="s">
        <v>68</v>
      </c>
      <c r="E505" s="66" t="s">
        <v>69</v>
      </c>
      <c r="F505" s="66" t="s">
        <v>32</v>
      </c>
      <c r="G505" s="73" t="s">
        <v>33</v>
      </c>
    </row>
    <row r="506" spans="2:7">
      <c r="B506" s="67"/>
      <c r="C506" s="37"/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>
        <f>SUM(B506:B519)</f>
        <v>0</v>
      </c>
      <c r="C520" s="35" t="s">
        <v>66</v>
      </c>
      <c r="D520" s="69">
        <f>SUM(D506:D519)</f>
        <v>0</v>
      </c>
      <c r="E520" s="69">
        <f>SUM(E506:E519)</f>
        <v>0</v>
      </c>
      <c r="F520" s="69">
        <f>SUM(F506:F519)</f>
        <v>0</v>
      </c>
      <c r="G520" s="35" t="s">
        <v>66</v>
      </c>
    </row>
  </sheetData>
  <mergeCells count="111"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ED201570-B011-484C-B1CF-70DD538FB519}"/>
    <hyperlink ref="I22" location="Trimestre!C39:F40" display="TELÉFONO" xr:uid="{78CAFD71-EF69-4AAC-A15A-D19EC7669E01}"/>
    <hyperlink ref="I22:L23" location="'2018'!AM7:AP7" display="INGRESOS" xr:uid="{650FFC49-4F8B-4C7A-B481-C4CD40FED27A}"/>
    <hyperlink ref="B2" location="Trimestre!C25:F26" display="HIPOTECA" xr:uid="{1C05B563-FE4F-4C5E-877D-AA4B5F340F7E}"/>
    <hyperlink ref="B2:G3" location="'2018'!AM20:AP20" display="'2018'!AM20:AP20" xr:uid="{4A4CEDF7-0425-4188-B148-CC32D3AD0FE7}"/>
    <hyperlink ref="B22" location="Trimestre!C25:F26" display="HIPOTECA" xr:uid="{1BB4CFFE-886E-4F6B-AB50-B1C62A48457D}"/>
    <hyperlink ref="B22:G23" location="'2018'!AM21:AP21" display="'2018'!AM21:AP21" xr:uid="{E3C3C54A-F91D-4357-964A-CAD927BE70B4}"/>
    <hyperlink ref="B42" location="Trimestre!C25:F26" display="HIPOTECA" xr:uid="{727AEF88-CC33-430F-96B8-FCBB467F7047}"/>
    <hyperlink ref="B42:G43" location="'2018'!AM22:AP22" display="'2018'!AM22:AP22" xr:uid="{95507CEA-351B-46E0-9263-89141C588353}"/>
    <hyperlink ref="B62" location="Trimestre!C25:F26" display="HIPOTECA" xr:uid="{71ACCF4F-FE27-4E8C-B942-B01ABB14848F}"/>
    <hyperlink ref="B62:G63" location="'2018'!AM23:AP23" display="'2018'!AM23:AP23" xr:uid="{8C036778-0619-4946-8B8D-94C86217B2B3}"/>
    <hyperlink ref="B82" location="Trimestre!C25:F26" display="HIPOTECA" xr:uid="{8FA38B37-C7F6-4A27-ADB0-6B048653A343}"/>
    <hyperlink ref="B82:G83" location="'2018'!AM24:AP24" display="'2018'!AM24:AP24" xr:uid="{0974EB9C-46DE-4CAC-B337-9E9B4DC73550}"/>
    <hyperlink ref="B102" location="Trimestre!C25:F26" display="HIPOTECA" xr:uid="{FD31251E-6507-44F6-BD4F-D86F1D50006F}"/>
    <hyperlink ref="B102:G103" location="'2018'!AM25:AP25" display="'2018'!AM25:AP25" xr:uid="{0D37AD67-0901-466A-9F38-C88061BDFD8F}"/>
    <hyperlink ref="B122" location="Trimestre!C25:F26" display="HIPOTECA" xr:uid="{C82A9CF3-5B83-47D8-A8F4-2C37411694C7}"/>
    <hyperlink ref="B122:G123" location="'2018'!AM26:AP26" display="'2018'!AM26:AP26" xr:uid="{C7E72CE4-E11E-4E7C-A2B9-AB865B9FAD01}"/>
    <hyperlink ref="B142" location="Trimestre!C25:F26" display="HIPOTECA" xr:uid="{A7D51F14-6D9F-47CD-A46F-9D275603CB38}"/>
    <hyperlink ref="B142:G143" location="'2018'!AM27:AP27" display="'2018'!AM27:AP27" xr:uid="{07757CD6-C336-49A0-9D3A-ADAD7251D9CD}"/>
    <hyperlink ref="B162" location="Trimestre!C25:F26" display="HIPOTECA" xr:uid="{235F4645-71D9-403A-BF56-DD22E692239C}"/>
    <hyperlink ref="B162:G163" location="'2018'!AM28:AP28" display="'2018'!AM28:AP28" xr:uid="{C91CD674-7448-4556-83B5-C0897166E055}"/>
    <hyperlink ref="B182" location="Trimestre!C25:F26" display="HIPOTECA" xr:uid="{073A768A-2D51-4E88-887E-18FF525FE7A1}"/>
    <hyperlink ref="B182:G183" location="'2018'!AM29:AP29" display="'2018'!AM29:AP29" xr:uid="{658DA754-C2F5-423E-8A92-D1CC1653F393}"/>
    <hyperlink ref="B202" location="Trimestre!C25:F26" display="HIPOTECA" xr:uid="{541084B9-EEED-4287-9A12-941292DD8A5C}"/>
    <hyperlink ref="B202:G203" location="'2018'!AM30:AP30" display="'2018'!AM30:AP30" xr:uid="{C5159A64-5614-448C-8215-B5899AE67F2D}"/>
    <hyperlink ref="B222" location="Trimestre!C25:F26" display="HIPOTECA" xr:uid="{F3C4C853-98DB-4920-8A07-93A942E11A67}"/>
    <hyperlink ref="B222:G223" location="'2018'!AM31:AP31" display="'2018'!AM31:AP31" xr:uid="{CDB03E99-DC83-4BC7-A43E-6F038FFEDCB0}"/>
    <hyperlink ref="B242" location="Trimestre!C25:F26" display="HIPOTECA" xr:uid="{FB34F09E-1E1F-42C2-8618-F2F34F47D3DC}"/>
    <hyperlink ref="B242:G243" location="'2018'!AM32:AP32" display="'2018'!AM32:AP32" xr:uid="{A579E469-A3D2-4C8A-9470-CD37894EE748}"/>
    <hyperlink ref="B262" location="Trimestre!C25:F26" display="HIPOTECA" xr:uid="{53C54793-9474-4A96-A6EB-103267D53F95}"/>
    <hyperlink ref="B262:G263" location="'2018'!AM33:AP33" display="'2018'!AM33:AP33" xr:uid="{D2E3B1F5-A5C2-4AFC-A5BF-592A762A74A6}"/>
    <hyperlink ref="B282" location="Trimestre!C25:F26" display="HIPOTECA" xr:uid="{00B8B632-72C4-447C-91CA-53664195B656}"/>
    <hyperlink ref="B282:G283" location="'2018'!AM34:AP34" display="'2018'!AM34:AP34" xr:uid="{B57E94ED-45BF-4BA3-B7A8-1F088968414E}"/>
    <hyperlink ref="B302" location="Trimestre!C25:F26" display="HIPOTECA" xr:uid="{58D856AD-C580-4F0E-9176-E6B22A43EDCC}"/>
    <hyperlink ref="B302:G303" location="'2018'!AM35:AP35" display="'2018'!AM35:AP35" xr:uid="{4C02AF3E-D73A-442B-A4D2-B880B419130D}"/>
    <hyperlink ref="B322" location="Trimestre!C25:F26" display="HIPOTECA" xr:uid="{CB0ED46F-E83E-43F2-879D-9941EC5763D7}"/>
    <hyperlink ref="B322:G323" location="'2018'!AM36:AP36" display="'2018'!AM36:AP36" xr:uid="{34D35C3D-7A47-4ACA-B03D-82DD5944E165}"/>
    <hyperlink ref="B342" location="Trimestre!C25:F26" display="HIPOTECA" xr:uid="{7D13A16E-D534-43C7-81C5-9550C7C558B4}"/>
    <hyperlink ref="B342:G343" location="'2018'!AM37:AP37" display="'2018'!AM37:AP37" xr:uid="{0A5FE1F8-6B3D-413F-9310-4DF6D12A33BD}"/>
    <hyperlink ref="B362" location="Trimestre!C25:F26" display="HIPOTECA" xr:uid="{30AE5742-225F-456E-8C70-B34DC2BE2F8A}"/>
    <hyperlink ref="B362:G363" location="'2018'!AM38:AP38" display="'2018'!AM38:AP38" xr:uid="{1EE02608-BC7F-4F9F-863A-21CE85EB7053}"/>
    <hyperlink ref="B382" location="Trimestre!C25:F26" display="HIPOTECA" xr:uid="{AEB76C4E-6321-46FB-9F1E-ABAF5A1FF3B9}"/>
    <hyperlink ref="B382:G383" location="'2018'!AM39:AP39" display="'2018'!AM39:AP39" xr:uid="{28F4C8E8-3B70-447F-9CB6-0B4634E6923D}"/>
    <hyperlink ref="B402" location="Trimestre!C25:F26" display="HIPOTECA" xr:uid="{F405A7EC-C449-40A5-9313-85EB3CED33AA}"/>
    <hyperlink ref="B402:G403" location="'2018'!AM40:AP40" display="'2018'!AM40:AP40" xr:uid="{553CE290-32D1-4D78-B72D-2C24033ABB06}"/>
    <hyperlink ref="B422" location="Trimestre!C25:F26" display="HIPOTECA" xr:uid="{EA6E841D-D9AA-46A0-BAD7-9C8B415B693D}"/>
    <hyperlink ref="B422:G423" location="'2018'!AM41:AP41" display="'2018'!AM41:AP41" xr:uid="{2D84AF36-6CCD-4B36-AB6D-412815894639}"/>
    <hyperlink ref="B442" location="Trimestre!C25:F26" display="HIPOTECA" xr:uid="{3BB4C900-E1F9-4493-9CD4-69D236A34E89}"/>
    <hyperlink ref="B442:G443" location="'2018'!AM42:AP42" display="'2018'!AM42:AP42" xr:uid="{EA1D8C19-72B2-466D-AA1F-361218F6B23B}"/>
    <hyperlink ref="B462" location="Trimestre!C25:F26" display="HIPOTECA" xr:uid="{197536AE-7016-4C40-8F46-3AB1D6ACFC9A}"/>
    <hyperlink ref="B462:G463" location="'2018'!AM43:AP43" display="'2018'!AM43:AP43" xr:uid="{CEAB0650-8C32-401E-8ADC-84BA5DCE17EE}"/>
    <hyperlink ref="B482" location="Trimestre!C25:F26" display="HIPOTECA" xr:uid="{BA413337-923E-4D44-9AE6-B3430D6BECB3}"/>
    <hyperlink ref="B482:G483" location="'2018'!AM44:AP44" display="'2018'!AM44:AP44" xr:uid="{DB1CA9DC-7224-490E-AF0B-A45E0EFB396D}"/>
    <hyperlink ref="B502" location="Trimestre!C25:F26" display="HIPOTECA" xr:uid="{7429C3BE-DDB7-4988-9DF6-C4A3AFF9432F}"/>
    <hyperlink ref="B502:G503" location="'2018'!AM45:AP45" display="'2018'!AM45:AP45" xr:uid="{6EDBE70B-7FA1-49C6-B623-E212313B13BC}"/>
    <hyperlink ref="I2:L3" location="'2018'!AM4:AP4" display="SALDO REAL" xr:uid="{28549131-9915-4302-8DF7-B54B66DFCC6B}"/>
  </hyperlink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V520"/>
  <sheetViews>
    <sheetView topLeftCell="A62" workbookViewId="0">
      <selection activeCell="B62" sqref="B62:G63"/>
    </sheetView>
  </sheetViews>
  <sheetFormatPr defaultColWidth="11.42578125" defaultRowHeight="15"/>
  <cols>
    <col min="1" max="1" width="11.42578125" style="175"/>
    <col min="2" max="2" width="10" style="175" customWidth="1"/>
    <col min="3" max="3" width="33.28515625" style="175" customWidth="1"/>
    <col min="4" max="6" width="10" style="175" customWidth="1"/>
    <col min="7" max="7" width="33.28515625" style="175" customWidth="1"/>
    <col min="8" max="9" width="11.42578125" style="175"/>
    <col min="10" max="10" width="31.28515625" style="175" customWidth="1"/>
    <col min="11" max="16384" width="11.42578125" style="175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71" t="str">
        <f>'2018'!A20</f>
        <v>Cártama Gastos</v>
      </c>
      <c r="C2" s="272"/>
      <c r="D2" s="272"/>
      <c r="E2" s="272"/>
      <c r="F2" s="272"/>
      <c r="G2" s="273"/>
      <c r="H2" s="1"/>
      <c r="I2" s="284" t="s">
        <v>4</v>
      </c>
      <c r="J2" s="272"/>
      <c r="K2" s="272"/>
      <c r="L2" s="273"/>
      <c r="M2" s="1"/>
      <c r="N2" s="1"/>
      <c r="R2" s="3"/>
    </row>
    <row r="3" spans="1:22" ht="16.5" thickBot="1">
      <c r="A3" s="1"/>
      <c r="B3" s="274"/>
      <c r="C3" s="275"/>
      <c r="D3" s="275"/>
      <c r="E3" s="275"/>
      <c r="F3" s="275"/>
      <c r="G3" s="276"/>
      <c r="H3" s="1"/>
      <c r="I3" s="274"/>
      <c r="J3" s="275"/>
      <c r="K3" s="275"/>
      <c r="L3" s="276"/>
      <c r="M3" s="1"/>
      <c r="N3" s="1"/>
      <c r="R3" s="3"/>
    </row>
    <row r="4" spans="1:22" ht="15.75">
      <c r="A4" s="1"/>
      <c r="B4" s="279" t="s">
        <v>10</v>
      </c>
      <c r="C4" s="278"/>
      <c r="D4" s="277" t="s">
        <v>11</v>
      </c>
      <c r="E4" s="277"/>
      <c r="F4" s="277"/>
      <c r="G4" s="278"/>
      <c r="H4" s="1"/>
      <c r="I4" s="124" t="s">
        <v>70</v>
      </c>
      <c r="J4" s="195" t="s">
        <v>71</v>
      </c>
      <c r="K4" s="285" t="s">
        <v>72</v>
      </c>
      <c r="L4" s="286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68</v>
      </c>
      <c r="E5" s="66" t="s">
        <v>69</v>
      </c>
      <c r="F5" s="66" t="s">
        <v>32</v>
      </c>
      <c r="G5" s="73" t="s">
        <v>33</v>
      </c>
      <c r="H5" s="1"/>
      <c r="I5" s="196" t="s">
        <v>73</v>
      </c>
      <c r="J5" s="197" t="s">
        <v>74</v>
      </c>
      <c r="K5" s="287"/>
      <c r="L5" s="288"/>
      <c r="M5" s="1"/>
      <c r="N5" s="1"/>
      <c r="R5" s="3"/>
    </row>
    <row r="6" spans="1:22" ht="15.75">
      <c r="A6" s="1"/>
      <c r="B6" s="67">
        <v>399</v>
      </c>
      <c r="C6" s="37" t="s">
        <v>312</v>
      </c>
      <c r="D6" s="70"/>
      <c r="E6" s="71"/>
      <c r="F6" s="71"/>
      <c r="G6" s="34" t="s">
        <v>35</v>
      </c>
      <c r="H6" s="1"/>
      <c r="I6" s="198" t="s">
        <v>73</v>
      </c>
      <c r="J6" s="197" t="s">
        <v>75</v>
      </c>
      <c r="K6" s="280"/>
      <c r="L6" s="281"/>
      <c r="M6" s="1" t="s">
        <v>395</v>
      </c>
      <c r="N6" s="1"/>
      <c r="R6" s="3"/>
    </row>
    <row r="7" spans="1:22" ht="15.75">
      <c r="A7" s="1"/>
      <c r="B7" s="68">
        <v>60</v>
      </c>
      <c r="C7" s="34" t="s">
        <v>326</v>
      </c>
      <c r="D7" s="70"/>
      <c r="E7" s="71"/>
      <c r="F7" s="71"/>
      <c r="G7" s="34" t="s">
        <v>106</v>
      </c>
      <c r="H7" s="117"/>
      <c r="I7" s="198" t="s">
        <v>76</v>
      </c>
      <c r="J7" s="197" t="s">
        <v>77</v>
      </c>
      <c r="K7" s="280"/>
      <c r="L7" s="281"/>
      <c r="M7" s="1"/>
      <c r="N7" s="1"/>
      <c r="R7" s="3"/>
    </row>
    <row r="8" spans="1:22" ht="15.75">
      <c r="A8" s="1"/>
      <c r="B8" s="68">
        <v>0</v>
      </c>
      <c r="C8" s="34" t="s">
        <v>38</v>
      </c>
      <c r="D8" s="70"/>
      <c r="F8" s="71"/>
      <c r="G8" s="34" t="s">
        <v>38</v>
      </c>
      <c r="H8" s="1"/>
      <c r="I8" s="198" t="s">
        <v>76</v>
      </c>
      <c r="J8" s="197" t="s">
        <v>78</v>
      </c>
      <c r="K8" s="280">
        <v>6000</v>
      </c>
      <c r="L8" s="281"/>
      <c r="M8" s="1"/>
      <c r="N8" s="1"/>
      <c r="R8" s="3"/>
    </row>
    <row r="9" spans="1:22" ht="15.75">
      <c r="A9" s="1"/>
      <c r="B9" s="68">
        <v>0</v>
      </c>
      <c r="C9" s="34" t="s">
        <v>40</v>
      </c>
      <c r="D9" s="70"/>
      <c r="E9" s="71"/>
      <c r="F9" s="71"/>
      <c r="G9" s="34" t="s">
        <v>40</v>
      </c>
      <c r="H9" s="1"/>
      <c r="I9" s="198" t="s">
        <v>76</v>
      </c>
      <c r="J9" s="197" t="s">
        <v>268</v>
      </c>
      <c r="K9" s="280">
        <v>659.77</v>
      </c>
      <c r="L9" s="281"/>
      <c r="M9" s="1"/>
      <c r="N9" s="1"/>
      <c r="R9" s="3"/>
    </row>
    <row r="10" spans="1:22" ht="15.75">
      <c r="A10" s="1"/>
      <c r="B10" s="68">
        <v>12</v>
      </c>
      <c r="C10" s="34" t="s">
        <v>39</v>
      </c>
      <c r="D10" s="70"/>
      <c r="E10" s="71"/>
      <c r="F10" s="71"/>
      <c r="G10" s="34" t="s">
        <v>39</v>
      </c>
      <c r="H10" s="1"/>
      <c r="I10" s="198" t="s">
        <v>76</v>
      </c>
      <c r="J10" s="197" t="s">
        <v>115</v>
      </c>
      <c r="K10" s="280">
        <v>1800.04</v>
      </c>
      <c r="L10" s="281"/>
      <c r="M10" s="1" t="s">
        <v>266</v>
      </c>
      <c r="N10" s="1"/>
      <c r="R10" s="3"/>
    </row>
    <row r="11" spans="1:22" ht="15.75">
      <c r="A11" s="1"/>
      <c r="B11" s="68">
        <v>31</v>
      </c>
      <c r="C11" s="34" t="s">
        <v>37</v>
      </c>
      <c r="D11" s="70"/>
      <c r="E11" s="71"/>
      <c r="F11" s="71"/>
      <c r="G11" s="34" t="s">
        <v>37</v>
      </c>
      <c r="H11" s="1"/>
      <c r="I11" s="198" t="s">
        <v>93</v>
      </c>
      <c r="J11" s="197" t="s">
        <v>94</v>
      </c>
      <c r="K11" s="280"/>
      <c r="L11" s="281"/>
      <c r="M11" s="1"/>
      <c r="N11" s="1"/>
      <c r="R11" s="3"/>
    </row>
    <row r="12" spans="1:22" ht="15.75">
      <c r="A12" s="1"/>
      <c r="B12" s="68">
        <v>20</v>
      </c>
      <c r="C12" s="34" t="s">
        <v>466</v>
      </c>
      <c r="D12" s="70"/>
      <c r="E12" s="71"/>
      <c r="F12" s="71"/>
      <c r="G12" s="34"/>
      <c r="H12" s="1"/>
      <c r="I12" s="198" t="s">
        <v>304</v>
      </c>
      <c r="J12" s="197" t="s">
        <v>305</v>
      </c>
      <c r="K12" s="280">
        <v>5092.08</v>
      </c>
      <c r="L12" s="281"/>
      <c r="M12" s="178"/>
      <c r="N12" s="1"/>
      <c r="R12" s="3"/>
    </row>
    <row r="13" spans="1:22" ht="15.75">
      <c r="A13" s="1"/>
      <c r="B13" s="68">
        <v>-285</v>
      </c>
      <c r="C13" s="34" t="s">
        <v>470</v>
      </c>
      <c r="D13" s="70"/>
      <c r="E13" s="71"/>
      <c r="F13" s="71"/>
      <c r="G13" s="34"/>
      <c r="H13" s="1"/>
      <c r="I13" s="198"/>
      <c r="J13" s="197"/>
      <c r="K13" s="280"/>
      <c r="L13" s="281"/>
      <c r="M13" s="1"/>
      <c r="N13" s="1"/>
      <c r="R13" s="3"/>
    </row>
    <row r="14" spans="1:22" ht="15.75">
      <c r="A14" s="1"/>
      <c r="B14" s="68">
        <v>25</v>
      </c>
      <c r="C14" s="34" t="s">
        <v>207</v>
      </c>
      <c r="D14" s="70"/>
      <c r="E14" s="71"/>
      <c r="F14" s="71"/>
      <c r="G14" s="34"/>
      <c r="H14" s="1"/>
      <c r="I14" s="198"/>
      <c r="J14" s="197"/>
      <c r="K14" s="280"/>
      <c r="L14" s="281"/>
      <c r="M14" s="1"/>
      <c r="N14" s="1"/>
      <c r="R14" s="3"/>
    </row>
    <row r="15" spans="1:22" ht="15.75">
      <c r="A15" s="1"/>
      <c r="B15" s="68">
        <v>7</v>
      </c>
      <c r="C15" s="34" t="s">
        <v>353</v>
      </c>
      <c r="D15" s="70"/>
      <c r="E15" s="71"/>
      <c r="F15" s="71"/>
      <c r="G15" s="34"/>
      <c r="H15" s="1"/>
      <c r="I15" s="198"/>
      <c r="J15" s="197"/>
      <c r="K15" s="280"/>
      <c r="L15" s="281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198"/>
      <c r="J16" s="197"/>
      <c r="K16" s="280"/>
      <c r="L16" s="281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198"/>
      <c r="J17" s="197"/>
      <c r="K17" s="280"/>
      <c r="L17" s="281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199"/>
      <c r="J18" s="200"/>
      <c r="K18" s="282"/>
      <c r="L18" s="283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83</v>
      </c>
      <c r="J19" s="38"/>
      <c r="K19" s="282">
        <f>SUM(K5:K18)</f>
        <v>13551.890000000001</v>
      </c>
      <c r="L19" s="283"/>
      <c r="M19" s="1"/>
      <c r="N19" s="1"/>
      <c r="R19" s="3"/>
    </row>
    <row r="20" spans="1:18" ht="16.5" thickBot="1">
      <c r="A20" s="1"/>
      <c r="B20" s="69">
        <f>SUM(B6:B19)</f>
        <v>269</v>
      </c>
      <c r="C20" s="35" t="s">
        <v>66</v>
      </c>
      <c r="D20" s="69">
        <f>SUM(D6:D19)</f>
        <v>0</v>
      </c>
      <c r="E20" s="69">
        <f>SUM(E6:E19)</f>
        <v>0</v>
      </c>
      <c r="F20" s="69">
        <f>SUM(F6:F19)</f>
        <v>0</v>
      </c>
      <c r="G20" s="35" t="s">
        <v>66</v>
      </c>
      <c r="H20" s="1"/>
      <c r="I20" s="175" t="s">
        <v>116</v>
      </c>
      <c r="L20" s="178">
        <f>K19-K10-K12</f>
        <v>6659.7700000000023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71" t="str">
        <f>'2018'!A21</f>
        <v>Waterloo</v>
      </c>
      <c r="C22" s="272"/>
      <c r="D22" s="272"/>
      <c r="E22" s="272"/>
      <c r="F22" s="272"/>
      <c r="G22" s="273"/>
      <c r="H22" s="1"/>
      <c r="I22" s="284" t="s">
        <v>6</v>
      </c>
      <c r="J22" s="272"/>
      <c r="K22" s="272"/>
      <c r="L22" s="273"/>
      <c r="M22" s="1"/>
      <c r="R22" s="3"/>
    </row>
    <row r="23" spans="1:18" ht="16.149999999999999" customHeight="1" thickBot="1">
      <c r="A23" s="1"/>
      <c r="B23" s="274"/>
      <c r="C23" s="275"/>
      <c r="D23" s="275"/>
      <c r="E23" s="275"/>
      <c r="F23" s="275"/>
      <c r="G23" s="276"/>
      <c r="H23" s="1"/>
      <c r="I23" s="274"/>
      <c r="J23" s="275"/>
      <c r="K23" s="275"/>
      <c r="L23" s="276"/>
      <c r="M23" s="1"/>
      <c r="R23" s="3"/>
    </row>
    <row r="24" spans="1:18" ht="15.75">
      <c r="A24" s="1"/>
      <c r="B24" s="279" t="s">
        <v>10</v>
      </c>
      <c r="C24" s="278"/>
      <c r="D24" s="277" t="s">
        <v>11</v>
      </c>
      <c r="E24" s="277"/>
      <c r="F24" s="277"/>
      <c r="G24" s="278"/>
      <c r="H24" s="1"/>
      <c r="I24" s="124" t="s">
        <v>33</v>
      </c>
      <c r="J24" s="33" t="s">
        <v>133</v>
      </c>
      <c r="K24" s="285" t="s">
        <v>134</v>
      </c>
      <c r="L24" s="286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68</v>
      </c>
      <c r="E25" s="66" t="s">
        <v>69</v>
      </c>
      <c r="F25" s="66" t="s">
        <v>32</v>
      </c>
      <c r="G25" s="73" t="s">
        <v>33</v>
      </c>
      <c r="H25" s="1"/>
      <c r="I25" s="189"/>
      <c r="J25" s="3"/>
      <c r="K25" s="287"/>
      <c r="L25" s="288"/>
      <c r="M25" s="1"/>
      <c r="R25" s="3"/>
    </row>
    <row r="26" spans="1:18" ht="15.75">
      <c r="A26" s="1"/>
      <c r="B26" s="67">
        <v>900</v>
      </c>
      <c r="C26" s="79" t="s">
        <v>42</v>
      </c>
      <c r="D26" s="70"/>
      <c r="E26" s="71"/>
      <c r="F26" s="71"/>
      <c r="G26" s="34" t="s">
        <v>42</v>
      </c>
      <c r="H26" s="1"/>
      <c r="I26" s="190"/>
      <c r="J26" s="36"/>
      <c r="K26" s="280"/>
      <c r="L26" s="281"/>
      <c r="M26" s="1"/>
      <c r="R26" s="3"/>
    </row>
    <row r="27" spans="1:18" ht="15.75">
      <c r="A27" s="1"/>
      <c r="B27" s="68">
        <v>170</v>
      </c>
      <c r="C27" s="79" t="s">
        <v>44</v>
      </c>
      <c r="D27" s="70"/>
      <c r="E27" s="71"/>
      <c r="F27" s="71"/>
      <c r="G27" s="34" t="s">
        <v>44</v>
      </c>
      <c r="H27" s="1"/>
      <c r="I27" s="190"/>
      <c r="J27" s="36"/>
      <c r="K27" s="280"/>
      <c r="L27" s="281"/>
      <c r="M27" s="1"/>
      <c r="R27" s="3"/>
    </row>
    <row r="28" spans="1:18" ht="15.75">
      <c r="A28" s="1"/>
      <c r="B28" s="68">
        <v>40</v>
      </c>
      <c r="C28" s="79" t="s">
        <v>45</v>
      </c>
      <c r="D28" s="70"/>
      <c r="E28" s="71"/>
      <c r="F28" s="71"/>
      <c r="G28" s="34" t="s">
        <v>45</v>
      </c>
      <c r="H28" s="1"/>
      <c r="I28" s="190"/>
      <c r="J28" s="36"/>
      <c r="K28" s="280"/>
      <c r="L28" s="281"/>
      <c r="M28" s="1"/>
      <c r="R28" s="3"/>
    </row>
    <row r="29" spans="1:18" ht="15.75">
      <c r="A29" s="1"/>
      <c r="B29" s="68">
        <v>18</v>
      </c>
      <c r="C29" s="79" t="s">
        <v>41</v>
      </c>
      <c r="D29" s="70"/>
      <c r="E29" s="71"/>
      <c r="F29" s="71"/>
      <c r="G29" s="34" t="s">
        <v>41</v>
      </c>
      <c r="H29" s="1"/>
      <c r="I29" s="190"/>
      <c r="J29" s="36"/>
      <c r="K29" s="280"/>
      <c r="L29" s="281"/>
      <c r="M29" s="1"/>
      <c r="R29" s="3"/>
    </row>
    <row r="30" spans="1:18" ht="15.75">
      <c r="A30" s="1"/>
      <c r="B30" s="68"/>
      <c r="C30" s="79"/>
      <c r="D30" s="70"/>
      <c r="E30" s="71"/>
      <c r="F30" s="71"/>
      <c r="G30" s="34"/>
      <c r="H30" s="1"/>
      <c r="I30" s="190"/>
      <c r="J30" s="36"/>
      <c r="K30" s="280"/>
      <c r="L30" s="281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90"/>
      <c r="J31" s="36"/>
      <c r="K31" s="280"/>
      <c r="L31" s="281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90"/>
      <c r="J32" s="36"/>
      <c r="K32" s="280"/>
      <c r="L32" s="281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90"/>
      <c r="J33" s="36"/>
      <c r="K33" s="280"/>
      <c r="L33" s="281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90"/>
      <c r="J34" s="36"/>
      <c r="K34" s="280"/>
      <c r="L34" s="281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90"/>
      <c r="J35" s="36"/>
      <c r="K35" s="280"/>
      <c r="L35" s="281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90"/>
      <c r="J36" s="36"/>
      <c r="K36" s="280"/>
      <c r="L36" s="281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90"/>
      <c r="J37" s="36"/>
      <c r="K37" s="280"/>
      <c r="L37" s="281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191"/>
      <c r="J38" s="38"/>
      <c r="K38" s="282"/>
      <c r="L38" s="283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1128</v>
      </c>
      <c r="C40" s="35" t="s">
        <v>66</v>
      </c>
      <c r="D40" s="69">
        <f>SUM(D26:D39)</f>
        <v>0</v>
      </c>
      <c r="E40" s="69">
        <f>SUM(E26:E39)</f>
        <v>0</v>
      </c>
      <c r="F40" s="69">
        <f>SUM(F26:F39)</f>
        <v>0</v>
      </c>
      <c r="G40" s="35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71" t="str">
        <f>'2018'!A22</f>
        <v>Comida+Limpieza</v>
      </c>
      <c r="C42" s="272"/>
      <c r="D42" s="272"/>
      <c r="E42" s="272"/>
      <c r="F42" s="272"/>
      <c r="G42" s="273"/>
      <c r="H42" s="1"/>
      <c r="M42" s="1"/>
      <c r="R42" s="3"/>
    </row>
    <row r="43" spans="1:18" ht="16.149999999999999" customHeight="1" thickBot="1">
      <c r="A43" s="1"/>
      <c r="B43" s="274"/>
      <c r="C43" s="275"/>
      <c r="D43" s="275"/>
      <c r="E43" s="275"/>
      <c r="F43" s="275"/>
      <c r="G43" s="276"/>
      <c r="H43" s="1"/>
      <c r="M43" s="1"/>
      <c r="R43" s="3"/>
    </row>
    <row r="44" spans="1:18" ht="15.75">
      <c r="A44" s="1"/>
      <c r="B44" s="279" t="s">
        <v>10</v>
      </c>
      <c r="C44" s="278"/>
      <c r="D44" s="277" t="s">
        <v>11</v>
      </c>
      <c r="E44" s="277"/>
      <c r="F44" s="277"/>
      <c r="G44" s="278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68</v>
      </c>
      <c r="E45" s="66" t="s">
        <v>69</v>
      </c>
      <c r="F45" s="66" t="s">
        <v>32</v>
      </c>
      <c r="G45" s="73" t="s">
        <v>394</v>
      </c>
      <c r="H45" s="1"/>
      <c r="M45" s="1"/>
      <c r="R45" s="3"/>
    </row>
    <row r="46" spans="1:18" ht="15.75">
      <c r="A46" s="1"/>
      <c r="B46" s="67">
        <v>482</v>
      </c>
      <c r="C46" s="37"/>
      <c r="D46" s="70"/>
      <c r="E46" s="71"/>
      <c r="F46" s="71"/>
      <c r="G46" s="90"/>
      <c r="H46" s="1"/>
      <c r="M46" s="1"/>
      <c r="R46" s="3"/>
    </row>
    <row r="47" spans="1:18" ht="15.75">
      <c r="A47" s="1"/>
      <c r="B47" s="68">
        <v>28</v>
      </c>
      <c r="C47" s="34" t="s">
        <v>110</v>
      </c>
      <c r="D47" s="70"/>
      <c r="E47" s="71"/>
      <c r="F47" s="71"/>
      <c r="G47" s="34"/>
      <c r="H47" s="1"/>
      <c r="M47" s="1"/>
      <c r="R47" s="3"/>
    </row>
    <row r="48" spans="1:18" ht="15.75">
      <c r="A48" s="1"/>
      <c r="B48" s="68"/>
      <c r="C48" s="34"/>
      <c r="D48" s="70"/>
      <c r="E48" s="71"/>
      <c r="F48" s="71"/>
      <c r="G48" s="34"/>
      <c r="H48" s="1"/>
      <c r="M48" s="1"/>
      <c r="R48" s="3"/>
    </row>
    <row r="49" spans="1:18" ht="15.75">
      <c r="A49" s="1"/>
      <c r="B49" s="68"/>
      <c r="C49" s="34"/>
      <c r="D49" s="70"/>
      <c r="E49" s="71"/>
      <c r="F49" s="71"/>
      <c r="G49" s="34"/>
      <c r="H49" s="1"/>
      <c r="M49" s="1"/>
      <c r="R49" s="3"/>
    </row>
    <row r="50" spans="1:18" ht="15.75">
      <c r="A50" s="1"/>
      <c r="B50" s="68"/>
      <c r="C50" s="34"/>
      <c r="D50" s="70"/>
      <c r="E50" s="71"/>
      <c r="F50" s="71"/>
      <c r="G50" s="34"/>
      <c r="H50" s="1"/>
      <c r="M50" s="1"/>
      <c r="R50" s="3"/>
    </row>
    <row r="51" spans="1:18" ht="15.75">
      <c r="A51" s="1"/>
      <c r="B51" s="68"/>
      <c r="C51" s="34"/>
      <c r="D51" s="70"/>
      <c r="E51" s="71"/>
      <c r="F51" s="71"/>
      <c r="G51" s="34"/>
      <c r="H51" s="1"/>
      <c r="M51" s="1"/>
      <c r="R51" s="3"/>
    </row>
    <row r="52" spans="1:18" ht="15.75">
      <c r="A52" s="1"/>
      <c r="B52" s="68"/>
      <c r="C52" s="34"/>
      <c r="D52" s="70"/>
      <c r="E52" s="71"/>
      <c r="F52" s="71"/>
      <c r="G52" s="34"/>
      <c r="H52" s="1"/>
      <c r="M52" s="1"/>
      <c r="R52" s="3"/>
    </row>
    <row r="53" spans="1:18" ht="15.75">
      <c r="A53" s="1"/>
      <c r="B53" s="68"/>
      <c r="C53" s="34"/>
      <c r="D53" s="70"/>
      <c r="E53" s="71"/>
      <c r="F53" s="71"/>
      <c r="G53" s="34"/>
      <c r="H53" s="1"/>
      <c r="M53" s="1"/>
      <c r="R53" s="3"/>
    </row>
    <row r="54" spans="1:18" ht="15.75">
      <c r="A54" s="1"/>
      <c r="B54" s="68"/>
      <c r="C54" s="34"/>
      <c r="D54" s="70"/>
      <c r="E54" s="71"/>
      <c r="F54" s="71"/>
      <c r="G54" s="34"/>
      <c r="H54" s="1"/>
      <c r="M54" s="1"/>
      <c r="R54" s="3"/>
    </row>
    <row r="55" spans="1:18" ht="15.75">
      <c r="A55" s="1"/>
      <c r="B55" s="68"/>
      <c r="C55" s="34"/>
      <c r="D55" s="70"/>
      <c r="E55" s="71"/>
      <c r="F55" s="71"/>
      <c r="G55" s="34"/>
      <c r="H55" s="1"/>
      <c r="M55" s="1"/>
      <c r="R55" s="3"/>
    </row>
    <row r="56" spans="1:18" ht="15.75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/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510</v>
      </c>
      <c r="C60" s="35" t="s">
        <v>66</v>
      </c>
      <c r="D60" s="69">
        <f>SUM(D46:D59)</f>
        <v>0</v>
      </c>
      <c r="E60" s="69">
        <f>SUM(E46:E59)</f>
        <v>0</v>
      </c>
      <c r="F60" s="69">
        <f>SUM(F46:F59)</f>
        <v>0</v>
      </c>
      <c r="G60" s="35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71" t="str">
        <f>'2018'!A23</f>
        <v>Ocio</v>
      </c>
      <c r="C62" s="272"/>
      <c r="D62" s="272"/>
      <c r="E62" s="272"/>
      <c r="F62" s="272"/>
      <c r="G62" s="273"/>
      <c r="H62" s="1"/>
      <c r="M62" s="1"/>
      <c r="R62" s="3"/>
    </row>
    <row r="63" spans="1:18" ht="16.149999999999999" customHeight="1" thickBot="1">
      <c r="A63" s="1"/>
      <c r="B63" s="274"/>
      <c r="C63" s="275"/>
      <c r="D63" s="275"/>
      <c r="E63" s="275"/>
      <c r="F63" s="275"/>
      <c r="G63" s="276"/>
      <c r="H63" s="1"/>
      <c r="M63" s="1"/>
      <c r="R63" s="3"/>
    </row>
    <row r="64" spans="1:18" ht="15.75">
      <c r="A64" s="1"/>
      <c r="B64" s="279" t="s">
        <v>10</v>
      </c>
      <c r="C64" s="278"/>
      <c r="D64" s="277" t="s">
        <v>11</v>
      </c>
      <c r="E64" s="277"/>
      <c r="F64" s="277"/>
      <c r="G64" s="278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68</v>
      </c>
      <c r="E65" s="66" t="s">
        <v>69</v>
      </c>
      <c r="F65" s="66" t="s">
        <v>32</v>
      </c>
      <c r="G65" s="73" t="s">
        <v>394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/>
      <c r="E66" s="71"/>
      <c r="F66" s="71"/>
      <c r="G66" s="37"/>
      <c r="H66" s="1"/>
      <c r="M66" s="1"/>
      <c r="R66" s="3"/>
    </row>
    <row r="67" spans="1:18" ht="15.75">
      <c r="A67" s="1"/>
      <c r="B67" s="68"/>
      <c r="C67" s="34"/>
      <c r="D67" s="70"/>
      <c r="E67" s="71"/>
      <c r="F67" s="71"/>
      <c r="G67" s="91"/>
      <c r="H67" s="1"/>
      <c r="M67" s="1"/>
      <c r="R67" s="3"/>
    </row>
    <row r="68" spans="1:18" ht="15.75">
      <c r="A68" s="1"/>
      <c r="B68" s="68"/>
      <c r="C68" s="34"/>
      <c r="D68" s="70"/>
      <c r="E68" s="71"/>
      <c r="F68" s="71"/>
      <c r="G68" s="34"/>
      <c r="H68" s="1"/>
      <c r="M68" s="1"/>
      <c r="R68" s="3"/>
    </row>
    <row r="69" spans="1:18" ht="15.75">
      <c r="A69" s="1"/>
      <c r="B69" s="68"/>
      <c r="C69" s="34"/>
      <c r="D69" s="70"/>
      <c r="E69" s="71"/>
      <c r="F69" s="71"/>
      <c r="G69" s="34"/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/>
      <c r="G70" s="34"/>
      <c r="H70" s="1"/>
      <c r="M70" s="1"/>
      <c r="R70" s="3"/>
    </row>
    <row r="71" spans="1:18" ht="15.75">
      <c r="A71" s="1"/>
      <c r="B71" s="68"/>
      <c r="C71" s="34"/>
      <c r="D71" s="70"/>
      <c r="E71" s="71"/>
      <c r="F71" s="71"/>
      <c r="G71" s="34"/>
      <c r="H71" s="1"/>
      <c r="M71" s="1"/>
      <c r="R71" s="3"/>
    </row>
    <row r="72" spans="1:18" ht="15.75">
      <c r="A72" s="1"/>
      <c r="B72" s="68"/>
      <c r="C72" s="34"/>
      <c r="D72" s="70"/>
      <c r="E72" s="71"/>
      <c r="F72" s="71"/>
      <c r="G72" s="34"/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150</v>
      </c>
      <c r="C80" s="35" t="s">
        <v>66</v>
      </c>
      <c r="D80" s="69">
        <f>SUM(D66:D79)</f>
        <v>0</v>
      </c>
      <c r="E80" s="69">
        <f>SUM(E66:E79)</f>
        <v>0</v>
      </c>
      <c r="F80" s="69">
        <f>SUM(F66:F79)</f>
        <v>0</v>
      </c>
      <c r="G80" s="35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71" t="str">
        <f>'2018'!A24</f>
        <v>Transportes</v>
      </c>
      <c r="C82" s="272"/>
      <c r="D82" s="272"/>
      <c r="E82" s="272"/>
      <c r="F82" s="272"/>
      <c r="G82" s="273"/>
      <c r="H82" s="1"/>
      <c r="M82" s="1"/>
      <c r="R82" s="3"/>
    </row>
    <row r="83" spans="1:18" ht="16.149999999999999" customHeight="1" thickBot="1">
      <c r="A83" s="1"/>
      <c r="B83" s="274"/>
      <c r="C83" s="275"/>
      <c r="D83" s="275"/>
      <c r="E83" s="275"/>
      <c r="F83" s="275"/>
      <c r="G83" s="276"/>
      <c r="H83" s="1"/>
      <c r="M83" s="1"/>
      <c r="R83" s="3"/>
    </row>
    <row r="84" spans="1:18" ht="15.75">
      <c r="A84" s="1"/>
      <c r="B84" s="279" t="s">
        <v>10</v>
      </c>
      <c r="C84" s="278"/>
      <c r="D84" s="277" t="s">
        <v>11</v>
      </c>
      <c r="E84" s="277"/>
      <c r="F84" s="277"/>
      <c r="G84" s="278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68</v>
      </c>
      <c r="E85" s="66" t="s">
        <v>69</v>
      </c>
      <c r="F85" s="66" t="s">
        <v>32</v>
      </c>
      <c r="G85" s="73" t="s">
        <v>394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/>
      <c r="E86" s="71"/>
      <c r="F86" s="71"/>
      <c r="G86" s="34"/>
      <c r="H86" s="1"/>
      <c r="M86" s="1"/>
      <c r="R86" s="3"/>
    </row>
    <row r="87" spans="1:18" ht="15.75">
      <c r="A87" s="1"/>
      <c r="B87" s="68"/>
      <c r="C87" s="34"/>
      <c r="D87" s="70"/>
      <c r="E87" s="71"/>
      <c r="F87" s="71"/>
      <c r="G87" s="34"/>
      <c r="H87" s="1"/>
      <c r="M87" s="1"/>
      <c r="R87" s="3"/>
    </row>
    <row r="88" spans="1:18" ht="15.75">
      <c r="A88" s="1"/>
      <c r="B88" s="68"/>
      <c r="C88" s="34"/>
      <c r="D88" s="70"/>
      <c r="E88" s="71"/>
      <c r="F88" s="71"/>
      <c r="G88" s="34"/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/>
      <c r="H89" s="1"/>
      <c r="M89" s="1"/>
      <c r="R89" s="3"/>
    </row>
    <row r="90" spans="1:18" ht="15.75">
      <c r="A90" s="1"/>
      <c r="B90" s="68"/>
      <c r="C90" s="34"/>
      <c r="D90" s="70"/>
      <c r="E90" s="71"/>
      <c r="F90" s="71"/>
      <c r="G90" s="34"/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66</v>
      </c>
      <c r="D100" s="69">
        <f>SUM(D86:D99)</f>
        <v>0</v>
      </c>
      <c r="E100" s="69">
        <f>SUM(E86:E99)</f>
        <v>0</v>
      </c>
      <c r="F100" s="69">
        <f>SUM(F86:F99)</f>
        <v>0</v>
      </c>
      <c r="G100" s="35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71" t="str">
        <f>'2018'!A25</f>
        <v>Coche</v>
      </c>
      <c r="C102" s="272"/>
      <c r="D102" s="272"/>
      <c r="E102" s="272"/>
      <c r="F102" s="272"/>
      <c r="G102" s="273"/>
      <c r="H102" s="1"/>
      <c r="M102" s="1"/>
      <c r="R102" s="3"/>
    </row>
    <row r="103" spans="1:18" ht="16.149999999999999" customHeight="1" thickBot="1">
      <c r="A103" s="1"/>
      <c r="B103" s="274"/>
      <c r="C103" s="275"/>
      <c r="D103" s="275"/>
      <c r="E103" s="275"/>
      <c r="F103" s="275"/>
      <c r="G103" s="276"/>
      <c r="H103" s="1"/>
      <c r="M103" s="1"/>
      <c r="R103" s="3"/>
    </row>
    <row r="104" spans="1:18" ht="15.75">
      <c r="A104" s="1"/>
      <c r="B104" s="279" t="s">
        <v>10</v>
      </c>
      <c r="C104" s="278"/>
      <c r="D104" s="277" t="s">
        <v>11</v>
      </c>
      <c r="E104" s="277"/>
      <c r="F104" s="277"/>
      <c r="G104" s="278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68</v>
      </c>
      <c r="E105" s="66" t="s">
        <v>69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67">
        <v>260</v>
      </c>
      <c r="C106" s="36" t="s">
        <v>55</v>
      </c>
      <c r="D106" s="70"/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68">
        <v>71</v>
      </c>
      <c r="C107" s="36" t="s">
        <v>56</v>
      </c>
      <c r="D107" s="70"/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68">
        <v>69</v>
      </c>
      <c r="C108" s="36" t="s">
        <v>46</v>
      </c>
      <c r="D108" s="70"/>
      <c r="E108" s="71"/>
      <c r="F108" s="71"/>
      <c r="G108" s="94" t="s">
        <v>88</v>
      </c>
      <c r="H108" s="1"/>
      <c r="M108" s="1"/>
      <c r="R108" s="3"/>
    </row>
    <row r="109" spans="1:18" ht="15.75">
      <c r="A109" s="1"/>
      <c r="B109" s="68"/>
      <c r="C109" s="36"/>
      <c r="D109" s="70"/>
      <c r="E109" s="71"/>
      <c r="F109" s="71"/>
      <c r="G109" s="91"/>
      <c r="H109" s="1"/>
      <c r="M109" s="1"/>
      <c r="R109" s="3"/>
    </row>
    <row r="110" spans="1:18" ht="15.75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68"/>
      <c r="C111" s="79"/>
      <c r="D111" s="70"/>
      <c r="E111" s="71"/>
      <c r="F111" s="71"/>
      <c r="G111" s="94"/>
      <c r="H111" s="1"/>
      <c r="M111" s="1"/>
      <c r="R111" s="3"/>
    </row>
    <row r="112" spans="1:18" ht="15.75">
      <c r="A112" s="1"/>
      <c r="B112" s="68"/>
      <c r="C112" s="92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68"/>
      <c r="C113" s="93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68"/>
      <c r="C114" s="92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66</v>
      </c>
      <c r="D120" s="69">
        <f>SUM(D106:D119)</f>
        <v>0</v>
      </c>
      <c r="E120" s="69">
        <f>SUM(E106:E119)</f>
        <v>0</v>
      </c>
      <c r="F120" s="69">
        <f>SUM(F106:F119)</f>
        <v>0</v>
      </c>
      <c r="G120" s="35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71" t="str">
        <f>'2018'!A26</f>
        <v>Teléfono</v>
      </c>
      <c r="C122" s="272"/>
      <c r="D122" s="272"/>
      <c r="E122" s="272"/>
      <c r="F122" s="272"/>
      <c r="G122" s="273"/>
      <c r="H122" s="1"/>
      <c r="M122" s="1"/>
      <c r="R122" s="3"/>
    </row>
    <row r="123" spans="1:18" ht="16.149999999999999" customHeight="1" thickBot="1">
      <c r="A123" s="1"/>
      <c r="B123" s="274"/>
      <c r="C123" s="275"/>
      <c r="D123" s="275"/>
      <c r="E123" s="275"/>
      <c r="F123" s="275"/>
      <c r="G123" s="276"/>
      <c r="H123" s="1"/>
      <c r="M123" s="1"/>
      <c r="R123" s="3"/>
    </row>
    <row r="124" spans="1:18" ht="15.75">
      <c r="A124" s="1"/>
      <c r="B124" s="279" t="s">
        <v>10</v>
      </c>
      <c r="C124" s="278"/>
      <c r="D124" s="277" t="s">
        <v>11</v>
      </c>
      <c r="E124" s="277"/>
      <c r="F124" s="277"/>
      <c r="G124" s="278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68</v>
      </c>
      <c r="E125" s="66" t="s">
        <v>69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/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v>12.5</v>
      </c>
      <c r="C127" s="34" t="s">
        <v>58</v>
      </c>
      <c r="D127" s="70"/>
      <c r="E127" s="71"/>
      <c r="F127" s="71"/>
      <c r="G127" s="34" t="s">
        <v>199</v>
      </c>
      <c r="H127" s="1"/>
      <c r="M127" s="1"/>
      <c r="R127" s="3"/>
    </row>
    <row r="128" spans="1:18" ht="15.75">
      <c r="A128" s="1"/>
      <c r="B128" s="68">
        <v>8</v>
      </c>
      <c r="C128" s="34" t="s">
        <v>338</v>
      </c>
      <c r="D128" s="70"/>
      <c r="E128" s="71"/>
      <c r="F128" s="71"/>
      <c r="G128" s="34" t="s">
        <v>220</v>
      </c>
      <c r="H128" s="1"/>
      <c r="M128" s="1"/>
      <c r="R128" s="3"/>
    </row>
    <row r="129" spans="1:18" ht="15.75">
      <c r="A129" s="1"/>
      <c r="B129" s="68"/>
      <c r="C129" s="34"/>
      <c r="D129" s="70"/>
      <c r="E129" s="71"/>
      <c r="F129" s="71"/>
      <c r="G129" s="34" t="s">
        <v>338</v>
      </c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48</v>
      </c>
      <c r="C140" s="35" t="s">
        <v>66</v>
      </c>
      <c r="D140" s="69">
        <f>SUM(D126:D139)</f>
        <v>0</v>
      </c>
      <c r="E140" s="69">
        <f>SUM(E126:E139)</f>
        <v>0</v>
      </c>
      <c r="F140" s="69">
        <f>SUM(F126:F139)</f>
        <v>0</v>
      </c>
      <c r="G140" s="35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71" t="str">
        <f>'2018'!A27</f>
        <v>Gatos</v>
      </c>
      <c r="C142" s="272"/>
      <c r="D142" s="272"/>
      <c r="E142" s="272"/>
      <c r="F142" s="272"/>
      <c r="G142" s="273"/>
      <c r="H142" s="1"/>
      <c r="M142" s="1"/>
      <c r="R142" s="3"/>
    </row>
    <row r="143" spans="1:18" ht="16.149999999999999" customHeight="1" thickBot="1">
      <c r="A143" s="1"/>
      <c r="B143" s="274"/>
      <c r="C143" s="275"/>
      <c r="D143" s="275"/>
      <c r="E143" s="275"/>
      <c r="F143" s="275"/>
      <c r="G143" s="276"/>
      <c r="H143" s="1"/>
      <c r="M143" s="1"/>
      <c r="R143" s="3"/>
    </row>
    <row r="144" spans="1:18" ht="15.75">
      <c r="A144" s="1"/>
      <c r="B144" s="279" t="s">
        <v>10</v>
      </c>
      <c r="C144" s="278"/>
      <c r="D144" s="277" t="s">
        <v>11</v>
      </c>
      <c r="E144" s="277"/>
      <c r="F144" s="277"/>
      <c r="G144" s="278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68</v>
      </c>
      <c r="E145" s="66" t="s">
        <v>69</v>
      </c>
      <c r="F145" s="66" t="s">
        <v>32</v>
      </c>
      <c r="G145" s="73" t="s">
        <v>394</v>
      </c>
      <c r="H145" s="1"/>
      <c r="M145" s="1"/>
      <c r="R145" s="3"/>
    </row>
    <row r="146" spans="1:22" ht="15.75">
      <c r="A146" s="1"/>
      <c r="B146" s="67">
        <v>50</v>
      </c>
      <c r="C146" s="37" t="s">
        <v>43</v>
      </c>
      <c r="D146" s="70"/>
      <c r="E146" s="71"/>
      <c r="F146" s="71"/>
      <c r="G146" s="34"/>
      <c r="H146" s="1"/>
      <c r="M146" s="1"/>
      <c r="R146" s="3"/>
    </row>
    <row r="147" spans="1:22" ht="15.75">
      <c r="A147" s="1"/>
      <c r="B147" s="68"/>
      <c r="C147" s="34"/>
      <c r="D147" s="70"/>
      <c r="E147" s="71"/>
      <c r="F147" s="71"/>
      <c r="G147" s="34"/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/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50</v>
      </c>
      <c r="C160" s="35" t="s">
        <v>66</v>
      </c>
      <c r="D160" s="69">
        <f>SUM(D146:D159)</f>
        <v>0</v>
      </c>
      <c r="E160" s="69">
        <f>SUM(E146:E159)</f>
        <v>0</v>
      </c>
      <c r="F160" s="69">
        <f>SUM(F146:F159)</f>
        <v>0</v>
      </c>
      <c r="G160" s="35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71" t="str">
        <f>'2018'!A28</f>
        <v>Vacaciones</v>
      </c>
      <c r="C162" s="272"/>
      <c r="D162" s="272"/>
      <c r="E162" s="272"/>
      <c r="F162" s="272"/>
      <c r="G162" s="273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74"/>
      <c r="C163" s="275"/>
      <c r="D163" s="275"/>
      <c r="E163" s="275"/>
      <c r="F163" s="275"/>
      <c r="G163" s="27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79" t="s">
        <v>10</v>
      </c>
      <c r="C164" s="278"/>
      <c r="D164" s="277" t="s">
        <v>11</v>
      </c>
      <c r="E164" s="277"/>
      <c r="F164" s="277"/>
      <c r="G164" s="27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68</v>
      </c>
      <c r="E165" s="66" t="s">
        <v>69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/>
      <c r="E166" s="71"/>
      <c r="F166" s="71"/>
      <c r="G166" s="34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/>
      <c r="C167" s="34"/>
      <c r="D167" s="70"/>
      <c r="E167" s="71"/>
      <c r="F167" s="71"/>
      <c r="G167" s="3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/>
      <c r="G168" s="3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200</v>
      </c>
      <c r="C180" s="35" t="s">
        <v>66</v>
      </c>
      <c r="D180" s="69">
        <f>SUM(D166:D179)</f>
        <v>0</v>
      </c>
      <c r="E180" s="69">
        <f>SUM(E166:E179)</f>
        <v>0</v>
      </c>
      <c r="F180" s="69">
        <f>SUM(F166:F179)</f>
        <v>0</v>
      </c>
      <c r="G180" s="35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71" t="str">
        <f>'2018'!A29</f>
        <v>Ropa</v>
      </c>
      <c r="C182" s="272"/>
      <c r="D182" s="272"/>
      <c r="E182" s="272"/>
      <c r="F182" s="272"/>
      <c r="G182" s="273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74"/>
      <c r="C183" s="275"/>
      <c r="D183" s="275"/>
      <c r="E183" s="275"/>
      <c r="F183" s="275"/>
      <c r="G183" s="27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79" t="s">
        <v>10</v>
      </c>
      <c r="C184" s="278"/>
      <c r="D184" s="277" t="s">
        <v>11</v>
      </c>
      <c r="E184" s="277"/>
      <c r="F184" s="277"/>
      <c r="G184" s="27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68</v>
      </c>
      <c r="E185" s="66" t="s">
        <v>69</v>
      </c>
      <c r="F185" s="66" t="s">
        <v>32</v>
      </c>
      <c r="G185" s="73" t="s">
        <v>394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60</v>
      </c>
      <c r="C186" s="37" t="s">
        <v>43</v>
      </c>
      <c r="D186" s="70"/>
      <c r="E186" s="71"/>
      <c r="F186" s="71"/>
      <c r="G186" s="34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/>
      <c r="E187" s="71"/>
      <c r="F187" s="71"/>
      <c r="G187" s="34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/>
      <c r="E188" s="71"/>
      <c r="F188" s="71"/>
      <c r="G188" s="34"/>
    </row>
    <row r="189" spans="1:22">
      <c r="B189" s="68"/>
      <c r="C189" s="34"/>
      <c r="D189" s="70"/>
      <c r="E189" s="71"/>
      <c r="F189" s="71"/>
      <c r="G189" s="34"/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60</v>
      </c>
      <c r="C200" s="35" t="s">
        <v>66</v>
      </c>
      <c r="D200" s="69">
        <f>SUM(D186:D199)</f>
        <v>0</v>
      </c>
      <c r="E200" s="69">
        <f>SUM(E186:E199)</f>
        <v>0</v>
      </c>
      <c r="F200" s="69">
        <f>SUM(F186:F199)</f>
        <v>0</v>
      </c>
      <c r="G200" s="35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71" t="str">
        <f>'2018'!A30</f>
        <v>Belleza</v>
      </c>
      <c r="C202" s="272"/>
      <c r="D202" s="272"/>
      <c r="E202" s="272"/>
      <c r="F202" s="272"/>
      <c r="G202" s="273"/>
    </row>
    <row r="203" spans="2:7" ht="15" customHeight="1" thickBot="1">
      <c r="B203" s="274"/>
      <c r="C203" s="275"/>
      <c r="D203" s="275"/>
      <c r="E203" s="275"/>
      <c r="F203" s="275"/>
      <c r="G203" s="276"/>
    </row>
    <row r="204" spans="2:7">
      <c r="B204" s="279" t="s">
        <v>10</v>
      </c>
      <c r="C204" s="278"/>
      <c r="D204" s="277" t="s">
        <v>11</v>
      </c>
      <c r="E204" s="277"/>
      <c r="F204" s="277"/>
      <c r="G204" s="278"/>
    </row>
    <row r="205" spans="2:7">
      <c r="B205" s="65" t="s">
        <v>32</v>
      </c>
      <c r="C205" s="73" t="s">
        <v>33</v>
      </c>
      <c r="D205" s="65" t="s">
        <v>68</v>
      </c>
      <c r="E205" s="66" t="s">
        <v>69</v>
      </c>
      <c r="F205" s="66" t="s">
        <v>32</v>
      </c>
      <c r="G205" s="73" t="s">
        <v>394</v>
      </c>
    </row>
    <row r="206" spans="2:7">
      <c r="B206" s="67">
        <v>35</v>
      </c>
      <c r="C206" s="37"/>
      <c r="D206" s="70"/>
      <c r="E206" s="71"/>
      <c r="F206" s="71"/>
      <c r="G206" s="34"/>
    </row>
    <row r="207" spans="2:7">
      <c r="B207" s="68"/>
      <c r="C207" s="34"/>
      <c r="D207" s="70"/>
      <c r="E207" s="71"/>
      <c r="F207" s="71"/>
      <c r="G207" s="34"/>
    </row>
    <row r="208" spans="2:7">
      <c r="B208" s="68"/>
      <c r="C208" s="34"/>
      <c r="D208" s="70"/>
      <c r="E208" s="71"/>
      <c r="F208" s="71"/>
      <c r="G208" s="34"/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66</v>
      </c>
      <c r="D220" s="69">
        <f>SUM(D206:D219)</f>
        <v>0</v>
      </c>
      <c r="E220" s="69">
        <f>SUM(E206:E219)</f>
        <v>0</v>
      </c>
      <c r="F220" s="69">
        <f>SUM(F206:F219)</f>
        <v>0</v>
      </c>
      <c r="G220" s="35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71" t="str">
        <f>'2018'!A31</f>
        <v>Deportes</v>
      </c>
      <c r="C222" s="272"/>
      <c r="D222" s="272"/>
      <c r="E222" s="272"/>
      <c r="F222" s="272"/>
      <c r="G222" s="273"/>
    </row>
    <row r="223" spans="2:7" ht="15" customHeight="1" thickBot="1">
      <c r="B223" s="274"/>
      <c r="C223" s="275"/>
      <c r="D223" s="275"/>
      <c r="E223" s="275"/>
      <c r="F223" s="275"/>
      <c r="G223" s="276"/>
    </row>
    <row r="224" spans="2:7">
      <c r="B224" s="279" t="s">
        <v>10</v>
      </c>
      <c r="C224" s="278"/>
      <c r="D224" s="277" t="s">
        <v>11</v>
      </c>
      <c r="E224" s="277"/>
      <c r="F224" s="277"/>
      <c r="G224" s="278"/>
    </row>
    <row r="225" spans="2:7">
      <c r="B225" s="65" t="s">
        <v>32</v>
      </c>
      <c r="C225" s="73" t="s">
        <v>33</v>
      </c>
      <c r="D225" s="65" t="s">
        <v>68</v>
      </c>
      <c r="E225" s="66" t="s">
        <v>69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/>
      <c r="E226" s="71"/>
      <c r="F226" s="71"/>
      <c r="G226" s="71" t="s">
        <v>50</v>
      </c>
    </row>
    <row r="227" spans="2:7">
      <c r="B227" s="68"/>
      <c r="C227" s="34"/>
      <c r="D227" s="70"/>
      <c r="E227" s="71"/>
      <c r="F227" s="71"/>
      <c r="G227" s="34"/>
    </row>
    <row r="228" spans="2:7">
      <c r="B228" s="68">
        <v>5</v>
      </c>
      <c r="C228" s="34" t="s">
        <v>46</v>
      </c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25</v>
      </c>
      <c r="C240" s="35" t="s">
        <v>66</v>
      </c>
      <c r="D240" s="69">
        <f>SUM(D226:D239)</f>
        <v>0</v>
      </c>
      <c r="E240" s="69">
        <f>SUM(E226:E239)</f>
        <v>0</v>
      </c>
      <c r="F240" s="69">
        <f>SUM(F226:F239)</f>
        <v>0</v>
      </c>
      <c r="G240" s="35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71" t="str">
        <f>'2018'!A32</f>
        <v>Hogar</v>
      </c>
      <c r="C242" s="272"/>
      <c r="D242" s="272"/>
      <c r="E242" s="272"/>
      <c r="F242" s="272"/>
      <c r="G242" s="273"/>
    </row>
    <row r="243" spans="2:7" ht="15" customHeight="1" thickBot="1">
      <c r="B243" s="274"/>
      <c r="C243" s="275"/>
      <c r="D243" s="275"/>
      <c r="E243" s="275"/>
      <c r="F243" s="275"/>
      <c r="G243" s="276"/>
    </row>
    <row r="244" spans="2:7" ht="15" customHeight="1">
      <c r="B244" s="279" t="s">
        <v>10</v>
      </c>
      <c r="C244" s="278"/>
      <c r="D244" s="277" t="s">
        <v>11</v>
      </c>
      <c r="E244" s="277"/>
      <c r="F244" s="277"/>
      <c r="G244" s="278"/>
    </row>
    <row r="245" spans="2:7" ht="15" customHeight="1">
      <c r="B245" s="65" t="s">
        <v>32</v>
      </c>
      <c r="C245" s="73" t="s">
        <v>33</v>
      </c>
      <c r="D245" s="65" t="s">
        <v>68</v>
      </c>
      <c r="E245" s="66" t="s">
        <v>69</v>
      </c>
      <c r="F245" s="66" t="s">
        <v>32</v>
      </c>
      <c r="G245" s="73" t="s">
        <v>394</v>
      </c>
    </row>
    <row r="246" spans="2:7" ht="15" customHeight="1">
      <c r="B246" s="68">
        <v>80</v>
      </c>
      <c r="C246" s="79"/>
      <c r="D246" s="70"/>
      <c r="E246" s="71"/>
      <c r="F246" s="71"/>
      <c r="G246" s="34"/>
    </row>
    <row r="247" spans="2:7" ht="15" customHeight="1">
      <c r="B247" s="68"/>
      <c r="C247" s="34"/>
      <c r="D247" s="70"/>
      <c r="E247" s="71"/>
      <c r="F247" s="71"/>
      <c r="G247" s="34"/>
    </row>
    <row r="248" spans="2:7">
      <c r="B248" s="68"/>
      <c r="C248" s="34"/>
      <c r="D248" s="70"/>
      <c r="E248" s="71"/>
      <c r="F248" s="71"/>
      <c r="G248" s="34"/>
    </row>
    <row r="249" spans="2:7">
      <c r="B249" s="68"/>
      <c r="C249" s="34"/>
      <c r="D249" s="70"/>
      <c r="E249" s="71"/>
      <c r="F249" s="71"/>
      <c r="G249" s="34"/>
    </row>
    <row r="250" spans="2:7">
      <c r="B250" s="68"/>
      <c r="C250" s="34"/>
      <c r="D250" s="70"/>
      <c r="E250" s="71"/>
      <c r="F250" s="71"/>
      <c r="G250" s="34"/>
    </row>
    <row r="251" spans="2:7">
      <c r="B251" s="68"/>
      <c r="C251" s="34"/>
      <c r="D251" s="70"/>
      <c r="E251" s="71"/>
      <c r="F251" s="71"/>
      <c r="G251" s="34"/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80</v>
      </c>
      <c r="C260" s="35" t="s">
        <v>66</v>
      </c>
      <c r="D260" s="69">
        <f>SUM(D246:D259)</f>
        <v>0</v>
      </c>
      <c r="E260" s="69">
        <f>SUM(E246:E259)</f>
        <v>0</v>
      </c>
      <c r="F260" s="69">
        <f>SUM(F246:F259)</f>
        <v>0</v>
      </c>
      <c r="G260" s="35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71" t="str">
        <f>'2018'!A33</f>
        <v>Formación</v>
      </c>
      <c r="C262" s="272"/>
      <c r="D262" s="272"/>
      <c r="E262" s="272"/>
      <c r="F262" s="272"/>
      <c r="G262" s="273"/>
    </row>
    <row r="263" spans="2:7" ht="15" customHeight="1" thickBot="1">
      <c r="B263" s="274"/>
      <c r="C263" s="275"/>
      <c r="D263" s="275"/>
      <c r="E263" s="275"/>
      <c r="F263" s="275"/>
      <c r="G263" s="276"/>
    </row>
    <row r="264" spans="2:7">
      <c r="B264" s="279" t="s">
        <v>10</v>
      </c>
      <c r="C264" s="278"/>
      <c r="D264" s="277" t="s">
        <v>11</v>
      </c>
      <c r="E264" s="277"/>
      <c r="F264" s="277"/>
      <c r="G264" s="278"/>
    </row>
    <row r="265" spans="2:7">
      <c r="B265" s="65" t="s">
        <v>32</v>
      </c>
      <c r="C265" s="73" t="s">
        <v>33</v>
      </c>
      <c r="D265" s="65" t="s">
        <v>68</v>
      </c>
      <c r="E265" s="66" t="s">
        <v>69</v>
      </c>
      <c r="F265" s="66" t="s">
        <v>32</v>
      </c>
      <c r="G265" s="73" t="s">
        <v>33</v>
      </c>
    </row>
    <row r="266" spans="2:7">
      <c r="B266" s="67">
        <v>60</v>
      </c>
      <c r="C266" s="37"/>
      <c r="D266" s="70"/>
      <c r="E266" s="71"/>
      <c r="F266" s="71"/>
      <c r="G266" s="34"/>
    </row>
    <row r="267" spans="2:7">
      <c r="B267" s="68"/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7">
      <c r="B273" s="68"/>
      <c r="C273" s="34"/>
      <c r="D273" s="70"/>
      <c r="E273" s="71"/>
      <c r="F273" s="71"/>
      <c r="G273" s="34"/>
    </row>
    <row r="274" spans="2:7">
      <c r="B274" s="68"/>
      <c r="C274" s="34"/>
      <c r="D274" s="70"/>
      <c r="E274" s="71"/>
      <c r="F274" s="71"/>
      <c r="G274" s="34"/>
    </row>
    <row r="275" spans="2:7">
      <c r="B275" s="68"/>
      <c r="C275" s="34"/>
      <c r="D275" s="70"/>
      <c r="E275" s="71"/>
      <c r="F275" s="71"/>
      <c r="G275" s="34"/>
    </row>
    <row r="276" spans="2:7">
      <c r="B276" s="68"/>
      <c r="C276" s="34"/>
      <c r="D276" s="70"/>
      <c r="E276" s="71"/>
      <c r="F276" s="71"/>
      <c r="G276" s="34"/>
    </row>
    <row r="277" spans="2:7">
      <c r="B277" s="68"/>
      <c r="C277" s="34"/>
      <c r="D277" s="70"/>
      <c r="E277" s="71"/>
      <c r="F277" s="71"/>
      <c r="G277" s="34"/>
    </row>
    <row r="278" spans="2:7">
      <c r="B278" s="68"/>
      <c r="C278" s="34"/>
      <c r="D278" s="70"/>
      <c r="E278" s="71"/>
      <c r="F278" s="71"/>
      <c r="G278" s="34"/>
    </row>
    <row r="279" spans="2:7" ht="15.75" thickBot="1">
      <c r="B279" s="69"/>
      <c r="C279" s="35"/>
      <c r="D279" s="69"/>
      <c r="E279" s="72"/>
      <c r="F279" s="72"/>
      <c r="G279" s="35"/>
    </row>
    <row r="280" spans="2:7" ht="15.75" thickBot="1">
      <c r="B280" s="69">
        <f>SUM(B266:B279)</f>
        <v>60</v>
      </c>
      <c r="C280" s="35" t="s">
        <v>66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271" t="str">
        <f>'2018'!A34</f>
        <v>Regalos</v>
      </c>
      <c r="C282" s="272"/>
      <c r="D282" s="272"/>
      <c r="E282" s="272"/>
      <c r="F282" s="272"/>
      <c r="G282" s="273"/>
    </row>
    <row r="283" spans="2:7" ht="15" customHeight="1" thickBot="1">
      <c r="B283" s="274"/>
      <c r="C283" s="275"/>
      <c r="D283" s="275"/>
      <c r="E283" s="275"/>
      <c r="F283" s="275"/>
      <c r="G283" s="276"/>
    </row>
    <row r="284" spans="2:7">
      <c r="B284" s="279" t="s">
        <v>10</v>
      </c>
      <c r="C284" s="278"/>
      <c r="D284" s="277" t="s">
        <v>11</v>
      </c>
      <c r="E284" s="277"/>
      <c r="F284" s="277"/>
      <c r="G284" s="278"/>
    </row>
    <row r="285" spans="2:7">
      <c r="B285" s="65" t="s">
        <v>32</v>
      </c>
      <c r="C285" s="73" t="s">
        <v>33</v>
      </c>
      <c r="D285" s="65" t="s">
        <v>68</v>
      </c>
      <c r="E285" s="66" t="s">
        <v>69</v>
      </c>
      <c r="F285" s="66" t="s">
        <v>32</v>
      </c>
      <c r="G285" s="73" t="s">
        <v>394</v>
      </c>
    </row>
    <row r="286" spans="2:7">
      <c r="B286" s="67">
        <v>120</v>
      </c>
      <c r="C286" s="37" t="s">
        <v>36</v>
      </c>
      <c r="D286" s="70"/>
      <c r="E286" s="71"/>
      <c r="F286" s="71"/>
      <c r="G286" s="34"/>
    </row>
    <row r="287" spans="2:7">
      <c r="B287" s="68"/>
      <c r="C287" s="34"/>
      <c r="D287" s="70"/>
      <c r="E287" s="71"/>
      <c r="F287" s="71"/>
      <c r="G287" s="34"/>
    </row>
    <row r="288" spans="2:7">
      <c r="B288" s="68"/>
      <c r="C288" s="34"/>
      <c r="D288" s="70"/>
      <c r="E288" s="71"/>
      <c r="F288" s="71"/>
      <c r="G288" s="34"/>
    </row>
    <row r="289" spans="2:7">
      <c r="B289" s="68"/>
      <c r="C289" s="34"/>
      <c r="D289" s="70"/>
      <c r="E289" s="71"/>
      <c r="F289" s="71"/>
      <c r="G289" s="34"/>
    </row>
    <row r="290" spans="2:7">
      <c r="B290" s="68"/>
      <c r="C290" s="34"/>
      <c r="D290" s="70"/>
      <c r="E290" s="71"/>
      <c r="F290" s="71"/>
      <c r="G290" s="34"/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120</v>
      </c>
      <c r="C300" s="35" t="s">
        <v>66</v>
      </c>
      <c r="D300" s="69">
        <f>SUM(D286:D299)</f>
        <v>0</v>
      </c>
      <c r="E300" s="69">
        <f>SUM(E286:E299)</f>
        <v>0</v>
      </c>
      <c r="F300" s="69">
        <f>SUM(F286:F299)</f>
        <v>0</v>
      </c>
      <c r="G300" s="35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71" t="str">
        <f>'2018'!A35</f>
        <v>Salud</v>
      </c>
      <c r="C302" s="272"/>
      <c r="D302" s="272"/>
      <c r="E302" s="272"/>
      <c r="F302" s="272"/>
      <c r="G302" s="273"/>
    </row>
    <row r="303" spans="2:7" ht="15" customHeight="1" thickBot="1">
      <c r="B303" s="274"/>
      <c r="C303" s="275"/>
      <c r="D303" s="275"/>
      <c r="E303" s="275"/>
      <c r="F303" s="275"/>
      <c r="G303" s="276"/>
    </row>
    <row r="304" spans="2:7">
      <c r="B304" s="279" t="s">
        <v>10</v>
      </c>
      <c r="C304" s="278"/>
      <c r="D304" s="277" t="s">
        <v>11</v>
      </c>
      <c r="E304" s="277"/>
      <c r="F304" s="277"/>
      <c r="G304" s="278"/>
    </row>
    <row r="305" spans="2:7">
      <c r="B305" s="65" t="s">
        <v>32</v>
      </c>
      <c r="C305" s="73" t="s">
        <v>33</v>
      </c>
      <c r="D305" s="65" t="s">
        <v>68</v>
      </c>
      <c r="E305" s="66" t="s">
        <v>69</v>
      </c>
      <c r="F305" s="66" t="s">
        <v>32</v>
      </c>
      <c r="G305" s="73" t="s">
        <v>394</v>
      </c>
    </row>
    <row r="306" spans="2:7">
      <c r="B306" s="67">
        <v>100</v>
      </c>
      <c r="C306" s="37" t="s">
        <v>475</v>
      </c>
      <c r="D306" s="70"/>
      <c r="E306" s="71"/>
      <c r="F306" s="71"/>
      <c r="G306" s="34"/>
    </row>
    <row r="307" spans="2:7">
      <c r="B307" s="119"/>
      <c r="C307" s="79"/>
      <c r="D307" s="70"/>
      <c r="E307" s="71"/>
      <c r="F307" s="71"/>
      <c r="G307" s="34"/>
    </row>
    <row r="308" spans="2:7">
      <c r="B308" s="119"/>
      <c r="C308" s="79"/>
      <c r="D308" s="70"/>
      <c r="E308" s="71"/>
      <c r="F308" s="71"/>
      <c r="G308" s="34"/>
    </row>
    <row r="309" spans="2:7">
      <c r="B309" s="68"/>
      <c r="C309" s="34"/>
      <c r="D309" s="70"/>
      <c r="E309" s="71"/>
      <c r="F309" s="71"/>
      <c r="G309" s="34"/>
    </row>
    <row r="310" spans="2:7">
      <c r="B310" s="68"/>
      <c r="C310" s="34"/>
      <c r="D310" s="70"/>
      <c r="E310" s="71"/>
      <c r="F310" s="71"/>
      <c r="G310" s="34"/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66</v>
      </c>
      <c r="D320" s="69">
        <f>SUM(D306:D319)</f>
        <v>0</v>
      </c>
      <c r="E320" s="69">
        <f>SUM(E306:E319)</f>
        <v>0</v>
      </c>
      <c r="F320" s="69">
        <f>SUM(F306:F319)</f>
        <v>0</v>
      </c>
      <c r="G320" s="35" t="s">
        <v>66</v>
      </c>
    </row>
    <row r="321" spans="2:7" ht="15.75" thickBot="1"/>
    <row r="322" spans="2:7" ht="14.45" customHeight="1">
      <c r="B322" s="271" t="str">
        <f>'2018'!A36</f>
        <v>Martina</v>
      </c>
      <c r="C322" s="272"/>
      <c r="D322" s="272"/>
      <c r="E322" s="272"/>
      <c r="F322" s="272"/>
      <c r="G322" s="273"/>
    </row>
    <row r="323" spans="2:7" ht="15" customHeight="1" thickBot="1">
      <c r="B323" s="274"/>
      <c r="C323" s="275"/>
      <c r="D323" s="275"/>
      <c r="E323" s="275"/>
      <c r="F323" s="275"/>
      <c r="G323" s="276"/>
    </row>
    <row r="324" spans="2:7">
      <c r="B324" s="279" t="s">
        <v>10</v>
      </c>
      <c r="C324" s="278"/>
      <c r="D324" s="277" t="s">
        <v>11</v>
      </c>
      <c r="E324" s="277"/>
      <c r="F324" s="277"/>
      <c r="G324" s="278"/>
    </row>
    <row r="325" spans="2:7">
      <c r="B325" s="65" t="s">
        <v>32</v>
      </c>
      <c r="C325" s="73" t="s">
        <v>33</v>
      </c>
      <c r="D325" s="65" t="s">
        <v>68</v>
      </c>
      <c r="E325" s="66" t="s">
        <v>69</v>
      </c>
      <c r="F325" s="66" t="s">
        <v>32</v>
      </c>
      <c r="G325" s="73" t="s">
        <v>394</v>
      </c>
    </row>
    <row r="326" spans="2:7">
      <c r="B326" s="67">
        <v>70</v>
      </c>
      <c r="C326" s="37"/>
      <c r="D326" s="70"/>
      <c r="E326" s="71"/>
      <c r="F326" s="71"/>
      <c r="G326" s="34"/>
    </row>
    <row r="327" spans="2:7">
      <c r="B327" s="68">
        <v>0.02</v>
      </c>
      <c r="C327" s="34"/>
      <c r="D327" s="70"/>
      <c r="E327" s="71"/>
      <c r="F327" s="71"/>
      <c r="G327" s="34"/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70.02</v>
      </c>
      <c r="C340" s="35" t="s">
        <v>66</v>
      </c>
      <c r="D340" s="69">
        <f>SUM(D326:D339)</f>
        <v>0</v>
      </c>
      <c r="E340" s="69">
        <f>SUM(E326:E339)</f>
        <v>0</v>
      </c>
      <c r="F340" s="69">
        <f>SUM(F326:F339)</f>
        <v>0</v>
      </c>
      <c r="G340" s="35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71" t="str">
        <f>'2018'!A37</f>
        <v>Impuestos</v>
      </c>
      <c r="C342" s="272"/>
      <c r="D342" s="272"/>
      <c r="E342" s="272"/>
      <c r="F342" s="272"/>
      <c r="G342" s="273"/>
    </row>
    <row r="343" spans="2:7" ht="15" customHeight="1" thickBot="1">
      <c r="B343" s="274"/>
      <c r="C343" s="275"/>
      <c r="D343" s="275"/>
      <c r="E343" s="275"/>
      <c r="F343" s="275"/>
      <c r="G343" s="276"/>
    </row>
    <row r="344" spans="2:7">
      <c r="B344" s="279" t="s">
        <v>10</v>
      </c>
      <c r="C344" s="278"/>
      <c r="D344" s="277" t="s">
        <v>11</v>
      </c>
      <c r="E344" s="277"/>
      <c r="F344" s="277"/>
      <c r="G344" s="278"/>
    </row>
    <row r="345" spans="2:7">
      <c r="B345" s="65" t="s">
        <v>32</v>
      </c>
      <c r="C345" s="73" t="s">
        <v>33</v>
      </c>
      <c r="D345" s="65" t="s">
        <v>68</v>
      </c>
      <c r="E345" s="66" t="s">
        <v>69</v>
      </c>
      <c r="F345" s="66" t="s">
        <v>32</v>
      </c>
      <c r="G345" s="73" t="s">
        <v>394</v>
      </c>
    </row>
    <row r="346" spans="2:7">
      <c r="B346" s="67">
        <v>30</v>
      </c>
      <c r="C346" s="37" t="s">
        <v>119</v>
      </c>
      <c r="D346" s="70"/>
      <c r="E346" s="71"/>
      <c r="F346" s="71"/>
      <c r="G346" s="34"/>
    </row>
    <row r="347" spans="2:7">
      <c r="B347" s="68">
        <v>20</v>
      </c>
      <c r="C347" s="34" t="s">
        <v>477</v>
      </c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50</v>
      </c>
      <c r="C360" s="35" t="s">
        <v>66</v>
      </c>
      <c r="D360" s="69">
        <f>SUM(D346:D359)</f>
        <v>0</v>
      </c>
      <c r="E360" s="69">
        <f>SUM(E346:E359)</f>
        <v>0</v>
      </c>
      <c r="F360" s="69">
        <f>SUM(F346:F359)</f>
        <v>0</v>
      </c>
      <c r="G360" s="35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71" t="str">
        <f>'2018'!A38</f>
        <v>Gastos Curros</v>
      </c>
      <c r="C362" s="272"/>
      <c r="D362" s="272"/>
      <c r="E362" s="272"/>
      <c r="F362" s="272"/>
      <c r="G362" s="273"/>
    </row>
    <row r="363" spans="2:7" ht="15" customHeight="1" thickBot="1">
      <c r="B363" s="274"/>
      <c r="C363" s="275"/>
      <c r="D363" s="275"/>
      <c r="E363" s="275"/>
      <c r="F363" s="275"/>
      <c r="G363" s="276"/>
    </row>
    <row r="364" spans="2:7">
      <c r="B364" s="279" t="s">
        <v>10</v>
      </c>
      <c r="C364" s="278"/>
      <c r="D364" s="277" t="s">
        <v>11</v>
      </c>
      <c r="E364" s="277"/>
      <c r="F364" s="277"/>
      <c r="G364" s="278"/>
    </row>
    <row r="365" spans="2:7">
      <c r="B365" s="65" t="s">
        <v>32</v>
      </c>
      <c r="C365" s="73" t="s">
        <v>33</v>
      </c>
      <c r="D365" s="65" t="s">
        <v>68</v>
      </c>
      <c r="E365" s="66" t="s">
        <v>69</v>
      </c>
      <c r="F365" s="66" t="s">
        <v>32</v>
      </c>
      <c r="G365" s="73" t="s">
        <v>394</v>
      </c>
    </row>
    <row r="366" spans="2:7">
      <c r="B366" s="67">
        <v>60</v>
      </c>
      <c r="C366" s="37" t="s">
        <v>36</v>
      </c>
      <c r="D366" s="70"/>
      <c r="E366" s="71"/>
      <c r="F366" s="71"/>
      <c r="G366" s="91" t="s">
        <v>91</v>
      </c>
    </row>
    <row r="367" spans="2:7">
      <c r="B367" s="68"/>
      <c r="C367" s="34"/>
      <c r="D367" s="70"/>
      <c r="E367" s="71"/>
      <c r="F367" s="71"/>
      <c r="G367" s="91"/>
    </row>
    <row r="368" spans="2:7">
      <c r="B368" s="68"/>
      <c r="C368" s="34"/>
      <c r="D368" s="70"/>
      <c r="E368" s="71"/>
      <c r="F368" s="71"/>
      <c r="G368" s="34"/>
    </row>
    <row r="369" spans="2:7">
      <c r="B369" s="68"/>
      <c r="C369" s="34"/>
      <c r="D369" s="70"/>
      <c r="E369" s="71"/>
      <c r="F369" s="71"/>
      <c r="G369" s="34"/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60</v>
      </c>
      <c r="C380" s="35" t="s">
        <v>66</v>
      </c>
      <c r="D380" s="69">
        <f>SUM(D366:D379)</f>
        <v>0</v>
      </c>
      <c r="E380" s="69">
        <f>SUM(E366:E379)</f>
        <v>0</v>
      </c>
      <c r="F380" s="69">
        <f>SUM(F366:F379)</f>
        <v>0</v>
      </c>
      <c r="G380" s="35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71" t="str">
        <f>'2018'!A39</f>
        <v>Dreamed Holidays</v>
      </c>
      <c r="C382" s="272"/>
      <c r="D382" s="272"/>
      <c r="E382" s="272"/>
      <c r="F382" s="272"/>
      <c r="G382" s="273"/>
    </row>
    <row r="383" spans="2:7" ht="15" customHeight="1" thickBot="1">
      <c r="B383" s="274"/>
      <c r="C383" s="275"/>
      <c r="D383" s="275"/>
      <c r="E383" s="275"/>
      <c r="F383" s="275"/>
      <c r="G383" s="276"/>
    </row>
    <row r="384" spans="2:7">
      <c r="B384" s="279" t="s">
        <v>10</v>
      </c>
      <c r="C384" s="278"/>
      <c r="D384" s="277" t="s">
        <v>11</v>
      </c>
      <c r="E384" s="277"/>
      <c r="F384" s="277"/>
      <c r="G384" s="278"/>
    </row>
    <row r="385" spans="2:7">
      <c r="B385" s="65" t="s">
        <v>32</v>
      </c>
      <c r="C385" s="73" t="s">
        <v>33</v>
      </c>
      <c r="D385" s="65" t="s">
        <v>68</v>
      </c>
      <c r="E385" s="66" t="s">
        <v>69</v>
      </c>
      <c r="F385" s="66" t="s">
        <v>32</v>
      </c>
      <c r="G385" s="73" t="s">
        <v>33</v>
      </c>
    </row>
    <row r="386" spans="2:7">
      <c r="B386" s="67">
        <v>20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20</v>
      </c>
      <c r="C400" s="35" t="s">
        <v>66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71" t="str">
        <f>'2018'!A40</f>
        <v>Financieros</v>
      </c>
      <c r="C402" s="272"/>
      <c r="D402" s="272"/>
      <c r="E402" s="272"/>
      <c r="F402" s="272"/>
      <c r="G402" s="273"/>
    </row>
    <row r="403" spans="2:7" ht="15" customHeight="1" thickBot="1">
      <c r="B403" s="274"/>
      <c r="C403" s="275"/>
      <c r="D403" s="275"/>
      <c r="E403" s="275"/>
      <c r="F403" s="275"/>
      <c r="G403" s="276"/>
    </row>
    <row r="404" spans="2:7">
      <c r="B404" s="279" t="s">
        <v>10</v>
      </c>
      <c r="C404" s="278"/>
      <c r="D404" s="277" t="s">
        <v>11</v>
      </c>
      <c r="E404" s="277"/>
      <c r="F404" s="277"/>
      <c r="G404" s="278"/>
    </row>
    <row r="405" spans="2:7">
      <c r="B405" s="65" t="s">
        <v>32</v>
      </c>
      <c r="C405" s="73" t="s">
        <v>33</v>
      </c>
      <c r="D405" s="65" t="s">
        <v>68</v>
      </c>
      <c r="E405" s="66" t="s">
        <v>69</v>
      </c>
      <c r="F405" s="66" t="s">
        <v>32</v>
      </c>
      <c r="G405" s="73" t="s">
        <v>33</v>
      </c>
    </row>
    <row r="406" spans="2:7">
      <c r="B406" s="67"/>
      <c r="C406" s="37"/>
      <c r="D406" s="70"/>
      <c r="E406" s="71"/>
      <c r="F406" s="71"/>
      <c r="G406" s="34"/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0</v>
      </c>
      <c r="C420" s="35" t="s">
        <v>66</v>
      </c>
      <c r="D420" s="69">
        <f>SUM(D406:D419)</f>
        <v>0</v>
      </c>
      <c r="E420" s="69">
        <f>SUM(E406:E419)</f>
        <v>0</v>
      </c>
      <c r="F420" s="69">
        <f>SUM(F406:F419)</f>
        <v>0</v>
      </c>
      <c r="G420" s="35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71" t="str">
        <f>'2018'!A41</f>
        <v>Ahorros Colchón</v>
      </c>
      <c r="C422" s="289"/>
      <c r="D422" s="289"/>
      <c r="E422" s="289"/>
      <c r="F422" s="289"/>
      <c r="G422" s="290"/>
    </row>
    <row r="423" spans="2:7" ht="15" customHeight="1" thickBot="1">
      <c r="B423" s="291"/>
      <c r="C423" s="292"/>
      <c r="D423" s="292"/>
      <c r="E423" s="292"/>
      <c r="F423" s="292"/>
      <c r="G423" s="293"/>
    </row>
    <row r="424" spans="2:7">
      <c r="B424" s="279" t="s">
        <v>10</v>
      </c>
      <c r="C424" s="278"/>
      <c r="D424" s="277" t="s">
        <v>11</v>
      </c>
      <c r="E424" s="277"/>
      <c r="F424" s="277"/>
      <c r="G424" s="278"/>
    </row>
    <row r="425" spans="2:7">
      <c r="B425" s="65" t="s">
        <v>32</v>
      </c>
      <c r="C425" s="73" t="s">
        <v>33</v>
      </c>
      <c r="D425" s="65" t="s">
        <v>68</v>
      </c>
      <c r="E425" s="66" t="s">
        <v>69</v>
      </c>
      <c r="F425" s="66" t="s">
        <v>32</v>
      </c>
      <c r="G425" s="73" t="s">
        <v>33</v>
      </c>
    </row>
    <row r="426" spans="2:7">
      <c r="B426" s="67">
        <f>'2018'!AE17</f>
        <v>3385.5499999999997</v>
      </c>
      <c r="C426" s="37" t="s">
        <v>405</v>
      </c>
      <c r="D426" s="70"/>
      <c r="E426" s="71"/>
      <c r="F426" s="71"/>
      <c r="G426" s="34"/>
    </row>
    <row r="427" spans="2:7">
      <c r="B427" s="68"/>
      <c r="C427" s="34"/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3385.5499999999997</v>
      </c>
      <c r="C440" s="35" t="s">
        <v>66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71" t="str">
        <f>'2018'!A42</f>
        <v>Dinero Bloqueado</v>
      </c>
      <c r="C442" s="289"/>
      <c r="D442" s="289"/>
      <c r="E442" s="289"/>
      <c r="F442" s="289"/>
      <c r="G442" s="290"/>
    </row>
    <row r="443" spans="2:7" ht="15" customHeight="1" thickBot="1">
      <c r="B443" s="291"/>
      <c r="C443" s="292"/>
      <c r="D443" s="292"/>
      <c r="E443" s="292"/>
      <c r="F443" s="292"/>
      <c r="G443" s="293"/>
    </row>
    <row r="444" spans="2:7">
      <c r="B444" s="279" t="s">
        <v>10</v>
      </c>
      <c r="C444" s="278"/>
      <c r="D444" s="277" t="s">
        <v>11</v>
      </c>
      <c r="E444" s="277"/>
      <c r="F444" s="277"/>
      <c r="G444" s="278"/>
    </row>
    <row r="445" spans="2:7">
      <c r="B445" s="65" t="s">
        <v>32</v>
      </c>
      <c r="C445" s="73" t="s">
        <v>33</v>
      </c>
      <c r="D445" s="65" t="s">
        <v>68</v>
      </c>
      <c r="E445" s="66" t="s">
        <v>69</v>
      </c>
      <c r="F445" s="66" t="s">
        <v>32</v>
      </c>
      <c r="G445" s="73" t="s">
        <v>33</v>
      </c>
    </row>
    <row r="446" spans="2:7">
      <c r="B446" s="67"/>
      <c r="C446" s="37"/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0</v>
      </c>
      <c r="C460" s="35" t="s">
        <v>66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71" t="str">
        <f>'2018'!A43</f>
        <v>Cartama Finanazas</v>
      </c>
      <c r="C462" s="289"/>
      <c r="D462" s="289"/>
      <c r="E462" s="289"/>
      <c r="F462" s="289"/>
      <c r="G462" s="290"/>
    </row>
    <row r="463" spans="2:7" ht="15" customHeight="1" thickBot="1">
      <c r="B463" s="291"/>
      <c r="C463" s="292"/>
      <c r="D463" s="292"/>
      <c r="E463" s="292"/>
      <c r="F463" s="292"/>
      <c r="G463" s="293"/>
    </row>
    <row r="464" spans="2:7">
      <c r="B464" s="279" t="s">
        <v>10</v>
      </c>
      <c r="C464" s="278"/>
      <c r="D464" s="277" t="s">
        <v>11</v>
      </c>
      <c r="E464" s="277"/>
      <c r="F464" s="277"/>
      <c r="G464" s="278"/>
    </row>
    <row r="465" spans="2:7">
      <c r="B465" s="65" t="s">
        <v>32</v>
      </c>
      <c r="C465" s="73" t="s">
        <v>33</v>
      </c>
      <c r="D465" s="65" t="s">
        <v>68</v>
      </c>
      <c r="E465" s="66" t="s">
        <v>69</v>
      </c>
      <c r="F465" s="66" t="s">
        <v>32</v>
      </c>
      <c r="G465" s="73" t="s">
        <v>33</v>
      </c>
    </row>
    <row r="466" spans="2:7">
      <c r="B466" s="68">
        <v>30</v>
      </c>
      <c r="C466" s="34" t="s">
        <v>196</v>
      </c>
      <c r="D466" s="70"/>
      <c r="E466" s="71"/>
      <c r="F466" s="71"/>
      <c r="G466" s="34"/>
    </row>
    <row r="467" spans="2:7">
      <c r="B467" s="68">
        <v>285</v>
      </c>
      <c r="C467" s="34" t="s">
        <v>470</v>
      </c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315</v>
      </c>
      <c r="C480" s="35" t="s">
        <v>66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66</v>
      </c>
    </row>
    <row r="481" spans="2:7" ht="15.75" thickBot="1"/>
    <row r="482" spans="2:7" ht="14.45" customHeight="1">
      <c r="B482" s="271" t="str">
        <f>'2018'!A44</f>
        <v>NULO</v>
      </c>
      <c r="C482" s="289"/>
      <c r="D482" s="289"/>
      <c r="E482" s="289"/>
      <c r="F482" s="289"/>
      <c r="G482" s="290"/>
    </row>
    <row r="483" spans="2:7" ht="15" customHeight="1" thickBot="1">
      <c r="B483" s="291"/>
      <c r="C483" s="292"/>
      <c r="D483" s="292"/>
      <c r="E483" s="292"/>
      <c r="F483" s="292"/>
      <c r="G483" s="293"/>
    </row>
    <row r="484" spans="2:7">
      <c r="B484" s="279" t="s">
        <v>10</v>
      </c>
      <c r="C484" s="278"/>
      <c r="D484" s="277" t="s">
        <v>11</v>
      </c>
      <c r="E484" s="277"/>
      <c r="F484" s="277"/>
      <c r="G484" s="278"/>
    </row>
    <row r="485" spans="2:7">
      <c r="B485" s="65" t="s">
        <v>32</v>
      </c>
      <c r="C485" s="73" t="s">
        <v>33</v>
      </c>
      <c r="D485" s="65" t="s">
        <v>68</v>
      </c>
      <c r="E485" s="66" t="s">
        <v>69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66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71" t="str">
        <f>'2018'!A45</f>
        <v>OTROS</v>
      </c>
      <c r="C502" s="289"/>
      <c r="D502" s="289"/>
      <c r="E502" s="289"/>
      <c r="F502" s="289"/>
      <c r="G502" s="290"/>
    </row>
    <row r="503" spans="2:7" ht="15" customHeight="1" thickBot="1">
      <c r="B503" s="291"/>
      <c r="C503" s="292"/>
      <c r="D503" s="292"/>
      <c r="E503" s="292"/>
      <c r="F503" s="292"/>
      <c r="G503" s="293"/>
    </row>
    <row r="504" spans="2:7">
      <c r="B504" s="279" t="s">
        <v>10</v>
      </c>
      <c r="C504" s="278"/>
      <c r="D504" s="277" t="s">
        <v>11</v>
      </c>
      <c r="E504" s="277"/>
      <c r="F504" s="277"/>
      <c r="G504" s="278"/>
    </row>
    <row r="505" spans="2:7">
      <c r="B505" s="65" t="s">
        <v>32</v>
      </c>
      <c r="C505" s="73" t="s">
        <v>33</v>
      </c>
      <c r="D505" s="65" t="s">
        <v>68</v>
      </c>
      <c r="E505" s="66" t="s">
        <v>69</v>
      </c>
      <c r="F505" s="66" t="s">
        <v>32</v>
      </c>
      <c r="G505" s="73" t="s">
        <v>33</v>
      </c>
    </row>
    <row r="506" spans="2:7">
      <c r="B506" s="67"/>
      <c r="C506" s="37"/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>
        <f>SUM(B506:B519)</f>
        <v>0</v>
      </c>
      <c r="C520" s="35" t="s">
        <v>66</v>
      </c>
      <c r="D520" s="69">
        <f>SUM(D506:D519)</f>
        <v>0</v>
      </c>
      <c r="E520" s="69">
        <f>SUM(E506:E519)</f>
        <v>0</v>
      </c>
      <c r="F520" s="69">
        <f>SUM(F506:F519)</f>
        <v>0</v>
      </c>
      <c r="G520" s="35" t="s">
        <v>66</v>
      </c>
    </row>
  </sheetData>
  <mergeCells count="111"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C00-000000000000}"/>
    <hyperlink ref="I22" location="Trimestre!C39:F40" display="TELÉFONO" xr:uid="{00000000-0004-0000-0C00-000001000000}"/>
    <hyperlink ref="I22:L23" location="'2018'!AE7:AH7" display="INGRESOS" xr:uid="{00000000-0004-0000-0C00-000002000000}"/>
    <hyperlink ref="B2" location="Trimestre!C25:F26" display="HIPOTECA" xr:uid="{00000000-0004-0000-0C00-000003000000}"/>
    <hyperlink ref="B2:G3" location="'2018'!AE20:AH20" display="'2018'!AE20:AH20" xr:uid="{00000000-0004-0000-0C00-000004000000}"/>
    <hyperlink ref="B22" location="Trimestre!C25:F26" display="HIPOTECA" xr:uid="{00000000-0004-0000-0C00-000005000000}"/>
    <hyperlink ref="B22:G23" location="'2018'!AE21:AH21" display="'2018'!AE21:AH21" xr:uid="{00000000-0004-0000-0C00-000006000000}"/>
    <hyperlink ref="B42" location="Trimestre!C25:F26" display="HIPOTECA" xr:uid="{00000000-0004-0000-0C00-000007000000}"/>
    <hyperlink ref="B42:G43" location="'2018'!AE22:AH22" display="'2018'!AE22:AH22" xr:uid="{00000000-0004-0000-0C00-000008000000}"/>
    <hyperlink ref="B62" location="Trimestre!C25:F26" display="HIPOTECA" xr:uid="{00000000-0004-0000-0C00-000009000000}"/>
    <hyperlink ref="B62:G63" location="'2018'!AE23:AH23" display="'2018'!AE23:AH23" xr:uid="{00000000-0004-0000-0C00-00000A000000}"/>
    <hyperlink ref="B82" location="Trimestre!C25:F26" display="HIPOTECA" xr:uid="{00000000-0004-0000-0C00-00000B000000}"/>
    <hyperlink ref="B82:G83" location="'2018'!AE24:AH24" display="'2018'!AE24:AH24" xr:uid="{00000000-0004-0000-0C00-00000C000000}"/>
    <hyperlink ref="B102" location="Trimestre!C25:F26" display="HIPOTECA" xr:uid="{00000000-0004-0000-0C00-00000D000000}"/>
    <hyperlink ref="B102:G103" location="'2018'!AE25:AH25" display="'2018'!AE25:AH25" xr:uid="{00000000-0004-0000-0C00-00000E000000}"/>
    <hyperlink ref="B122" location="Trimestre!C25:F26" display="HIPOTECA" xr:uid="{00000000-0004-0000-0C00-00000F000000}"/>
    <hyperlink ref="B122:G123" location="'2018'!AE26:AH26" display="'2018'!AE26:AH26" xr:uid="{00000000-0004-0000-0C00-000010000000}"/>
    <hyperlink ref="B142" location="Trimestre!C25:F26" display="HIPOTECA" xr:uid="{00000000-0004-0000-0C00-000011000000}"/>
    <hyperlink ref="B142:G143" location="'2018'!AE27:AH27" display="'2018'!AE27:AH27" xr:uid="{00000000-0004-0000-0C00-000012000000}"/>
    <hyperlink ref="B162" location="Trimestre!C25:F26" display="HIPOTECA" xr:uid="{00000000-0004-0000-0C00-000013000000}"/>
    <hyperlink ref="B162:G163" location="'2018'!AE28:AH28" display="'2018'!AE28:AH28" xr:uid="{00000000-0004-0000-0C00-000014000000}"/>
    <hyperlink ref="B182" location="Trimestre!C25:F26" display="HIPOTECA" xr:uid="{00000000-0004-0000-0C00-000015000000}"/>
    <hyperlink ref="B182:G183" location="'2018'!AE29:AH29" display="'2018'!AE29:AH29" xr:uid="{00000000-0004-0000-0C00-000016000000}"/>
    <hyperlink ref="B202" location="Trimestre!C25:F26" display="HIPOTECA" xr:uid="{00000000-0004-0000-0C00-000017000000}"/>
    <hyperlink ref="B202:G203" location="'2018'!AE30:AH30" display="'2018'!AE30:AH30" xr:uid="{00000000-0004-0000-0C00-000018000000}"/>
    <hyperlink ref="B222" location="Trimestre!C25:F26" display="HIPOTECA" xr:uid="{00000000-0004-0000-0C00-000019000000}"/>
    <hyperlink ref="B222:G223" location="'2018'!AE31:AH31" display="'2018'!AE31:AH31" xr:uid="{00000000-0004-0000-0C00-00001A000000}"/>
    <hyperlink ref="B242" location="Trimestre!C25:F26" display="HIPOTECA" xr:uid="{00000000-0004-0000-0C00-00001B000000}"/>
    <hyperlink ref="B242:G243" location="'2018'!AE32:AH32" display="'2018'!AE32:AH32" xr:uid="{00000000-0004-0000-0C00-00001C000000}"/>
    <hyperlink ref="B262" location="Trimestre!C25:F26" display="HIPOTECA" xr:uid="{00000000-0004-0000-0C00-00001D000000}"/>
    <hyperlink ref="B262:G263" location="'2018'!AE33:AH33" display="'2018'!AE33:AH33" xr:uid="{00000000-0004-0000-0C00-00001E000000}"/>
    <hyperlink ref="B282" location="Trimestre!C25:F26" display="HIPOTECA" xr:uid="{00000000-0004-0000-0C00-00001F000000}"/>
    <hyperlink ref="B282:G283" location="'2018'!AE34:AH34" display="'2018'!AE34:AH34" xr:uid="{00000000-0004-0000-0C00-000020000000}"/>
    <hyperlink ref="B302" location="Trimestre!C25:F26" display="HIPOTECA" xr:uid="{00000000-0004-0000-0C00-000021000000}"/>
    <hyperlink ref="B302:G303" location="'2018'!AE35:AH35" display="'2018'!AE35:AH35" xr:uid="{00000000-0004-0000-0C00-000022000000}"/>
    <hyperlink ref="B322" location="Trimestre!C25:F26" display="HIPOTECA" xr:uid="{00000000-0004-0000-0C00-000023000000}"/>
    <hyperlink ref="B322:G323" location="'2018'!AE36:AH36" display="'2018'!AE36:AH36" xr:uid="{00000000-0004-0000-0C00-000024000000}"/>
    <hyperlink ref="B342" location="Trimestre!C25:F26" display="HIPOTECA" xr:uid="{00000000-0004-0000-0C00-000025000000}"/>
    <hyperlink ref="B342:G343" location="'2018'!AE37:AH37" display="'2018'!AE37:AH37" xr:uid="{00000000-0004-0000-0C00-000026000000}"/>
    <hyperlink ref="B362" location="Trimestre!C25:F26" display="HIPOTECA" xr:uid="{00000000-0004-0000-0C00-000027000000}"/>
    <hyperlink ref="B362:G363" location="'2018'!AE38:AH38" display="'2018'!AE38:AH38" xr:uid="{00000000-0004-0000-0C00-000028000000}"/>
    <hyperlink ref="B382" location="Trimestre!C25:F26" display="HIPOTECA" xr:uid="{00000000-0004-0000-0C00-000029000000}"/>
    <hyperlink ref="B382:G383" location="'2018'!AE39:AH39" display="'2018'!AE39:AH39" xr:uid="{00000000-0004-0000-0C00-00002A000000}"/>
    <hyperlink ref="B402" location="Trimestre!C25:F26" display="HIPOTECA" xr:uid="{00000000-0004-0000-0C00-00002B000000}"/>
    <hyperlink ref="B402:G403" location="'2018'!AE40:AH40" display="'2018'!AE40:AH40" xr:uid="{00000000-0004-0000-0C00-00002C000000}"/>
    <hyperlink ref="B422" location="Trimestre!C25:F26" display="HIPOTECA" xr:uid="{00000000-0004-0000-0C00-00002D000000}"/>
    <hyperlink ref="B422:G423" location="'2018'!AE41:AH41" display="'2018'!AE41:AH41" xr:uid="{00000000-0004-0000-0C00-00002E000000}"/>
    <hyperlink ref="B442" location="Trimestre!C25:F26" display="HIPOTECA" xr:uid="{00000000-0004-0000-0C00-00002F000000}"/>
    <hyperlink ref="B442:G443" location="'2018'!AE42:AH42" display="'2018'!AE42:AH42" xr:uid="{00000000-0004-0000-0C00-000030000000}"/>
    <hyperlink ref="B462" location="Trimestre!C25:F26" display="HIPOTECA" xr:uid="{00000000-0004-0000-0C00-000031000000}"/>
    <hyperlink ref="B462:G463" location="'2018'!AE43:AH43" display="'2018'!AE43:AH43" xr:uid="{00000000-0004-0000-0C00-000032000000}"/>
    <hyperlink ref="B482" location="Trimestre!C25:F26" display="HIPOTECA" xr:uid="{00000000-0004-0000-0C00-000033000000}"/>
    <hyperlink ref="B482:G483" location="'2018'!AE44:AH44" display="'2018'!AE44:AH44" xr:uid="{00000000-0004-0000-0C00-000034000000}"/>
    <hyperlink ref="B502" location="Trimestre!C25:F26" display="HIPOTECA" xr:uid="{00000000-0004-0000-0C00-000035000000}"/>
    <hyperlink ref="B502:G503" location="'2018'!AE45:AH45" display="'2018'!AE45:AH45" xr:uid="{00000000-0004-0000-0C00-000036000000}"/>
    <hyperlink ref="I2:L3" location="'2018'!AE4:AH4" display="SALDO REAL" xr:uid="{00000000-0004-0000-0C00-000037000000}"/>
  </hyperlink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58"/>
  <sheetViews>
    <sheetView topLeftCell="A10" workbookViewId="0">
      <selection activeCell="E32" sqref="E31:E32"/>
    </sheetView>
  </sheetViews>
  <sheetFormatPr defaultColWidth="11.7109375" defaultRowHeight="15"/>
  <cols>
    <col min="1" max="1" width="30.140625" customWidth="1"/>
    <col min="2" max="2" width="15" customWidth="1"/>
    <col min="3" max="3" width="14.42578125" customWidth="1"/>
    <col min="4" max="4" width="29.140625" customWidth="1"/>
    <col min="5" max="5" width="24.5703125" customWidth="1"/>
    <col min="6" max="6" width="13.140625" customWidth="1"/>
    <col min="7" max="7" width="8.7109375" customWidth="1"/>
    <col min="8" max="8" width="8" customWidth="1"/>
    <col min="9" max="9" width="12.28515625" customWidth="1"/>
    <col min="10" max="10" width="20.28515625" customWidth="1"/>
    <col min="11" max="11" width="13.85546875" customWidth="1"/>
    <col min="12" max="12" width="8" customWidth="1"/>
    <col min="257" max="257" width="30.140625" customWidth="1"/>
    <col min="258" max="258" width="15" customWidth="1"/>
    <col min="259" max="259" width="14.42578125" customWidth="1"/>
    <col min="260" max="260" width="29.140625" customWidth="1"/>
    <col min="261" max="261" width="24.5703125" customWidth="1"/>
    <col min="262" max="262" width="13.140625" customWidth="1"/>
    <col min="263" max="263" width="8.7109375" customWidth="1"/>
    <col min="264" max="264" width="8" customWidth="1"/>
    <col min="265" max="265" width="12.28515625" customWidth="1"/>
    <col min="266" max="266" width="20.28515625" customWidth="1"/>
    <col min="267" max="267" width="13.85546875" customWidth="1"/>
    <col min="268" max="268" width="8" customWidth="1"/>
    <col min="513" max="513" width="30.140625" customWidth="1"/>
    <col min="514" max="514" width="15" customWidth="1"/>
    <col min="515" max="515" width="14.42578125" customWidth="1"/>
    <col min="516" max="516" width="29.140625" customWidth="1"/>
    <col min="517" max="517" width="24.5703125" customWidth="1"/>
    <col min="518" max="518" width="13.140625" customWidth="1"/>
    <col min="519" max="519" width="8.7109375" customWidth="1"/>
    <col min="520" max="520" width="8" customWidth="1"/>
    <col min="521" max="521" width="12.28515625" customWidth="1"/>
    <col min="522" max="522" width="20.28515625" customWidth="1"/>
    <col min="523" max="523" width="13.85546875" customWidth="1"/>
    <col min="524" max="524" width="8" customWidth="1"/>
    <col min="769" max="769" width="30.140625" customWidth="1"/>
    <col min="770" max="770" width="15" customWidth="1"/>
    <col min="771" max="771" width="14.42578125" customWidth="1"/>
    <col min="772" max="772" width="29.140625" customWidth="1"/>
    <col min="773" max="773" width="24.5703125" customWidth="1"/>
    <col min="774" max="774" width="13.140625" customWidth="1"/>
    <col min="775" max="775" width="8.7109375" customWidth="1"/>
    <col min="776" max="776" width="8" customWidth="1"/>
    <col min="777" max="777" width="12.28515625" customWidth="1"/>
    <col min="778" max="778" width="20.28515625" customWidth="1"/>
    <col min="779" max="779" width="13.85546875" customWidth="1"/>
    <col min="780" max="780" width="8" customWidth="1"/>
    <col min="1025" max="1025" width="30.140625" customWidth="1"/>
    <col min="1026" max="1026" width="15" customWidth="1"/>
    <col min="1027" max="1027" width="14.42578125" customWidth="1"/>
    <col min="1028" max="1028" width="29.140625" customWidth="1"/>
    <col min="1029" max="1029" width="24.5703125" customWidth="1"/>
    <col min="1030" max="1030" width="13.140625" customWidth="1"/>
    <col min="1031" max="1031" width="8.7109375" customWidth="1"/>
    <col min="1032" max="1032" width="8" customWidth="1"/>
    <col min="1033" max="1033" width="12.28515625" customWidth="1"/>
    <col min="1034" max="1034" width="20.28515625" customWidth="1"/>
    <col min="1035" max="1035" width="13.85546875" customWidth="1"/>
    <col min="1036" max="1036" width="8" customWidth="1"/>
    <col min="1281" max="1281" width="30.140625" customWidth="1"/>
    <col min="1282" max="1282" width="15" customWidth="1"/>
    <col min="1283" max="1283" width="14.42578125" customWidth="1"/>
    <col min="1284" max="1284" width="29.140625" customWidth="1"/>
    <col min="1285" max="1285" width="24.5703125" customWidth="1"/>
    <col min="1286" max="1286" width="13.140625" customWidth="1"/>
    <col min="1287" max="1287" width="8.7109375" customWidth="1"/>
    <col min="1288" max="1288" width="8" customWidth="1"/>
    <col min="1289" max="1289" width="12.28515625" customWidth="1"/>
    <col min="1290" max="1290" width="20.28515625" customWidth="1"/>
    <col min="1291" max="1291" width="13.85546875" customWidth="1"/>
    <col min="1292" max="1292" width="8" customWidth="1"/>
    <col min="1537" max="1537" width="30.140625" customWidth="1"/>
    <col min="1538" max="1538" width="15" customWidth="1"/>
    <col min="1539" max="1539" width="14.42578125" customWidth="1"/>
    <col min="1540" max="1540" width="29.140625" customWidth="1"/>
    <col min="1541" max="1541" width="24.5703125" customWidth="1"/>
    <col min="1542" max="1542" width="13.140625" customWidth="1"/>
    <col min="1543" max="1543" width="8.7109375" customWidth="1"/>
    <col min="1544" max="1544" width="8" customWidth="1"/>
    <col min="1545" max="1545" width="12.28515625" customWidth="1"/>
    <col min="1546" max="1546" width="20.28515625" customWidth="1"/>
    <col min="1547" max="1547" width="13.85546875" customWidth="1"/>
    <col min="1548" max="1548" width="8" customWidth="1"/>
    <col min="1793" max="1793" width="30.140625" customWidth="1"/>
    <col min="1794" max="1794" width="15" customWidth="1"/>
    <col min="1795" max="1795" width="14.42578125" customWidth="1"/>
    <col min="1796" max="1796" width="29.140625" customWidth="1"/>
    <col min="1797" max="1797" width="24.5703125" customWidth="1"/>
    <col min="1798" max="1798" width="13.140625" customWidth="1"/>
    <col min="1799" max="1799" width="8.7109375" customWidth="1"/>
    <col min="1800" max="1800" width="8" customWidth="1"/>
    <col min="1801" max="1801" width="12.28515625" customWidth="1"/>
    <col min="1802" max="1802" width="20.28515625" customWidth="1"/>
    <col min="1803" max="1803" width="13.85546875" customWidth="1"/>
    <col min="1804" max="1804" width="8" customWidth="1"/>
    <col min="2049" max="2049" width="30.140625" customWidth="1"/>
    <col min="2050" max="2050" width="15" customWidth="1"/>
    <col min="2051" max="2051" width="14.42578125" customWidth="1"/>
    <col min="2052" max="2052" width="29.140625" customWidth="1"/>
    <col min="2053" max="2053" width="24.5703125" customWidth="1"/>
    <col min="2054" max="2054" width="13.140625" customWidth="1"/>
    <col min="2055" max="2055" width="8.7109375" customWidth="1"/>
    <col min="2056" max="2056" width="8" customWidth="1"/>
    <col min="2057" max="2057" width="12.28515625" customWidth="1"/>
    <col min="2058" max="2058" width="20.28515625" customWidth="1"/>
    <col min="2059" max="2059" width="13.85546875" customWidth="1"/>
    <col min="2060" max="2060" width="8" customWidth="1"/>
    <col min="2305" max="2305" width="30.140625" customWidth="1"/>
    <col min="2306" max="2306" width="15" customWidth="1"/>
    <col min="2307" max="2307" width="14.42578125" customWidth="1"/>
    <col min="2308" max="2308" width="29.140625" customWidth="1"/>
    <col min="2309" max="2309" width="24.5703125" customWidth="1"/>
    <col min="2310" max="2310" width="13.140625" customWidth="1"/>
    <col min="2311" max="2311" width="8.7109375" customWidth="1"/>
    <col min="2312" max="2312" width="8" customWidth="1"/>
    <col min="2313" max="2313" width="12.28515625" customWidth="1"/>
    <col min="2314" max="2314" width="20.28515625" customWidth="1"/>
    <col min="2315" max="2315" width="13.85546875" customWidth="1"/>
    <col min="2316" max="2316" width="8" customWidth="1"/>
    <col min="2561" max="2561" width="30.140625" customWidth="1"/>
    <col min="2562" max="2562" width="15" customWidth="1"/>
    <col min="2563" max="2563" width="14.42578125" customWidth="1"/>
    <col min="2564" max="2564" width="29.140625" customWidth="1"/>
    <col min="2565" max="2565" width="24.5703125" customWidth="1"/>
    <col min="2566" max="2566" width="13.140625" customWidth="1"/>
    <col min="2567" max="2567" width="8.7109375" customWidth="1"/>
    <col min="2568" max="2568" width="8" customWidth="1"/>
    <col min="2569" max="2569" width="12.28515625" customWidth="1"/>
    <col min="2570" max="2570" width="20.28515625" customWidth="1"/>
    <col min="2571" max="2571" width="13.85546875" customWidth="1"/>
    <col min="2572" max="2572" width="8" customWidth="1"/>
    <col min="2817" max="2817" width="30.140625" customWidth="1"/>
    <col min="2818" max="2818" width="15" customWidth="1"/>
    <col min="2819" max="2819" width="14.42578125" customWidth="1"/>
    <col min="2820" max="2820" width="29.140625" customWidth="1"/>
    <col min="2821" max="2821" width="24.5703125" customWidth="1"/>
    <col min="2822" max="2822" width="13.140625" customWidth="1"/>
    <col min="2823" max="2823" width="8.7109375" customWidth="1"/>
    <col min="2824" max="2824" width="8" customWidth="1"/>
    <col min="2825" max="2825" width="12.28515625" customWidth="1"/>
    <col min="2826" max="2826" width="20.28515625" customWidth="1"/>
    <col min="2827" max="2827" width="13.85546875" customWidth="1"/>
    <col min="2828" max="2828" width="8" customWidth="1"/>
    <col min="3073" max="3073" width="30.140625" customWidth="1"/>
    <col min="3074" max="3074" width="15" customWidth="1"/>
    <col min="3075" max="3075" width="14.42578125" customWidth="1"/>
    <col min="3076" max="3076" width="29.140625" customWidth="1"/>
    <col min="3077" max="3077" width="24.5703125" customWidth="1"/>
    <col min="3078" max="3078" width="13.140625" customWidth="1"/>
    <col min="3079" max="3079" width="8.7109375" customWidth="1"/>
    <col min="3080" max="3080" width="8" customWidth="1"/>
    <col min="3081" max="3081" width="12.28515625" customWidth="1"/>
    <col min="3082" max="3082" width="20.28515625" customWidth="1"/>
    <col min="3083" max="3083" width="13.85546875" customWidth="1"/>
    <col min="3084" max="3084" width="8" customWidth="1"/>
    <col min="3329" max="3329" width="30.140625" customWidth="1"/>
    <col min="3330" max="3330" width="15" customWidth="1"/>
    <col min="3331" max="3331" width="14.42578125" customWidth="1"/>
    <col min="3332" max="3332" width="29.140625" customWidth="1"/>
    <col min="3333" max="3333" width="24.5703125" customWidth="1"/>
    <col min="3334" max="3334" width="13.140625" customWidth="1"/>
    <col min="3335" max="3335" width="8.7109375" customWidth="1"/>
    <col min="3336" max="3336" width="8" customWidth="1"/>
    <col min="3337" max="3337" width="12.28515625" customWidth="1"/>
    <col min="3338" max="3338" width="20.28515625" customWidth="1"/>
    <col min="3339" max="3339" width="13.85546875" customWidth="1"/>
    <col min="3340" max="3340" width="8" customWidth="1"/>
    <col min="3585" max="3585" width="30.140625" customWidth="1"/>
    <col min="3586" max="3586" width="15" customWidth="1"/>
    <col min="3587" max="3587" width="14.42578125" customWidth="1"/>
    <col min="3588" max="3588" width="29.140625" customWidth="1"/>
    <col min="3589" max="3589" width="24.5703125" customWidth="1"/>
    <col min="3590" max="3590" width="13.140625" customWidth="1"/>
    <col min="3591" max="3591" width="8.7109375" customWidth="1"/>
    <col min="3592" max="3592" width="8" customWidth="1"/>
    <col min="3593" max="3593" width="12.28515625" customWidth="1"/>
    <col min="3594" max="3594" width="20.28515625" customWidth="1"/>
    <col min="3595" max="3595" width="13.85546875" customWidth="1"/>
    <col min="3596" max="3596" width="8" customWidth="1"/>
    <col min="3841" max="3841" width="30.140625" customWidth="1"/>
    <col min="3842" max="3842" width="15" customWidth="1"/>
    <col min="3843" max="3843" width="14.42578125" customWidth="1"/>
    <col min="3844" max="3844" width="29.140625" customWidth="1"/>
    <col min="3845" max="3845" width="24.5703125" customWidth="1"/>
    <col min="3846" max="3846" width="13.140625" customWidth="1"/>
    <col min="3847" max="3847" width="8.7109375" customWidth="1"/>
    <col min="3848" max="3848" width="8" customWidth="1"/>
    <col min="3849" max="3849" width="12.28515625" customWidth="1"/>
    <col min="3850" max="3850" width="20.28515625" customWidth="1"/>
    <col min="3851" max="3851" width="13.85546875" customWidth="1"/>
    <col min="3852" max="3852" width="8" customWidth="1"/>
    <col min="4097" max="4097" width="30.140625" customWidth="1"/>
    <col min="4098" max="4098" width="15" customWidth="1"/>
    <col min="4099" max="4099" width="14.42578125" customWidth="1"/>
    <col min="4100" max="4100" width="29.140625" customWidth="1"/>
    <col min="4101" max="4101" width="24.5703125" customWidth="1"/>
    <col min="4102" max="4102" width="13.140625" customWidth="1"/>
    <col min="4103" max="4103" width="8.7109375" customWidth="1"/>
    <col min="4104" max="4104" width="8" customWidth="1"/>
    <col min="4105" max="4105" width="12.28515625" customWidth="1"/>
    <col min="4106" max="4106" width="20.28515625" customWidth="1"/>
    <col min="4107" max="4107" width="13.85546875" customWidth="1"/>
    <col min="4108" max="4108" width="8" customWidth="1"/>
    <col min="4353" max="4353" width="30.140625" customWidth="1"/>
    <col min="4354" max="4354" width="15" customWidth="1"/>
    <col min="4355" max="4355" width="14.42578125" customWidth="1"/>
    <col min="4356" max="4356" width="29.140625" customWidth="1"/>
    <col min="4357" max="4357" width="24.5703125" customWidth="1"/>
    <col min="4358" max="4358" width="13.140625" customWidth="1"/>
    <col min="4359" max="4359" width="8.7109375" customWidth="1"/>
    <col min="4360" max="4360" width="8" customWidth="1"/>
    <col min="4361" max="4361" width="12.28515625" customWidth="1"/>
    <col min="4362" max="4362" width="20.28515625" customWidth="1"/>
    <col min="4363" max="4363" width="13.85546875" customWidth="1"/>
    <col min="4364" max="4364" width="8" customWidth="1"/>
    <col min="4609" max="4609" width="30.140625" customWidth="1"/>
    <col min="4610" max="4610" width="15" customWidth="1"/>
    <col min="4611" max="4611" width="14.42578125" customWidth="1"/>
    <col min="4612" max="4612" width="29.140625" customWidth="1"/>
    <col min="4613" max="4613" width="24.5703125" customWidth="1"/>
    <col min="4614" max="4614" width="13.140625" customWidth="1"/>
    <col min="4615" max="4615" width="8.7109375" customWidth="1"/>
    <col min="4616" max="4616" width="8" customWidth="1"/>
    <col min="4617" max="4617" width="12.28515625" customWidth="1"/>
    <col min="4618" max="4618" width="20.28515625" customWidth="1"/>
    <col min="4619" max="4619" width="13.85546875" customWidth="1"/>
    <col min="4620" max="4620" width="8" customWidth="1"/>
    <col min="4865" max="4865" width="30.140625" customWidth="1"/>
    <col min="4866" max="4866" width="15" customWidth="1"/>
    <col min="4867" max="4867" width="14.42578125" customWidth="1"/>
    <col min="4868" max="4868" width="29.140625" customWidth="1"/>
    <col min="4869" max="4869" width="24.5703125" customWidth="1"/>
    <col min="4870" max="4870" width="13.140625" customWidth="1"/>
    <col min="4871" max="4871" width="8.7109375" customWidth="1"/>
    <col min="4872" max="4872" width="8" customWidth="1"/>
    <col min="4873" max="4873" width="12.28515625" customWidth="1"/>
    <col min="4874" max="4874" width="20.28515625" customWidth="1"/>
    <col min="4875" max="4875" width="13.85546875" customWidth="1"/>
    <col min="4876" max="4876" width="8" customWidth="1"/>
    <col min="5121" max="5121" width="30.140625" customWidth="1"/>
    <col min="5122" max="5122" width="15" customWidth="1"/>
    <col min="5123" max="5123" width="14.42578125" customWidth="1"/>
    <col min="5124" max="5124" width="29.140625" customWidth="1"/>
    <col min="5125" max="5125" width="24.5703125" customWidth="1"/>
    <col min="5126" max="5126" width="13.140625" customWidth="1"/>
    <col min="5127" max="5127" width="8.7109375" customWidth="1"/>
    <col min="5128" max="5128" width="8" customWidth="1"/>
    <col min="5129" max="5129" width="12.28515625" customWidth="1"/>
    <col min="5130" max="5130" width="20.28515625" customWidth="1"/>
    <col min="5131" max="5131" width="13.85546875" customWidth="1"/>
    <col min="5132" max="5132" width="8" customWidth="1"/>
    <col min="5377" max="5377" width="30.140625" customWidth="1"/>
    <col min="5378" max="5378" width="15" customWidth="1"/>
    <col min="5379" max="5379" width="14.42578125" customWidth="1"/>
    <col min="5380" max="5380" width="29.140625" customWidth="1"/>
    <col min="5381" max="5381" width="24.5703125" customWidth="1"/>
    <col min="5382" max="5382" width="13.140625" customWidth="1"/>
    <col min="5383" max="5383" width="8.7109375" customWidth="1"/>
    <col min="5384" max="5384" width="8" customWidth="1"/>
    <col min="5385" max="5385" width="12.28515625" customWidth="1"/>
    <col min="5386" max="5386" width="20.28515625" customWidth="1"/>
    <col min="5387" max="5387" width="13.85546875" customWidth="1"/>
    <col min="5388" max="5388" width="8" customWidth="1"/>
    <col min="5633" max="5633" width="30.140625" customWidth="1"/>
    <col min="5634" max="5634" width="15" customWidth="1"/>
    <col min="5635" max="5635" width="14.42578125" customWidth="1"/>
    <col min="5636" max="5636" width="29.140625" customWidth="1"/>
    <col min="5637" max="5637" width="24.5703125" customWidth="1"/>
    <col min="5638" max="5638" width="13.140625" customWidth="1"/>
    <col min="5639" max="5639" width="8.7109375" customWidth="1"/>
    <col min="5640" max="5640" width="8" customWidth="1"/>
    <col min="5641" max="5641" width="12.28515625" customWidth="1"/>
    <col min="5642" max="5642" width="20.28515625" customWidth="1"/>
    <col min="5643" max="5643" width="13.85546875" customWidth="1"/>
    <col min="5644" max="5644" width="8" customWidth="1"/>
    <col min="5889" max="5889" width="30.140625" customWidth="1"/>
    <col min="5890" max="5890" width="15" customWidth="1"/>
    <col min="5891" max="5891" width="14.42578125" customWidth="1"/>
    <col min="5892" max="5892" width="29.140625" customWidth="1"/>
    <col min="5893" max="5893" width="24.5703125" customWidth="1"/>
    <col min="5894" max="5894" width="13.140625" customWidth="1"/>
    <col min="5895" max="5895" width="8.7109375" customWidth="1"/>
    <col min="5896" max="5896" width="8" customWidth="1"/>
    <col min="5897" max="5897" width="12.28515625" customWidth="1"/>
    <col min="5898" max="5898" width="20.28515625" customWidth="1"/>
    <col min="5899" max="5899" width="13.85546875" customWidth="1"/>
    <col min="5900" max="5900" width="8" customWidth="1"/>
    <col min="6145" max="6145" width="30.140625" customWidth="1"/>
    <col min="6146" max="6146" width="15" customWidth="1"/>
    <col min="6147" max="6147" width="14.42578125" customWidth="1"/>
    <col min="6148" max="6148" width="29.140625" customWidth="1"/>
    <col min="6149" max="6149" width="24.5703125" customWidth="1"/>
    <col min="6150" max="6150" width="13.140625" customWidth="1"/>
    <col min="6151" max="6151" width="8.7109375" customWidth="1"/>
    <col min="6152" max="6152" width="8" customWidth="1"/>
    <col min="6153" max="6153" width="12.28515625" customWidth="1"/>
    <col min="6154" max="6154" width="20.28515625" customWidth="1"/>
    <col min="6155" max="6155" width="13.85546875" customWidth="1"/>
    <col min="6156" max="6156" width="8" customWidth="1"/>
    <col min="6401" max="6401" width="30.140625" customWidth="1"/>
    <col min="6402" max="6402" width="15" customWidth="1"/>
    <col min="6403" max="6403" width="14.42578125" customWidth="1"/>
    <col min="6404" max="6404" width="29.140625" customWidth="1"/>
    <col min="6405" max="6405" width="24.5703125" customWidth="1"/>
    <col min="6406" max="6406" width="13.140625" customWidth="1"/>
    <col min="6407" max="6407" width="8.7109375" customWidth="1"/>
    <col min="6408" max="6408" width="8" customWidth="1"/>
    <col min="6409" max="6409" width="12.28515625" customWidth="1"/>
    <col min="6410" max="6410" width="20.28515625" customWidth="1"/>
    <col min="6411" max="6411" width="13.85546875" customWidth="1"/>
    <col min="6412" max="6412" width="8" customWidth="1"/>
    <col min="6657" max="6657" width="30.140625" customWidth="1"/>
    <col min="6658" max="6658" width="15" customWidth="1"/>
    <col min="6659" max="6659" width="14.42578125" customWidth="1"/>
    <col min="6660" max="6660" width="29.140625" customWidth="1"/>
    <col min="6661" max="6661" width="24.5703125" customWidth="1"/>
    <col min="6662" max="6662" width="13.140625" customWidth="1"/>
    <col min="6663" max="6663" width="8.7109375" customWidth="1"/>
    <col min="6664" max="6664" width="8" customWidth="1"/>
    <col min="6665" max="6665" width="12.28515625" customWidth="1"/>
    <col min="6666" max="6666" width="20.28515625" customWidth="1"/>
    <col min="6667" max="6667" width="13.85546875" customWidth="1"/>
    <col min="6668" max="6668" width="8" customWidth="1"/>
    <col min="6913" max="6913" width="30.140625" customWidth="1"/>
    <col min="6914" max="6914" width="15" customWidth="1"/>
    <col min="6915" max="6915" width="14.42578125" customWidth="1"/>
    <col min="6916" max="6916" width="29.140625" customWidth="1"/>
    <col min="6917" max="6917" width="24.5703125" customWidth="1"/>
    <col min="6918" max="6918" width="13.140625" customWidth="1"/>
    <col min="6919" max="6919" width="8.7109375" customWidth="1"/>
    <col min="6920" max="6920" width="8" customWidth="1"/>
    <col min="6921" max="6921" width="12.28515625" customWidth="1"/>
    <col min="6922" max="6922" width="20.28515625" customWidth="1"/>
    <col min="6923" max="6923" width="13.85546875" customWidth="1"/>
    <col min="6924" max="6924" width="8" customWidth="1"/>
    <col min="7169" max="7169" width="30.140625" customWidth="1"/>
    <col min="7170" max="7170" width="15" customWidth="1"/>
    <col min="7171" max="7171" width="14.42578125" customWidth="1"/>
    <col min="7172" max="7172" width="29.140625" customWidth="1"/>
    <col min="7173" max="7173" width="24.5703125" customWidth="1"/>
    <col min="7174" max="7174" width="13.140625" customWidth="1"/>
    <col min="7175" max="7175" width="8.7109375" customWidth="1"/>
    <col min="7176" max="7176" width="8" customWidth="1"/>
    <col min="7177" max="7177" width="12.28515625" customWidth="1"/>
    <col min="7178" max="7178" width="20.28515625" customWidth="1"/>
    <col min="7179" max="7179" width="13.85546875" customWidth="1"/>
    <col min="7180" max="7180" width="8" customWidth="1"/>
    <col min="7425" max="7425" width="30.140625" customWidth="1"/>
    <col min="7426" max="7426" width="15" customWidth="1"/>
    <col min="7427" max="7427" width="14.42578125" customWidth="1"/>
    <col min="7428" max="7428" width="29.140625" customWidth="1"/>
    <col min="7429" max="7429" width="24.5703125" customWidth="1"/>
    <col min="7430" max="7430" width="13.140625" customWidth="1"/>
    <col min="7431" max="7431" width="8.7109375" customWidth="1"/>
    <col min="7432" max="7432" width="8" customWidth="1"/>
    <col min="7433" max="7433" width="12.28515625" customWidth="1"/>
    <col min="7434" max="7434" width="20.28515625" customWidth="1"/>
    <col min="7435" max="7435" width="13.85546875" customWidth="1"/>
    <col min="7436" max="7436" width="8" customWidth="1"/>
    <col min="7681" max="7681" width="30.140625" customWidth="1"/>
    <col min="7682" max="7682" width="15" customWidth="1"/>
    <col min="7683" max="7683" width="14.42578125" customWidth="1"/>
    <col min="7684" max="7684" width="29.140625" customWidth="1"/>
    <col min="7685" max="7685" width="24.5703125" customWidth="1"/>
    <col min="7686" max="7686" width="13.140625" customWidth="1"/>
    <col min="7687" max="7687" width="8.7109375" customWidth="1"/>
    <col min="7688" max="7688" width="8" customWidth="1"/>
    <col min="7689" max="7689" width="12.28515625" customWidth="1"/>
    <col min="7690" max="7690" width="20.28515625" customWidth="1"/>
    <col min="7691" max="7691" width="13.85546875" customWidth="1"/>
    <col min="7692" max="7692" width="8" customWidth="1"/>
    <col min="7937" max="7937" width="30.140625" customWidth="1"/>
    <col min="7938" max="7938" width="15" customWidth="1"/>
    <col min="7939" max="7939" width="14.42578125" customWidth="1"/>
    <col min="7940" max="7940" width="29.140625" customWidth="1"/>
    <col min="7941" max="7941" width="24.5703125" customWidth="1"/>
    <col min="7942" max="7942" width="13.140625" customWidth="1"/>
    <col min="7943" max="7943" width="8.7109375" customWidth="1"/>
    <col min="7944" max="7944" width="8" customWidth="1"/>
    <col min="7945" max="7945" width="12.28515625" customWidth="1"/>
    <col min="7946" max="7946" width="20.28515625" customWidth="1"/>
    <col min="7947" max="7947" width="13.85546875" customWidth="1"/>
    <col min="7948" max="7948" width="8" customWidth="1"/>
    <col min="8193" max="8193" width="30.140625" customWidth="1"/>
    <col min="8194" max="8194" width="15" customWidth="1"/>
    <col min="8195" max="8195" width="14.42578125" customWidth="1"/>
    <col min="8196" max="8196" width="29.140625" customWidth="1"/>
    <col min="8197" max="8197" width="24.5703125" customWidth="1"/>
    <col min="8198" max="8198" width="13.140625" customWidth="1"/>
    <col min="8199" max="8199" width="8.7109375" customWidth="1"/>
    <col min="8200" max="8200" width="8" customWidth="1"/>
    <col min="8201" max="8201" width="12.28515625" customWidth="1"/>
    <col min="8202" max="8202" width="20.28515625" customWidth="1"/>
    <col min="8203" max="8203" width="13.85546875" customWidth="1"/>
    <col min="8204" max="8204" width="8" customWidth="1"/>
    <col min="8449" max="8449" width="30.140625" customWidth="1"/>
    <col min="8450" max="8450" width="15" customWidth="1"/>
    <col min="8451" max="8451" width="14.42578125" customWidth="1"/>
    <col min="8452" max="8452" width="29.140625" customWidth="1"/>
    <col min="8453" max="8453" width="24.5703125" customWidth="1"/>
    <col min="8454" max="8454" width="13.140625" customWidth="1"/>
    <col min="8455" max="8455" width="8.7109375" customWidth="1"/>
    <col min="8456" max="8456" width="8" customWidth="1"/>
    <col min="8457" max="8457" width="12.28515625" customWidth="1"/>
    <col min="8458" max="8458" width="20.28515625" customWidth="1"/>
    <col min="8459" max="8459" width="13.85546875" customWidth="1"/>
    <col min="8460" max="8460" width="8" customWidth="1"/>
    <col min="8705" max="8705" width="30.140625" customWidth="1"/>
    <col min="8706" max="8706" width="15" customWidth="1"/>
    <col min="8707" max="8707" width="14.42578125" customWidth="1"/>
    <col min="8708" max="8708" width="29.140625" customWidth="1"/>
    <col min="8709" max="8709" width="24.5703125" customWidth="1"/>
    <col min="8710" max="8710" width="13.140625" customWidth="1"/>
    <col min="8711" max="8711" width="8.7109375" customWidth="1"/>
    <col min="8712" max="8712" width="8" customWidth="1"/>
    <col min="8713" max="8713" width="12.28515625" customWidth="1"/>
    <col min="8714" max="8714" width="20.28515625" customWidth="1"/>
    <col min="8715" max="8715" width="13.85546875" customWidth="1"/>
    <col min="8716" max="8716" width="8" customWidth="1"/>
    <col min="8961" max="8961" width="30.140625" customWidth="1"/>
    <col min="8962" max="8962" width="15" customWidth="1"/>
    <col min="8963" max="8963" width="14.42578125" customWidth="1"/>
    <col min="8964" max="8964" width="29.140625" customWidth="1"/>
    <col min="8965" max="8965" width="24.5703125" customWidth="1"/>
    <col min="8966" max="8966" width="13.140625" customWidth="1"/>
    <col min="8967" max="8967" width="8.7109375" customWidth="1"/>
    <col min="8968" max="8968" width="8" customWidth="1"/>
    <col min="8969" max="8969" width="12.28515625" customWidth="1"/>
    <col min="8970" max="8970" width="20.28515625" customWidth="1"/>
    <col min="8971" max="8971" width="13.85546875" customWidth="1"/>
    <col min="8972" max="8972" width="8" customWidth="1"/>
    <col min="9217" max="9217" width="30.140625" customWidth="1"/>
    <col min="9218" max="9218" width="15" customWidth="1"/>
    <col min="9219" max="9219" width="14.42578125" customWidth="1"/>
    <col min="9220" max="9220" width="29.140625" customWidth="1"/>
    <col min="9221" max="9221" width="24.5703125" customWidth="1"/>
    <col min="9222" max="9222" width="13.140625" customWidth="1"/>
    <col min="9223" max="9223" width="8.7109375" customWidth="1"/>
    <col min="9224" max="9224" width="8" customWidth="1"/>
    <col min="9225" max="9225" width="12.28515625" customWidth="1"/>
    <col min="9226" max="9226" width="20.28515625" customWidth="1"/>
    <col min="9227" max="9227" width="13.85546875" customWidth="1"/>
    <col min="9228" max="9228" width="8" customWidth="1"/>
    <col min="9473" max="9473" width="30.140625" customWidth="1"/>
    <col min="9474" max="9474" width="15" customWidth="1"/>
    <col min="9475" max="9475" width="14.42578125" customWidth="1"/>
    <col min="9476" max="9476" width="29.140625" customWidth="1"/>
    <col min="9477" max="9477" width="24.5703125" customWidth="1"/>
    <col min="9478" max="9478" width="13.140625" customWidth="1"/>
    <col min="9479" max="9479" width="8.7109375" customWidth="1"/>
    <col min="9480" max="9480" width="8" customWidth="1"/>
    <col min="9481" max="9481" width="12.28515625" customWidth="1"/>
    <col min="9482" max="9482" width="20.28515625" customWidth="1"/>
    <col min="9483" max="9483" width="13.85546875" customWidth="1"/>
    <col min="9484" max="9484" width="8" customWidth="1"/>
    <col min="9729" max="9729" width="30.140625" customWidth="1"/>
    <col min="9730" max="9730" width="15" customWidth="1"/>
    <col min="9731" max="9731" width="14.42578125" customWidth="1"/>
    <col min="9732" max="9732" width="29.140625" customWidth="1"/>
    <col min="9733" max="9733" width="24.5703125" customWidth="1"/>
    <col min="9734" max="9734" width="13.140625" customWidth="1"/>
    <col min="9735" max="9735" width="8.7109375" customWidth="1"/>
    <col min="9736" max="9736" width="8" customWidth="1"/>
    <col min="9737" max="9737" width="12.28515625" customWidth="1"/>
    <col min="9738" max="9738" width="20.28515625" customWidth="1"/>
    <col min="9739" max="9739" width="13.85546875" customWidth="1"/>
    <col min="9740" max="9740" width="8" customWidth="1"/>
    <col min="9985" max="9985" width="30.140625" customWidth="1"/>
    <col min="9986" max="9986" width="15" customWidth="1"/>
    <col min="9987" max="9987" width="14.42578125" customWidth="1"/>
    <col min="9988" max="9988" width="29.140625" customWidth="1"/>
    <col min="9989" max="9989" width="24.5703125" customWidth="1"/>
    <col min="9990" max="9990" width="13.140625" customWidth="1"/>
    <col min="9991" max="9991" width="8.7109375" customWidth="1"/>
    <col min="9992" max="9992" width="8" customWidth="1"/>
    <col min="9993" max="9993" width="12.28515625" customWidth="1"/>
    <col min="9994" max="9994" width="20.28515625" customWidth="1"/>
    <col min="9995" max="9995" width="13.85546875" customWidth="1"/>
    <col min="9996" max="9996" width="8" customWidth="1"/>
    <col min="10241" max="10241" width="30.140625" customWidth="1"/>
    <col min="10242" max="10242" width="15" customWidth="1"/>
    <col min="10243" max="10243" width="14.42578125" customWidth="1"/>
    <col min="10244" max="10244" width="29.140625" customWidth="1"/>
    <col min="10245" max="10245" width="24.5703125" customWidth="1"/>
    <col min="10246" max="10246" width="13.140625" customWidth="1"/>
    <col min="10247" max="10247" width="8.7109375" customWidth="1"/>
    <col min="10248" max="10248" width="8" customWidth="1"/>
    <col min="10249" max="10249" width="12.28515625" customWidth="1"/>
    <col min="10250" max="10250" width="20.28515625" customWidth="1"/>
    <col min="10251" max="10251" width="13.85546875" customWidth="1"/>
    <col min="10252" max="10252" width="8" customWidth="1"/>
    <col min="10497" max="10497" width="30.140625" customWidth="1"/>
    <col min="10498" max="10498" width="15" customWidth="1"/>
    <col min="10499" max="10499" width="14.42578125" customWidth="1"/>
    <col min="10500" max="10500" width="29.140625" customWidth="1"/>
    <col min="10501" max="10501" width="24.5703125" customWidth="1"/>
    <col min="10502" max="10502" width="13.140625" customWidth="1"/>
    <col min="10503" max="10503" width="8.7109375" customWidth="1"/>
    <col min="10504" max="10504" width="8" customWidth="1"/>
    <col min="10505" max="10505" width="12.28515625" customWidth="1"/>
    <col min="10506" max="10506" width="20.28515625" customWidth="1"/>
    <col min="10507" max="10507" width="13.85546875" customWidth="1"/>
    <col min="10508" max="10508" width="8" customWidth="1"/>
    <col min="10753" max="10753" width="30.140625" customWidth="1"/>
    <col min="10754" max="10754" width="15" customWidth="1"/>
    <col min="10755" max="10755" width="14.42578125" customWidth="1"/>
    <col min="10756" max="10756" width="29.140625" customWidth="1"/>
    <col min="10757" max="10757" width="24.5703125" customWidth="1"/>
    <col min="10758" max="10758" width="13.140625" customWidth="1"/>
    <col min="10759" max="10759" width="8.7109375" customWidth="1"/>
    <col min="10760" max="10760" width="8" customWidth="1"/>
    <col min="10761" max="10761" width="12.28515625" customWidth="1"/>
    <col min="10762" max="10762" width="20.28515625" customWidth="1"/>
    <col min="10763" max="10763" width="13.85546875" customWidth="1"/>
    <col min="10764" max="10764" width="8" customWidth="1"/>
    <col min="11009" max="11009" width="30.140625" customWidth="1"/>
    <col min="11010" max="11010" width="15" customWidth="1"/>
    <col min="11011" max="11011" width="14.42578125" customWidth="1"/>
    <col min="11012" max="11012" width="29.140625" customWidth="1"/>
    <col min="11013" max="11013" width="24.5703125" customWidth="1"/>
    <col min="11014" max="11014" width="13.140625" customWidth="1"/>
    <col min="11015" max="11015" width="8.7109375" customWidth="1"/>
    <col min="11016" max="11016" width="8" customWidth="1"/>
    <col min="11017" max="11017" width="12.28515625" customWidth="1"/>
    <col min="11018" max="11018" width="20.28515625" customWidth="1"/>
    <col min="11019" max="11019" width="13.85546875" customWidth="1"/>
    <col min="11020" max="11020" width="8" customWidth="1"/>
    <col min="11265" max="11265" width="30.140625" customWidth="1"/>
    <col min="11266" max="11266" width="15" customWidth="1"/>
    <col min="11267" max="11267" width="14.42578125" customWidth="1"/>
    <col min="11268" max="11268" width="29.140625" customWidth="1"/>
    <col min="11269" max="11269" width="24.5703125" customWidth="1"/>
    <col min="11270" max="11270" width="13.140625" customWidth="1"/>
    <col min="11271" max="11271" width="8.7109375" customWidth="1"/>
    <col min="11272" max="11272" width="8" customWidth="1"/>
    <col min="11273" max="11273" width="12.28515625" customWidth="1"/>
    <col min="11274" max="11274" width="20.28515625" customWidth="1"/>
    <col min="11275" max="11275" width="13.85546875" customWidth="1"/>
    <col min="11276" max="11276" width="8" customWidth="1"/>
    <col min="11521" max="11521" width="30.140625" customWidth="1"/>
    <col min="11522" max="11522" width="15" customWidth="1"/>
    <col min="11523" max="11523" width="14.42578125" customWidth="1"/>
    <col min="11524" max="11524" width="29.140625" customWidth="1"/>
    <col min="11525" max="11525" width="24.5703125" customWidth="1"/>
    <col min="11526" max="11526" width="13.140625" customWidth="1"/>
    <col min="11527" max="11527" width="8.7109375" customWidth="1"/>
    <col min="11528" max="11528" width="8" customWidth="1"/>
    <col min="11529" max="11529" width="12.28515625" customWidth="1"/>
    <col min="11530" max="11530" width="20.28515625" customWidth="1"/>
    <col min="11531" max="11531" width="13.85546875" customWidth="1"/>
    <col min="11532" max="11532" width="8" customWidth="1"/>
    <col min="11777" max="11777" width="30.140625" customWidth="1"/>
    <col min="11778" max="11778" width="15" customWidth="1"/>
    <col min="11779" max="11779" width="14.42578125" customWidth="1"/>
    <col min="11780" max="11780" width="29.140625" customWidth="1"/>
    <col min="11781" max="11781" width="24.5703125" customWidth="1"/>
    <col min="11782" max="11782" width="13.140625" customWidth="1"/>
    <col min="11783" max="11783" width="8.7109375" customWidth="1"/>
    <col min="11784" max="11784" width="8" customWidth="1"/>
    <col min="11785" max="11785" width="12.28515625" customWidth="1"/>
    <col min="11786" max="11786" width="20.28515625" customWidth="1"/>
    <col min="11787" max="11787" width="13.85546875" customWidth="1"/>
    <col min="11788" max="11788" width="8" customWidth="1"/>
    <col min="12033" max="12033" width="30.140625" customWidth="1"/>
    <col min="12034" max="12034" width="15" customWidth="1"/>
    <col min="12035" max="12035" width="14.42578125" customWidth="1"/>
    <col min="12036" max="12036" width="29.140625" customWidth="1"/>
    <col min="12037" max="12037" width="24.5703125" customWidth="1"/>
    <col min="12038" max="12038" width="13.140625" customWidth="1"/>
    <col min="12039" max="12039" width="8.7109375" customWidth="1"/>
    <col min="12040" max="12040" width="8" customWidth="1"/>
    <col min="12041" max="12041" width="12.28515625" customWidth="1"/>
    <col min="12042" max="12042" width="20.28515625" customWidth="1"/>
    <col min="12043" max="12043" width="13.85546875" customWidth="1"/>
    <col min="12044" max="12044" width="8" customWidth="1"/>
    <col min="12289" max="12289" width="30.140625" customWidth="1"/>
    <col min="12290" max="12290" width="15" customWidth="1"/>
    <col min="12291" max="12291" width="14.42578125" customWidth="1"/>
    <col min="12292" max="12292" width="29.140625" customWidth="1"/>
    <col min="12293" max="12293" width="24.5703125" customWidth="1"/>
    <col min="12294" max="12294" width="13.140625" customWidth="1"/>
    <col min="12295" max="12295" width="8.7109375" customWidth="1"/>
    <col min="12296" max="12296" width="8" customWidth="1"/>
    <col min="12297" max="12297" width="12.28515625" customWidth="1"/>
    <col min="12298" max="12298" width="20.28515625" customWidth="1"/>
    <col min="12299" max="12299" width="13.85546875" customWidth="1"/>
    <col min="12300" max="12300" width="8" customWidth="1"/>
    <col min="12545" max="12545" width="30.140625" customWidth="1"/>
    <col min="12546" max="12546" width="15" customWidth="1"/>
    <col min="12547" max="12547" width="14.42578125" customWidth="1"/>
    <col min="12548" max="12548" width="29.140625" customWidth="1"/>
    <col min="12549" max="12549" width="24.5703125" customWidth="1"/>
    <col min="12550" max="12550" width="13.140625" customWidth="1"/>
    <col min="12551" max="12551" width="8.7109375" customWidth="1"/>
    <col min="12552" max="12552" width="8" customWidth="1"/>
    <col min="12553" max="12553" width="12.28515625" customWidth="1"/>
    <col min="12554" max="12554" width="20.28515625" customWidth="1"/>
    <col min="12555" max="12555" width="13.85546875" customWidth="1"/>
    <col min="12556" max="12556" width="8" customWidth="1"/>
    <col min="12801" max="12801" width="30.140625" customWidth="1"/>
    <col min="12802" max="12802" width="15" customWidth="1"/>
    <col min="12803" max="12803" width="14.42578125" customWidth="1"/>
    <col min="12804" max="12804" width="29.140625" customWidth="1"/>
    <col min="12805" max="12805" width="24.5703125" customWidth="1"/>
    <col min="12806" max="12806" width="13.140625" customWidth="1"/>
    <col min="12807" max="12807" width="8.7109375" customWidth="1"/>
    <col min="12808" max="12808" width="8" customWidth="1"/>
    <col min="12809" max="12809" width="12.28515625" customWidth="1"/>
    <col min="12810" max="12810" width="20.28515625" customWidth="1"/>
    <col min="12811" max="12811" width="13.85546875" customWidth="1"/>
    <col min="12812" max="12812" width="8" customWidth="1"/>
    <col min="13057" max="13057" width="30.140625" customWidth="1"/>
    <col min="13058" max="13058" width="15" customWidth="1"/>
    <col min="13059" max="13059" width="14.42578125" customWidth="1"/>
    <col min="13060" max="13060" width="29.140625" customWidth="1"/>
    <col min="13061" max="13061" width="24.5703125" customWidth="1"/>
    <col min="13062" max="13062" width="13.140625" customWidth="1"/>
    <col min="13063" max="13063" width="8.7109375" customWidth="1"/>
    <col min="13064" max="13064" width="8" customWidth="1"/>
    <col min="13065" max="13065" width="12.28515625" customWidth="1"/>
    <col min="13066" max="13066" width="20.28515625" customWidth="1"/>
    <col min="13067" max="13067" width="13.85546875" customWidth="1"/>
    <col min="13068" max="13068" width="8" customWidth="1"/>
    <col min="13313" max="13313" width="30.140625" customWidth="1"/>
    <col min="13314" max="13314" width="15" customWidth="1"/>
    <col min="13315" max="13315" width="14.42578125" customWidth="1"/>
    <col min="13316" max="13316" width="29.140625" customWidth="1"/>
    <col min="13317" max="13317" width="24.5703125" customWidth="1"/>
    <col min="13318" max="13318" width="13.140625" customWidth="1"/>
    <col min="13319" max="13319" width="8.7109375" customWidth="1"/>
    <col min="13320" max="13320" width="8" customWidth="1"/>
    <col min="13321" max="13321" width="12.28515625" customWidth="1"/>
    <col min="13322" max="13322" width="20.28515625" customWidth="1"/>
    <col min="13323" max="13323" width="13.85546875" customWidth="1"/>
    <col min="13324" max="13324" width="8" customWidth="1"/>
    <col min="13569" max="13569" width="30.140625" customWidth="1"/>
    <col min="13570" max="13570" width="15" customWidth="1"/>
    <col min="13571" max="13571" width="14.42578125" customWidth="1"/>
    <col min="13572" max="13572" width="29.140625" customWidth="1"/>
    <col min="13573" max="13573" width="24.5703125" customWidth="1"/>
    <col min="13574" max="13574" width="13.140625" customWidth="1"/>
    <col min="13575" max="13575" width="8.7109375" customWidth="1"/>
    <col min="13576" max="13576" width="8" customWidth="1"/>
    <col min="13577" max="13577" width="12.28515625" customWidth="1"/>
    <col min="13578" max="13578" width="20.28515625" customWidth="1"/>
    <col min="13579" max="13579" width="13.85546875" customWidth="1"/>
    <col min="13580" max="13580" width="8" customWidth="1"/>
    <col min="13825" max="13825" width="30.140625" customWidth="1"/>
    <col min="13826" max="13826" width="15" customWidth="1"/>
    <col min="13827" max="13827" width="14.42578125" customWidth="1"/>
    <col min="13828" max="13828" width="29.140625" customWidth="1"/>
    <col min="13829" max="13829" width="24.5703125" customWidth="1"/>
    <col min="13830" max="13830" width="13.140625" customWidth="1"/>
    <col min="13831" max="13831" width="8.7109375" customWidth="1"/>
    <col min="13832" max="13832" width="8" customWidth="1"/>
    <col min="13833" max="13833" width="12.28515625" customWidth="1"/>
    <col min="13834" max="13834" width="20.28515625" customWidth="1"/>
    <col min="13835" max="13835" width="13.85546875" customWidth="1"/>
    <col min="13836" max="13836" width="8" customWidth="1"/>
    <col min="14081" max="14081" width="30.140625" customWidth="1"/>
    <col min="14082" max="14082" width="15" customWidth="1"/>
    <col min="14083" max="14083" width="14.42578125" customWidth="1"/>
    <col min="14084" max="14084" width="29.140625" customWidth="1"/>
    <col min="14085" max="14085" width="24.5703125" customWidth="1"/>
    <col min="14086" max="14086" width="13.140625" customWidth="1"/>
    <col min="14087" max="14087" width="8.7109375" customWidth="1"/>
    <col min="14088" max="14088" width="8" customWidth="1"/>
    <col min="14089" max="14089" width="12.28515625" customWidth="1"/>
    <col min="14090" max="14090" width="20.28515625" customWidth="1"/>
    <col min="14091" max="14091" width="13.85546875" customWidth="1"/>
    <col min="14092" max="14092" width="8" customWidth="1"/>
    <col min="14337" max="14337" width="30.140625" customWidth="1"/>
    <col min="14338" max="14338" width="15" customWidth="1"/>
    <col min="14339" max="14339" width="14.42578125" customWidth="1"/>
    <col min="14340" max="14340" width="29.140625" customWidth="1"/>
    <col min="14341" max="14341" width="24.5703125" customWidth="1"/>
    <col min="14342" max="14342" width="13.140625" customWidth="1"/>
    <col min="14343" max="14343" width="8.7109375" customWidth="1"/>
    <col min="14344" max="14344" width="8" customWidth="1"/>
    <col min="14345" max="14345" width="12.28515625" customWidth="1"/>
    <col min="14346" max="14346" width="20.28515625" customWidth="1"/>
    <col min="14347" max="14347" width="13.85546875" customWidth="1"/>
    <col min="14348" max="14348" width="8" customWidth="1"/>
    <col min="14593" max="14593" width="30.140625" customWidth="1"/>
    <col min="14594" max="14594" width="15" customWidth="1"/>
    <col min="14595" max="14595" width="14.42578125" customWidth="1"/>
    <col min="14596" max="14596" width="29.140625" customWidth="1"/>
    <col min="14597" max="14597" width="24.5703125" customWidth="1"/>
    <col min="14598" max="14598" width="13.140625" customWidth="1"/>
    <col min="14599" max="14599" width="8.7109375" customWidth="1"/>
    <col min="14600" max="14600" width="8" customWidth="1"/>
    <col min="14601" max="14601" width="12.28515625" customWidth="1"/>
    <col min="14602" max="14602" width="20.28515625" customWidth="1"/>
    <col min="14603" max="14603" width="13.85546875" customWidth="1"/>
    <col min="14604" max="14604" width="8" customWidth="1"/>
    <col min="14849" max="14849" width="30.140625" customWidth="1"/>
    <col min="14850" max="14850" width="15" customWidth="1"/>
    <col min="14851" max="14851" width="14.42578125" customWidth="1"/>
    <col min="14852" max="14852" width="29.140625" customWidth="1"/>
    <col min="14853" max="14853" width="24.5703125" customWidth="1"/>
    <col min="14854" max="14854" width="13.140625" customWidth="1"/>
    <col min="14855" max="14855" width="8.7109375" customWidth="1"/>
    <col min="14856" max="14856" width="8" customWidth="1"/>
    <col min="14857" max="14857" width="12.28515625" customWidth="1"/>
    <col min="14858" max="14858" width="20.28515625" customWidth="1"/>
    <col min="14859" max="14859" width="13.85546875" customWidth="1"/>
    <col min="14860" max="14860" width="8" customWidth="1"/>
    <col min="15105" max="15105" width="30.140625" customWidth="1"/>
    <col min="15106" max="15106" width="15" customWidth="1"/>
    <col min="15107" max="15107" width="14.42578125" customWidth="1"/>
    <col min="15108" max="15108" width="29.140625" customWidth="1"/>
    <col min="15109" max="15109" width="24.5703125" customWidth="1"/>
    <col min="15110" max="15110" width="13.140625" customWidth="1"/>
    <col min="15111" max="15111" width="8.7109375" customWidth="1"/>
    <col min="15112" max="15112" width="8" customWidth="1"/>
    <col min="15113" max="15113" width="12.28515625" customWidth="1"/>
    <col min="15114" max="15114" width="20.28515625" customWidth="1"/>
    <col min="15115" max="15115" width="13.85546875" customWidth="1"/>
    <col min="15116" max="15116" width="8" customWidth="1"/>
    <col min="15361" max="15361" width="30.140625" customWidth="1"/>
    <col min="15362" max="15362" width="15" customWidth="1"/>
    <col min="15363" max="15363" width="14.42578125" customWidth="1"/>
    <col min="15364" max="15364" width="29.140625" customWidth="1"/>
    <col min="15365" max="15365" width="24.5703125" customWidth="1"/>
    <col min="15366" max="15366" width="13.140625" customWidth="1"/>
    <col min="15367" max="15367" width="8.7109375" customWidth="1"/>
    <col min="15368" max="15368" width="8" customWidth="1"/>
    <col min="15369" max="15369" width="12.28515625" customWidth="1"/>
    <col min="15370" max="15370" width="20.28515625" customWidth="1"/>
    <col min="15371" max="15371" width="13.85546875" customWidth="1"/>
    <col min="15372" max="15372" width="8" customWidth="1"/>
    <col min="15617" max="15617" width="30.140625" customWidth="1"/>
    <col min="15618" max="15618" width="15" customWidth="1"/>
    <col min="15619" max="15619" width="14.42578125" customWidth="1"/>
    <col min="15620" max="15620" width="29.140625" customWidth="1"/>
    <col min="15621" max="15621" width="24.5703125" customWidth="1"/>
    <col min="15622" max="15622" width="13.140625" customWidth="1"/>
    <col min="15623" max="15623" width="8.7109375" customWidth="1"/>
    <col min="15624" max="15624" width="8" customWidth="1"/>
    <col min="15625" max="15625" width="12.28515625" customWidth="1"/>
    <col min="15626" max="15626" width="20.28515625" customWidth="1"/>
    <col min="15627" max="15627" width="13.85546875" customWidth="1"/>
    <col min="15628" max="15628" width="8" customWidth="1"/>
    <col min="15873" max="15873" width="30.140625" customWidth="1"/>
    <col min="15874" max="15874" width="15" customWidth="1"/>
    <col min="15875" max="15875" width="14.42578125" customWidth="1"/>
    <col min="15876" max="15876" width="29.140625" customWidth="1"/>
    <col min="15877" max="15877" width="24.5703125" customWidth="1"/>
    <col min="15878" max="15878" width="13.140625" customWidth="1"/>
    <col min="15879" max="15879" width="8.7109375" customWidth="1"/>
    <col min="15880" max="15880" width="8" customWidth="1"/>
    <col min="15881" max="15881" width="12.28515625" customWidth="1"/>
    <col min="15882" max="15882" width="20.28515625" customWidth="1"/>
    <col min="15883" max="15883" width="13.85546875" customWidth="1"/>
    <col min="15884" max="15884" width="8" customWidth="1"/>
    <col min="16129" max="16129" width="30.140625" customWidth="1"/>
    <col min="16130" max="16130" width="15" customWidth="1"/>
    <col min="16131" max="16131" width="14.42578125" customWidth="1"/>
    <col min="16132" max="16132" width="29.140625" customWidth="1"/>
    <col min="16133" max="16133" width="24.5703125" customWidth="1"/>
    <col min="16134" max="16134" width="13.140625" customWidth="1"/>
    <col min="16135" max="16135" width="8.7109375" customWidth="1"/>
    <col min="16136" max="16136" width="8" customWidth="1"/>
    <col min="16137" max="16137" width="12.28515625" customWidth="1"/>
    <col min="16138" max="16138" width="20.28515625" customWidth="1"/>
    <col min="16139" max="16139" width="13.85546875" customWidth="1"/>
    <col min="16140" max="16140" width="8" customWidth="1"/>
  </cols>
  <sheetData>
    <row r="1" spans="1:13" ht="12.75" customHeight="1">
      <c r="B1" s="125"/>
      <c r="E1" s="126"/>
    </row>
    <row r="2" spans="1:13" ht="12.75" customHeight="1">
      <c r="A2" s="127" t="s">
        <v>135</v>
      </c>
      <c r="B2" s="126"/>
      <c r="C2" s="204"/>
      <c r="E2" s="126"/>
    </row>
    <row r="3" spans="1:13" ht="12.75" customHeight="1">
      <c r="A3" t="s">
        <v>534</v>
      </c>
      <c r="B3" s="204">
        <f>Historico!I24</f>
        <v>43556</v>
      </c>
      <c r="D3" s="128"/>
      <c r="E3" s="129"/>
    </row>
    <row r="4" spans="1:13" ht="12.75" customHeight="1">
      <c r="A4" t="s">
        <v>533</v>
      </c>
      <c r="B4" s="209">
        <f>Historico!B24</f>
        <v>132572.97</v>
      </c>
      <c r="E4" s="125"/>
    </row>
    <row r="5" spans="1:13" ht="12.75" customHeight="1">
      <c r="A5" t="s">
        <v>136</v>
      </c>
      <c r="B5" s="130">
        <f>(12*(YEAR(Historico!I82) - YEAR(B3)))+4-MONTH(B3)</f>
        <v>348</v>
      </c>
      <c r="E5" s="126"/>
      <c r="J5" s="131" t="s">
        <v>137</v>
      </c>
      <c r="L5" s="128" t="s">
        <v>138</v>
      </c>
      <c r="M5" t="s">
        <v>139</v>
      </c>
    </row>
    <row r="6" spans="1:13" ht="12.75" customHeight="1">
      <c r="A6" t="s">
        <v>140</v>
      </c>
      <c r="B6" s="132">
        <f>E19</f>
        <v>-0.16900000000000001</v>
      </c>
      <c r="C6" s="128" t="s">
        <v>141</v>
      </c>
      <c r="D6" s="127" t="s">
        <v>142</v>
      </c>
      <c r="E6" s="126"/>
      <c r="J6" t="s">
        <v>143</v>
      </c>
      <c r="K6" s="133">
        <f>B4-B15</f>
        <v>132209.9522452362</v>
      </c>
      <c r="L6" s="123">
        <f>B4*(E8/100)</f>
        <v>36.568044225000001</v>
      </c>
      <c r="M6" s="133">
        <f>B13-L6</f>
        <v>363.01775476379282</v>
      </c>
    </row>
    <row r="7" spans="1:13" ht="12.75" customHeight="1">
      <c r="E7" s="126"/>
      <c r="J7" t="s">
        <v>144</v>
      </c>
      <c r="K7" s="133">
        <f>K6-(B13-L7)</f>
        <v>131846.83435807505</v>
      </c>
      <c r="L7" s="123">
        <f>(K6*(E8/100))</f>
        <v>36.467911827644322</v>
      </c>
      <c r="M7" s="133">
        <f>B13-L7</f>
        <v>363.11788716114847</v>
      </c>
    </row>
    <row r="8" spans="1:13" ht="12.75" customHeight="1">
      <c r="B8" s="126"/>
      <c r="D8" t="s">
        <v>600</v>
      </c>
      <c r="E8" s="134">
        <f>(B6+0.5)/12</f>
        <v>2.7583333333333331E-2</v>
      </c>
      <c r="J8" t="s">
        <v>145</v>
      </c>
      <c r="K8" s="133">
        <f>K7-(B13-L8)</f>
        <v>131483.6163108967</v>
      </c>
      <c r="L8" s="123">
        <f>(K7*(E8/100))</f>
        <v>36.367751810435699</v>
      </c>
      <c r="M8" s="133">
        <f>B13-L8</f>
        <v>363.2180471783571</v>
      </c>
    </row>
    <row r="9" spans="1:13" ht="12.75" customHeight="1">
      <c r="B9" s="126"/>
      <c r="D9" t="s">
        <v>146</v>
      </c>
      <c r="E9" s="134">
        <f>1+(E8/100)</f>
        <v>1.0002758333333333</v>
      </c>
      <c r="J9" t="s">
        <v>147</v>
      </c>
      <c r="K9" s="133">
        <f>K8-(B13-L9)</f>
        <v>131120.29807607367</v>
      </c>
      <c r="L9" s="123">
        <f>(K8*(E8/100))</f>
        <v>36.267564165755672</v>
      </c>
      <c r="M9" s="133">
        <f>B13-L9</f>
        <v>363.31823482303713</v>
      </c>
    </row>
    <row r="10" spans="1:13" ht="12.75" customHeight="1">
      <c r="B10" s="126"/>
      <c r="D10" t="s">
        <v>148</v>
      </c>
      <c r="E10" s="134">
        <f>E9^-B5</f>
        <v>0.90848512555365957</v>
      </c>
      <c r="J10" t="s">
        <v>149</v>
      </c>
      <c r="K10" s="133">
        <f>K9-(B13-L10)</f>
        <v>130756.87962597086</v>
      </c>
      <c r="L10" s="123">
        <f>(K9*(E8/100))</f>
        <v>36.167348885983657</v>
      </c>
      <c r="M10" s="133">
        <f>B13-L10</f>
        <v>363.41845010280917</v>
      </c>
    </row>
    <row r="11" spans="1:13" ht="12.75" customHeight="1">
      <c r="A11" s="127" t="s">
        <v>150</v>
      </c>
      <c r="B11" s="126"/>
      <c r="D11" t="s">
        <v>151</v>
      </c>
      <c r="E11" s="134">
        <f>100*(1-E10)</f>
        <v>9.1514874446340428</v>
      </c>
      <c r="J11" t="s">
        <v>152</v>
      </c>
      <c r="K11" s="135">
        <f>K10-(B13-L11)</f>
        <v>130393.36093294556</v>
      </c>
      <c r="L11" s="123">
        <f>(K10*(E8/100))</f>
        <v>36.067105963496964</v>
      </c>
      <c r="M11" s="133">
        <f>B13-L11</f>
        <v>363.51869302529587</v>
      </c>
    </row>
    <row r="12" spans="1:13" ht="12.75" customHeight="1">
      <c r="B12" s="126"/>
      <c r="E12" s="126"/>
    </row>
    <row r="13" spans="1:13" ht="12.75" customHeight="1">
      <c r="A13" t="s">
        <v>153</v>
      </c>
      <c r="B13" s="136">
        <f>(B4*E8)/E11</f>
        <v>399.58579898879282</v>
      </c>
      <c r="E13" s="126"/>
      <c r="F13" s="128"/>
      <c r="G13" s="137"/>
      <c r="L13" s="138">
        <f>SUM(L6:L11)</f>
        <v>217.9057268783163</v>
      </c>
      <c r="M13" s="138">
        <f>SUM(M6:M11)</f>
        <v>2179.6090670544404</v>
      </c>
    </row>
    <row r="14" spans="1:13" ht="12.75" customHeight="1">
      <c r="A14" t="s">
        <v>154</v>
      </c>
      <c r="B14" s="139">
        <f>B4*(E8/100)</f>
        <v>36.568044225000001</v>
      </c>
      <c r="E14" s="126"/>
    </row>
    <row r="15" spans="1:13" ht="12.75" customHeight="1">
      <c r="A15" t="s">
        <v>155</v>
      </c>
      <c r="B15" s="139">
        <f>B13-B14</f>
        <v>363.01775476379282</v>
      </c>
      <c r="E15" s="126"/>
    </row>
    <row r="16" spans="1:13" ht="12.75" customHeight="1">
      <c r="B16" s="126"/>
      <c r="E16" s="126"/>
    </row>
    <row r="17" spans="1:9" ht="12.75" customHeight="1">
      <c r="B17" s="126"/>
      <c r="D17" t="s">
        <v>156</v>
      </c>
      <c r="E17" s="137">
        <f>B13-Historico!C21</f>
        <v>399.5873589887928</v>
      </c>
    </row>
    <row r="18" spans="1:9" ht="12.75" customHeight="1">
      <c r="B18" s="126"/>
      <c r="E18" s="126"/>
    </row>
    <row r="19" spans="1:9" ht="12.75" customHeight="1">
      <c r="B19" s="134"/>
      <c r="D19" t="s">
        <v>157</v>
      </c>
      <c r="E19" s="140">
        <f>E20/G45</f>
        <v>-0.16900000000000001</v>
      </c>
      <c r="F19" t="s">
        <v>158</v>
      </c>
    </row>
    <row r="20" spans="1:9" ht="12.75" customHeight="1">
      <c r="B20" s="126"/>
      <c r="D20" t="s">
        <v>159</v>
      </c>
      <c r="E20" s="141">
        <f>SUM(E21:E54)</f>
        <v>-0.16900000000000001</v>
      </c>
    </row>
    <row r="21" spans="1:9" ht="12.75" customHeight="1">
      <c r="E21" s="126">
        <v>-0.16900000000000001</v>
      </c>
      <c r="F21">
        <v>1</v>
      </c>
      <c r="G21" s="141">
        <f>IF(E21="",0,1)</f>
        <v>1</v>
      </c>
      <c r="I21" s="126"/>
    </row>
    <row r="22" spans="1:9" ht="12.75" customHeight="1">
      <c r="A22" s="128" t="s">
        <v>160</v>
      </c>
      <c r="B22" s="137">
        <f>(B13-L6)+(B13-L7)+(B13-L8)+(B13-L9)+(B13-L10)+(B13-L11)</f>
        <v>2179.6090670544404</v>
      </c>
      <c r="C22" s="142">
        <f>B22/170000</f>
        <v>1.2821229806202591E-2</v>
      </c>
      <c r="E22" s="126"/>
      <c r="F22">
        <v>2</v>
      </c>
      <c r="G22" s="141">
        <f t="shared" ref="G22:G40" si="0">IF(E22="",0,1)</f>
        <v>0</v>
      </c>
    </row>
    <row r="23" spans="1:9" ht="12.75" customHeight="1">
      <c r="A23" t="s">
        <v>161</v>
      </c>
      <c r="B23" s="137">
        <f>K11</f>
        <v>130393.36093294556</v>
      </c>
      <c r="C23" s="143">
        <f>6/(40*6)</f>
        <v>2.5000000000000001E-2</v>
      </c>
      <c r="E23" s="126"/>
      <c r="F23">
        <v>3</v>
      </c>
      <c r="G23" s="141">
        <f t="shared" si="0"/>
        <v>0</v>
      </c>
    </row>
    <row r="24" spans="1:9" ht="12.75" customHeight="1">
      <c r="E24" s="126"/>
      <c r="F24">
        <v>6</v>
      </c>
      <c r="G24" s="141">
        <f t="shared" si="0"/>
        <v>0</v>
      </c>
    </row>
    <row r="25" spans="1:9" ht="12.75" customHeight="1">
      <c r="E25" s="126"/>
      <c r="F25">
        <v>7</v>
      </c>
      <c r="G25" s="141">
        <f t="shared" si="0"/>
        <v>0</v>
      </c>
    </row>
    <row r="26" spans="1:9" ht="12.75" customHeight="1">
      <c r="E26" s="126"/>
      <c r="F26">
        <v>8</v>
      </c>
      <c r="G26" s="141">
        <f t="shared" si="0"/>
        <v>0</v>
      </c>
    </row>
    <row r="27" spans="1:9" ht="12.75" customHeight="1">
      <c r="E27" s="126"/>
      <c r="F27">
        <v>9</v>
      </c>
      <c r="G27" s="141">
        <f t="shared" si="0"/>
        <v>0</v>
      </c>
    </row>
    <row r="28" spans="1:9" ht="12.75" customHeight="1">
      <c r="C28" s="143">
        <f>1-(35/40)</f>
        <v>0.125</v>
      </c>
      <c r="E28" s="126"/>
      <c r="F28">
        <v>10</v>
      </c>
      <c r="G28" s="141">
        <f t="shared" si="0"/>
        <v>0</v>
      </c>
    </row>
    <row r="29" spans="1:9" ht="12.75" customHeight="1">
      <c r="C29" s="143">
        <f>1-(B4/170000)</f>
        <v>0.22015899999999999</v>
      </c>
      <c r="E29" s="126"/>
      <c r="F29">
        <v>13</v>
      </c>
      <c r="G29" s="141">
        <f t="shared" si="0"/>
        <v>0</v>
      </c>
    </row>
    <row r="30" spans="1:9" ht="12.75" customHeight="1">
      <c r="C30" s="143">
        <f>C28-C29</f>
        <v>-9.5158999999999994E-2</v>
      </c>
      <c r="E30" s="126"/>
      <c r="F30">
        <v>14</v>
      </c>
      <c r="G30" s="141">
        <f t="shared" si="0"/>
        <v>0</v>
      </c>
    </row>
    <row r="31" spans="1:9" ht="12.75" customHeight="1">
      <c r="E31" s="126"/>
      <c r="F31">
        <v>15</v>
      </c>
      <c r="G31" s="141">
        <f t="shared" si="0"/>
        <v>0</v>
      </c>
    </row>
    <row r="32" spans="1:9" ht="12.75" customHeight="1">
      <c r="E32" s="126"/>
      <c r="F32">
        <v>16</v>
      </c>
      <c r="G32" s="141">
        <f t="shared" si="0"/>
        <v>0</v>
      </c>
    </row>
    <row r="33" spans="2:7" ht="12.75" customHeight="1">
      <c r="C33" s="143">
        <f>1-(((12*35)-6)/(40*12))</f>
        <v>0.13749999999999996</v>
      </c>
      <c r="E33" s="126"/>
      <c r="F33">
        <v>17</v>
      </c>
      <c r="G33" s="141">
        <f t="shared" si="0"/>
        <v>0</v>
      </c>
    </row>
    <row r="34" spans="2:7" ht="12.75" customHeight="1">
      <c r="C34" s="142">
        <f>1-(K11/170000)</f>
        <v>0.23298022980620259</v>
      </c>
      <c r="E34" s="126"/>
      <c r="F34">
        <v>20</v>
      </c>
      <c r="G34" s="141">
        <f t="shared" si="0"/>
        <v>0</v>
      </c>
    </row>
    <row r="35" spans="2:7" ht="12.75" customHeight="1">
      <c r="C35" s="142">
        <f>C33-C34</f>
        <v>-9.5480229806202632E-2</v>
      </c>
      <c r="E35" s="126"/>
      <c r="F35">
        <v>21</v>
      </c>
      <c r="G35" s="141">
        <f t="shared" si="0"/>
        <v>0</v>
      </c>
    </row>
    <row r="36" spans="2:7" ht="12.75" customHeight="1">
      <c r="E36" s="126"/>
      <c r="F36">
        <v>22</v>
      </c>
      <c r="G36" s="141">
        <f t="shared" si="0"/>
        <v>0</v>
      </c>
    </row>
    <row r="37" spans="2:7" ht="12.75" customHeight="1">
      <c r="E37" s="126"/>
      <c r="F37">
        <v>23</v>
      </c>
      <c r="G37" s="141">
        <f t="shared" si="0"/>
        <v>0</v>
      </c>
    </row>
    <row r="38" spans="2:7" ht="12.75" customHeight="1">
      <c r="E38" s="126"/>
      <c r="F38">
        <v>24</v>
      </c>
      <c r="G38" s="141">
        <f t="shared" si="0"/>
        <v>0</v>
      </c>
    </row>
    <row r="39" spans="2:7" ht="12.75" customHeight="1">
      <c r="E39" s="126"/>
      <c r="F39">
        <v>27</v>
      </c>
      <c r="G39" s="141">
        <f t="shared" si="0"/>
        <v>0</v>
      </c>
    </row>
    <row r="40" spans="2:7" ht="12.75" customHeight="1">
      <c r="E40" s="126"/>
      <c r="F40">
        <v>28</v>
      </c>
      <c r="G40" s="141">
        <f t="shared" si="0"/>
        <v>0</v>
      </c>
    </row>
    <row r="41" spans="2:7" ht="12.75" customHeight="1">
      <c r="E41" s="126"/>
      <c r="F41">
        <v>29</v>
      </c>
      <c r="G41" s="141">
        <f t="shared" ref="G41:G43" si="1">IF(E41="",0,1)</f>
        <v>0</v>
      </c>
    </row>
    <row r="42" spans="2:7" ht="12.75" customHeight="1">
      <c r="E42" s="126"/>
      <c r="F42">
        <v>30</v>
      </c>
      <c r="G42" s="141">
        <f t="shared" si="1"/>
        <v>0</v>
      </c>
    </row>
    <row r="43" spans="2:7" ht="12.75" customHeight="1">
      <c r="B43" s="123"/>
      <c r="E43" s="126"/>
      <c r="F43">
        <v>31</v>
      </c>
      <c r="G43" s="141">
        <f t="shared" si="1"/>
        <v>0</v>
      </c>
    </row>
    <row r="45" spans="2:7" ht="12.75" customHeight="1">
      <c r="G45" s="141">
        <f>SUM(G21:G43)</f>
        <v>1</v>
      </c>
    </row>
    <row r="46" spans="2:7">
      <c r="B46" s="144"/>
    </row>
    <row r="56" spans="3:3">
      <c r="C56" s="123"/>
    </row>
    <row r="57" spans="3:3">
      <c r="C57" s="123"/>
    </row>
    <row r="58" spans="3:3">
      <c r="C58" s="123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63"/>
  <sheetViews>
    <sheetView workbookViewId="0">
      <selection activeCell="C70" sqref="C70"/>
    </sheetView>
  </sheetViews>
  <sheetFormatPr defaultColWidth="11" defaultRowHeight="15"/>
  <cols>
    <col min="3" max="3" width="14.140625" customWidth="1"/>
    <col min="4" max="4" width="18" customWidth="1"/>
  </cols>
  <sheetData>
    <row r="1" spans="1:5" ht="15.75" thickBot="1">
      <c r="A1" s="176">
        <v>258.47000000000003</v>
      </c>
    </row>
    <row r="2" spans="1:5" ht="15.75" thickBot="1">
      <c r="A2" s="176">
        <v>9486.92</v>
      </c>
      <c r="B2" s="148" t="s">
        <v>191</v>
      </c>
      <c r="C2" s="145" t="s">
        <v>192</v>
      </c>
      <c r="D2" s="147" t="s">
        <v>193</v>
      </c>
    </row>
    <row r="3" spans="1:5">
      <c r="B3" s="163">
        <v>43074</v>
      </c>
      <c r="C3" s="154">
        <v>0</v>
      </c>
      <c r="D3" s="150">
        <v>24736.65</v>
      </c>
      <c r="E3" t="s">
        <v>194</v>
      </c>
    </row>
    <row r="4" spans="1:5">
      <c r="B4" s="163">
        <f>EDATE(B3,1)</f>
        <v>43105</v>
      </c>
      <c r="C4" s="154">
        <f>C3+A$1</f>
        <v>258.47000000000003</v>
      </c>
      <c r="D4" s="150">
        <f>D3-A$1</f>
        <v>24478.18</v>
      </c>
      <c r="E4" t="s">
        <v>194</v>
      </c>
    </row>
    <row r="5" spans="1:5">
      <c r="B5" s="163">
        <f>EDATE(B4,1)</f>
        <v>43136</v>
      </c>
      <c r="C5" s="154">
        <f>C4+A$1</f>
        <v>516.94000000000005</v>
      </c>
      <c r="D5" s="150">
        <f t="shared" ref="D5:D61" si="0">D4-A$1</f>
        <v>24219.71</v>
      </c>
      <c r="E5" t="s">
        <v>194</v>
      </c>
    </row>
    <row r="6" spans="1:5">
      <c r="B6" s="163">
        <f t="shared" ref="B6:B63" si="1">EDATE(B5,1)</f>
        <v>43164</v>
      </c>
      <c r="C6" s="154">
        <f t="shared" ref="C6:C62" si="2">C5+A$1</f>
        <v>775.41000000000008</v>
      </c>
      <c r="D6" s="150">
        <f t="shared" si="0"/>
        <v>23961.239999999998</v>
      </c>
      <c r="E6" t="s">
        <v>194</v>
      </c>
    </row>
    <row r="7" spans="1:5">
      <c r="B7" s="163">
        <f t="shared" si="1"/>
        <v>43195</v>
      </c>
      <c r="C7" s="154">
        <f t="shared" si="2"/>
        <v>1033.8800000000001</v>
      </c>
      <c r="D7" s="150">
        <f t="shared" si="0"/>
        <v>23702.769999999997</v>
      </c>
      <c r="E7" t="s">
        <v>194</v>
      </c>
    </row>
    <row r="8" spans="1:5">
      <c r="B8" s="163">
        <f t="shared" si="1"/>
        <v>43225</v>
      </c>
      <c r="C8" s="154">
        <f t="shared" si="2"/>
        <v>1292.3500000000001</v>
      </c>
      <c r="D8" s="150">
        <f t="shared" si="0"/>
        <v>23444.299999999996</v>
      </c>
      <c r="E8" t="s">
        <v>194</v>
      </c>
    </row>
    <row r="9" spans="1:5">
      <c r="B9" s="163">
        <f t="shared" si="1"/>
        <v>43256</v>
      </c>
      <c r="C9" s="154">
        <f t="shared" si="2"/>
        <v>1550.8200000000002</v>
      </c>
      <c r="D9" s="150">
        <f t="shared" si="0"/>
        <v>23185.829999999994</v>
      </c>
      <c r="E9" t="s">
        <v>194</v>
      </c>
    </row>
    <row r="10" spans="1:5">
      <c r="B10" s="163">
        <f t="shared" si="1"/>
        <v>43286</v>
      </c>
      <c r="C10" s="154">
        <f t="shared" si="2"/>
        <v>1809.2900000000002</v>
      </c>
      <c r="D10" s="150">
        <f t="shared" si="0"/>
        <v>22927.359999999993</v>
      </c>
      <c r="E10" t="s">
        <v>194</v>
      </c>
    </row>
    <row r="11" spans="1:5">
      <c r="B11" s="163">
        <f t="shared" si="1"/>
        <v>43317</v>
      </c>
      <c r="C11" s="154">
        <f t="shared" si="2"/>
        <v>2067.7600000000002</v>
      </c>
      <c r="D11" s="150">
        <f t="shared" si="0"/>
        <v>22668.889999999992</v>
      </c>
      <c r="E11" t="s">
        <v>194</v>
      </c>
    </row>
    <row r="12" spans="1:5">
      <c r="B12" s="163">
        <f t="shared" si="1"/>
        <v>43348</v>
      </c>
      <c r="C12" s="154">
        <f t="shared" si="2"/>
        <v>2326.2300000000005</v>
      </c>
      <c r="D12" s="150">
        <f t="shared" si="0"/>
        <v>22410.419999999991</v>
      </c>
      <c r="E12" t="s">
        <v>194</v>
      </c>
    </row>
    <row r="13" spans="1:5">
      <c r="B13" s="163">
        <f t="shared" si="1"/>
        <v>43378</v>
      </c>
      <c r="C13" s="154">
        <f t="shared" si="2"/>
        <v>2584.7000000000007</v>
      </c>
      <c r="D13" s="150">
        <f t="shared" si="0"/>
        <v>22151.94999999999</v>
      </c>
    </row>
    <row r="14" spans="1:5">
      <c r="B14" s="163">
        <f t="shared" si="1"/>
        <v>43409</v>
      </c>
      <c r="C14" s="154">
        <f t="shared" si="2"/>
        <v>2843.170000000001</v>
      </c>
      <c r="D14" s="150">
        <f t="shared" si="0"/>
        <v>21893.479999999989</v>
      </c>
    </row>
    <row r="15" spans="1:5">
      <c r="B15" s="163">
        <f t="shared" si="1"/>
        <v>43439</v>
      </c>
      <c r="C15" s="154">
        <f t="shared" si="2"/>
        <v>3101.6400000000012</v>
      </c>
      <c r="D15" s="150">
        <f t="shared" si="0"/>
        <v>21635.009999999987</v>
      </c>
    </row>
    <row r="16" spans="1:5">
      <c r="B16" s="163">
        <f t="shared" si="1"/>
        <v>43470</v>
      </c>
      <c r="C16" s="154">
        <f t="shared" si="2"/>
        <v>3360.1100000000015</v>
      </c>
      <c r="D16" s="150">
        <f t="shared" si="0"/>
        <v>21376.539999999986</v>
      </c>
    </row>
    <row r="17" spans="2:4">
      <c r="B17" s="163">
        <f t="shared" si="1"/>
        <v>43501</v>
      </c>
      <c r="C17" s="154">
        <f t="shared" si="2"/>
        <v>3618.5800000000017</v>
      </c>
      <c r="D17" s="150">
        <f t="shared" si="0"/>
        <v>21118.069999999985</v>
      </c>
    </row>
    <row r="18" spans="2:4">
      <c r="B18" s="163">
        <f t="shared" si="1"/>
        <v>43529</v>
      </c>
      <c r="C18" s="154">
        <f t="shared" si="2"/>
        <v>3877.050000000002</v>
      </c>
      <c r="D18" s="150">
        <f t="shared" si="0"/>
        <v>20859.599999999984</v>
      </c>
    </row>
    <row r="19" spans="2:4">
      <c r="B19" s="163">
        <f t="shared" si="1"/>
        <v>43560</v>
      </c>
      <c r="C19" s="154">
        <f t="shared" si="2"/>
        <v>4135.5200000000023</v>
      </c>
      <c r="D19" s="150">
        <f t="shared" si="0"/>
        <v>20601.129999999983</v>
      </c>
    </row>
    <row r="20" spans="2:4">
      <c r="B20" s="163">
        <f t="shared" si="1"/>
        <v>43590</v>
      </c>
      <c r="C20" s="154">
        <f t="shared" si="2"/>
        <v>4393.9900000000025</v>
      </c>
      <c r="D20" s="150">
        <f t="shared" si="0"/>
        <v>20342.659999999982</v>
      </c>
    </row>
    <row r="21" spans="2:4">
      <c r="B21" s="163">
        <f t="shared" si="1"/>
        <v>43621</v>
      </c>
      <c r="C21" s="154">
        <f t="shared" si="2"/>
        <v>4652.4600000000028</v>
      </c>
      <c r="D21" s="150">
        <f t="shared" si="0"/>
        <v>20084.189999999981</v>
      </c>
    </row>
    <row r="22" spans="2:4">
      <c r="B22" s="163">
        <f t="shared" si="1"/>
        <v>43651</v>
      </c>
      <c r="C22" s="154">
        <f t="shared" si="2"/>
        <v>4910.930000000003</v>
      </c>
      <c r="D22" s="150">
        <f t="shared" si="0"/>
        <v>19825.719999999979</v>
      </c>
    </row>
    <row r="23" spans="2:4">
      <c r="B23" s="163">
        <f t="shared" si="1"/>
        <v>43682</v>
      </c>
      <c r="C23" s="154">
        <f t="shared" si="2"/>
        <v>5169.4000000000033</v>
      </c>
      <c r="D23" s="150">
        <f t="shared" si="0"/>
        <v>19567.249999999978</v>
      </c>
    </row>
    <row r="24" spans="2:4">
      <c r="B24" s="163">
        <f t="shared" si="1"/>
        <v>43713</v>
      </c>
      <c r="C24" s="154">
        <f t="shared" si="2"/>
        <v>5427.8700000000035</v>
      </c>
      <c r="D24" s="150">
        <f t="shared" si="0"/>
        <v>19308.779999999977</v>
      </c>
    </row>
    <row r="25" spans="2:4">
      <c r="B25" s="163">
        <f t="shared" si="1"/>
        <v>43743</v>
      </c>
      <c r="C25" s="154">
        <f t="shared" si="2"/>
        <v>5686.3400000000038</v>
      </c>
      <c r="D25" s="150">
        <f t="shared" si="0"/>
        <v>19050.309999999976</v>
      </c>
    </row>
    <row r="26" spans="2:4">
      <c r="B26" s="163">
        <f t="shared" si="1"/>
        <v>43774</v>
      </c>
      <c r="C26" s="154">
        <f t="shared" si="2"/>
        <v>5944.810000000004</v>
      </c>
      <c r="D26" s="150">
        <f t="shared" si="0"/>
        <v>18791.839999999975</v>
      </c>
    </row>
    <row r="27" spans="2:4">
      <c r="B27" s="163">
        <f t="shared" si="1"/>
        <v>43804</v>
      </c>
      <c r="C27" s="154">
        <f t="shared" si="2"/>
        <v>6203.2800000000043</v>
      </c>
      <c r="D27" s="150">
        <f t="shared" si="0"/>
        <v>18533.369999999974</v>
      </c>
    </row>
    <row r="28" spans="2:4">
      <c r="B28" s="163">
        <f t="shared" si="1"/>
        <v>43835</v>
      </c>
      <c r="C28" s="154">
        <f t="shared" si="2"/>
        <v>6461.7500000000045</v>
      </c>
      <c r="D28" s="150">
        <f t="shared" si="0"/>
        <v>18274.899999999972</v>
      </c>
    </row>
    <row r="29" spans="2:4">
      <c r="B29" s="163">
        <f t="shared" si="1"/>
        <v>43866</v>
      </c>
      <c r="C29" s="154">
        <f t="shared" si="2"/>
        <v>6720.2200000000048</v>
      </c>
      <c r="D29" s="150">
        <f t="shared" si="0"/>
        <v>18016.429999999971</v>
      </c>
    </row>
    <row r="30" spans="2:4">
      <c r="B30" s="163">
        <f t="shared" si="1"/>
        <v>43895</v>
      </c>
      <c r="C30" s="154">
        <f t="shared" si="2"/>
        <v>6978.6900000000051</v>
      </c>
      <c r="D30" s="150">
        <f t="shared" si="0"/>
        <v>17757.95999999997</v>
      </c>
    </row>
    <row r="31" spans="2:4">
      <c r="B31" s="163">
        <f t="shared" si="1"/>
        <v>43926</v>
      </c>
      <c r="C31" s="154">
        <f t="shared" si="2"/>
        <v>7237.1600000000053</v>
      </c>
      <c r="D31" s="150">
        <f t="shared" si="0"/>
        <v>17499.489999999969</v>
      </c>
    </row>
    <row r="32" spans="2:4">
      <c r="B32" s="163">
        <f t="shared" si="1"/>
        <v>43956</v>
      </c>
      <c r="C32" s="154">
        <f t="shared" si="2"/>
        <v>7495.6300000000056</v>
      </c>
      <c r="D32" s="150">
        <f t="shared" si="0"/>
        <v>17241.019999999968</v>
      </c>
    </row>
    <row r="33" spans="2:4">
      <c r="B33" s="163">
        <f t="shared" si="1"/>
        <v>43987</v>
      </c>
      <c r="C33" s="154">
        <f t="shared" si="2"/>
        <v>7754.1000000000058</v>
      </c>
      <c r="D33" s="150">
        <f t="shared" si="0"/>
        <v>16982.549999999967</v>
      </c>
    </row>
    <row r="34" spans="2:4">
      <c r="B34" s="163">
        <f t="shared" si="1"/>
        <v>44017</v>
      </c>
      <c r="C34" s="154">
        <f t="shared" si="2"/>
        <v>8012.5700000000061</v>
      </c>
      <c r="D34" s="150">
        <f t="shared" si="0"/>
        <v>16724.079999999965</v>
      </c>
    </row>
    <row r="35" spans="2:4">
      <c r="B35" s="163">
        <f t="shared" si="1"/>
        <v>44048</v>
      </c>
      <c r="C35" s="154">
        <f t="shared" si="2"/>
        <v>8271.0400000000063</v>
      </c>
      <c r="D35" s="150">
        <f t="shared" si="0"/>
        <v>16465.609999999964</v>
      </c>
    </row>
    <row r="36" spans="2:4">
      <c r="B36" s="163">
        <f t="shared" si="1"/>
        <v>44079</v>
      </c>
      <c r="C36" s="154">
        <f t="shared" si="2"/>
        <v>8529.5100000000057</v>
      </c>
      <c r="D36" s="150">
        <f t="shared" si="0"/>
        <v>16207.139999999965</v>
      </c>
    </row>
    <row r="37" spans="2:4">
      <c r="B37" s="163">
        <f t="shared" si="1"/>
        <v>44109</v>
      </c>
      <c r="C37" s="154">
        <f t="shared" si="2"/>
        <v>8787.980000000005</v>
      </c>
      <c r="D37" s="150">
        <f t="shared" si="0"/>
        <v>15948.669999999966</v>
      </c>
    </row>
    <row r="38" spans="2:4">
      <c r="B38" s="163">
        <f t="shared" si="1"/>
        <v>44140</v>
      </c>
      <c r="C38" s="154">
        <f t="shared" si="2"/>
        <v>9046.4500000000044</v>
      </c>
      <c r="D38" s="150">
        <f t="shared" si="0"/>
        <v>15690.199999999966</v>
      </c>
    </row>
    <row r="39" spans="2:4">
      <c r="B39" s="163">
        <f t="shared" si="1"/>
        <v>44170</v>
      </c>
      <c r="C39" s="154">
        <f t="shared" si="2"/>
        <v>9304.9200000000037</v>
      </c>
      <c r="D39" s="150">
        <f t="shared" si="0"/>
        <v>15431.729999999967</v>
      </c>
    </row>
    <row r="40" spans="2:4">
      <c r="B40" s="163">
        <f t="shared" si="1"/>
        <v>44201</v>
      </c>
      <c r="C40" s="154">
        <f t="shared" si="2"/>
        <v>9563.3900000000031</v>
      </c>
      <c r="D40" s="150">
        <f>D39-A$1</f>
        <v>15173.259999999967</v>
      </c>
    </row>
    <row r="41" spans="2:4">
      <c r="B41" s="163">
        <f t="shared" si="1"/>
        <v>44232</v>
      </c>
      <c r="C41" s="154">
        <f t="shared" si="2"/>
        <v>9821.8600000000024</v>
      </c>
      <c r="D41" s="150">
        <f t="shared" si="0"/>
        <v>14914.789999999968</v>
      </c>
    </row>
    <row r="42" spans="2:4">
      <c r="B42" s="163">
        <f t="shared" si="1"/>
        <v>44260</v>
      </c>
      <c r="C42" s="154">
        <f t="shared" si="2"/>
        <v>10080.330000000002</v>
      </c>
      <c r="D42" s="150">
        <f t="shared" si="0"/>
        <v>14656.319999999969</v>
      </c>
    </row>
    <row r="43" spans="2:4">
      <c r="B43" s="163">
        <f t="shared" si="1"/>
        <v>44291</v>
      </c>
      <c r="C43" s="154">
        <f t="shared" si="2"/>
        <v>10338.800000000001</v>
      </c>
      <c r="D43" s="150">
        <f t="shared" si="0"/>
        <v>14397.849999999969</v>
      </c>
    </row>
    <row r="44" spans="2:4">
      <c r="B44" s="163">
        <f t="shared" si="1"/>
        <v>44321</v>
      </c>
      <c r="C44" s="154">
        <f t="shared" si="2"/>
        <v>10597.27</v>
      </c>
      <c r="D44" s="150">
        <f t="shared" si="0"/>
        <v>14139.37999999997</v>
      </c>
    </row>
    <row r="45" spans="2:4">
      <c r="B45" s="163">
        <f t="shared" si="1"/>
        <v>44352</v>
      </c>
      <c r="C45" s="154">
        <f t="shared" si="2"/>
        <v>10855.74</v>
      </c>
      <c r="D45" s="150">
        <f t="shared" si="0"/>
        <v>13880.909999999971</v>
      </c>
    </row>
    <row r="46" spans="2:4">
      <c r="B46" s="163">
        <f t="shared" si="1"/>
        <v>44382</v>
      </c>
      <c r="C46" s="154">
        <f t="shared" si="2"/>
        <v>11114.21</v>
      </c>
      <c r="D46" s="150">
        <f t="shared" si="0"/>
        <v>13622.439999999971</v>
      </c>
    </row>
    <row r="47" spans="2:4">
      <c r="B47" s="163">
        <f t="shared" si="1"/>
        <v>44413</v>
      </c>
      <c r="C47" s="154">
        <f t="shared" si="2"/>
        <v>11372.679999999998</v>
      </c>
      <c r="D47" s="150">
        <f t="shared" si="0"/>
        <v>13363.969999999972</v>
      </c>
    </row>
    <row r="48" spans="2:4">
      <c r="B48" s="163">
        <f t="shared" si="1"/>
        <v>44444</v>
      </c>
      <c r="C48" s="154">
        <f t="shared" si="2"/>
        <v>11631.149999999998</v>
      </c>
      <c r="D48" s="150">
        <f t="shared" si="0"/>
        <v>13105.499999999973</v>
      </c>
    </row>
    <row r="49" spans="2:4">
      <c r="B49" s="163">
        <f t="shared" si="1"/>
        <v>44474</v>
      </c>
      <c r="C49" s="154">
        <f t="shared" si="2"/>
        <v>11889.619999999997</v>
      </c>
      <c r="D49" s="150">
        <f t="shared" si="0"/>
        <v>12847.029999999973</v>
      </c>
    </row>
    <row r="50" spans="2:4">
      <c r="B50" s="163">
        <f t="shared" si="1"/>
        <v>44505</v>
      </c>
      <c r="C50" s="154">
        <f t="shared" si="2"/>
        <v>12148.089999999997</v>
      </c>
      <c r="D50" s="150">
        <f t="shared" si="0"/>
        <v>12588.559999999974</v>
      </c>
    </row>
    <row r="51" spans="2:4">
      <c r="B51" s="163">
        <f t="shared" si="1"/>
        <v>44535</v>
      </c>
      <c r="C51" s="154">
        <f t="shared" si="2"/>
        <v>12406.559999999996</v>
      </c>
      <c r="D51" s="150">
        <f t="shared" si="0"/>
        <v>12330.089999999975</v>
      </c>
    </row>
    <row r="52" spans="2:4">
      <c r="B52" s="163">
        <f t="shared" si="1"/>
        <v>44566</v>
      </c>
      <c r="C52" s="154">
        <f t="shared" si="2"/>
        <v>12665.029999999995</v>
      </c>
      <c r="D52" s="150">
        <f t="shared" si="0"/>
        <v>12071.619999999975</v>
      </c>
    </row>
    <row r="53" spans="2:4">
      <c r="B53" s="163">
        <f t="shared" si="1"/>
        <v>44597</v>
      </c>
      <c r="C53" s="154">
        <f t="shared" si="2"/>
        <v>12923.499999999995</v>
      </c>
      <c r="D53" s="150">
        <f t="shared" si="0"/>
        <v>11813.149999999976</v>
      </c>
    </row>
    <row r="54" spans="2:4">
      <c r="B54" s="163">
        <f t="shared" si="1"/>
        <v>44625</v>
      </c>
      <c r="C54" s="154">
        <f t="shared" si="2"/>
        <v>13181.969999999994</v>
      </c>
      <c r="D54" s="150">
        <f>D53-A$1</f>
        <v>11554.679999999977</v>
      </c>
    </row>
    <row r="55" spans="2:4">
      <c r="B55" s="163">
        <f t="shared" si="1"/>
        <v>44656</v>
      </c>
      <c r="C55" s="154">
        <f t="shared" si="2"/>
        <v>13440.439999999993</v>
      </c>
      <c r="D55" s="150">
        <f t="shared" si="0"/>
        <v>11296.209999999977</v>
      </c>
    </row>
    <row r="56" spans="2:4">
      <c r="B56" s="163">
        <f t="shared" si="1"/>
        <v>44686</v>
      </c>
      <c r="C56" s="154">
        <f t="shared" si="2"/>
        <v>13698.909999999993</v>
      </c>
      <c r="D56" s="150">
        <f t="shared" si="0"/>
        <v>11037.739999999978</v>
      </c>
    </row>
    <row r="57" spans="2:4">
      <c r="B57" s="163">
        <f t="shared" si="1"/>
        <v>44717</v>
      </c>
      <c r="C57" s="154">
        <f t="shared" si="2"/>
        <v>13957.379999999992</v>
      </c>
      <c r="D57" s="150">
        <f t="shared" si="0"/>
        <v>10779.269999999979</v>
      </c>
    </row>
    <row r="58" spans="2:4">
      <c r="B58" s="163">
        <f t="shared" si="1"/>
        <v>44747</v>
      </c>
      <c r="C58" s="154">
        <f t="shared" si="2"/>
        <v>14215.849999999991</v>
      </c>
      <c r="D58" s="150">
        <f t="shared" si="0"/>
        <v>10520.799999999979</v>
      </c>
    </row>
    <row r="59" spans="2:4">
      <c r="B59" s="163">
        <f t="shared" si="1"/>
        <v>44778</v>
      </c>
      <c r="C59" s="154">
        <f t="shared" si="2"/>
        <v>14474.319999999991</v>
      </c>
      <c r="D59" s="150">
        <f t="shared" si="0"/>
        <v>10262.32999999998</v>
      </c>
    </row>
    <row r="60" spans="2:4">
      <c r="B60" s="163">
        <f t="shared" si="1"/>
        <v>44809</v>
      </c>
      <c r="C60" s="154">
        <f t="shared" si="2"/>
        <v>14732.78999999999</v>
      </c>
      <c r="D60" s="150">
        <f t="shared" si="0"/>
        <v>10003.859999999981</v>
      </c>
    </row>
    <row r="61" spans="2:4">
      <c r="B61" s="163">
        <f t="shared" si="1"/>
        <v>44839</v>
      </c>
      <c r="C61" s="154">
        <f t="shared" si="2"/>
        <v>14991.259999999989</v>
      </c>
      <c r="D61" s="150">
        <f t="shared" si="0"/>
        <v>9745.3899999999812</v>
      </c>
    </row>
    <row r="62" spans="2:4">
      <c r="B62" s="163">
        <f t="shared" si="1"/>
        <v>44870</v>
      </c>
      <c r="C62" s="154">
        <f t="shared" si="2"/>
        <v>15249.729999999989</v>
      </c>
      <c r="D62" s="150">
        <f>D61-A$1</f>
        <v>9486.9199999999819</v>
      </c>
    </row>
    <row r="63" spans="2:4" ht="15.75" thickBot="1">
      <c r="B63" s="177">
        <f t="shared" si="1"/>
        <v>44900</v>
      </c>
      <c r="C63" s="169">
        <f>C62+A$2</f>
        <v>24736.649999999987</v>
      </c>
      <c r="D63" s="167">
        <f>D62-A$2</f>
        <v>-1.8189894035458565E-11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M105"/>
  <sheetViews>
    <sheetView workbookViewId="0">
      <selection activeCell="G24" sqref="G24"/>
    </sheetView>
  </sheetViews>
  <sheetFormatPr defaultColWidth="8" defaultRowHeight="15"/>
  <cols>
    <col min="1" max="2" width="19.5703125" customWidth="1"/>
    <col min="3" max="3" width="13.28515625" customWidth="1"/>
    <col min="4" max="4" width="8" customWidth="1"/>
    <col min="5" max="5" width="12.7109375" customWidth="1"/>
    <col min="6" max="6" width="8" customWidth="1"/>
    <col min="7" max="7" width="12" customWidth="1"/>
    <col min="9" max="9" width="24.85546875" customWidth="1"/>
    <col min="10" max="10" width="13.85546875" customWidth="1"/>
    <col min="11" max="11" width="11.140625" customWidth="1"/>
    <col min="12" max="12" width="19.85546875" customWidth="1"/>
    <col min="13" max="13" width="12.7109375" customWidth="1"/>
    <col min="258" max="258" width="19.5703125" customWidth="1"/>
    <col min="259" max="259" width="13.28515625" customWidth="1"/>
    <col min="260" max="260" width="8" customWidth="1"/>
    <col min="261" max="261" width="12.7109375" customWidth="1"/>
    <col min="262" max="262" width="8" customWidth="1"/>
    <col min="263" max="263" width="12" customWidth="1"/>
    <col min="265" max="265" width="24.85546875" customWidth="1"/>
    <col min="266" max="266" width="13.85546875" customWidth="1"/>
    <col min="267" max="267" width="11.140625" customWidth="1"/>
    <col min="268" max="268" width="19.85546875" customWidth="1"/>
    <col min="269" max="269" width="12.7109375" customWidth="1"/>
    <col min="514" max="514" width="19.5703125" customWidth="1"/>
    <col min="515" max="515" width="13.28515625" customWidth="1"/>
    <col min="516" max="516" width="8" customWidth="1"/>
    <col min="517" max="517" width="12.7109375" customWidth="1"/>
    <col min="518" max="518" width="8" customWidth="1"/>
    <col min="519" max="519" width="12" customWidth="1"/>
    <col min="521" max="521" width="24.85546875" customWidth="1"/>
    <col min="522" max="522" width="13.85546875" customWidth="1"/>
    <col min="523" max="523" width="11.140625" customWidth="1"/>
    <col min="524" max="524" width="19.85546875" customWidth="1"/>
    <col min="525" max="525" width="12.7109375" customWidth="1"/>
    <col min="770" max="770" width="19.5703125" customWidth="1"/>
    <col min="771" max="771" width="13.28515625" customWidth="1"/>
    <col min="772" max="772" width="8" customWidth="1"/>
    <col min="773" max="773" width="12.7109375" customWidth="1"/>
    <col min="774" max="774" width="8" customWidth="1"/>
    <col min="775" max="775" width="12" customWidth="1"/>
    <col min="777" max="777" width="24.85546875" customWidth="1"/>
    <col min="778" max="778" width="13.85546875" customWidth="1"/>
    <col min="779" max="779" width="11.140625" customWidth="1"/>
    <col min="780" max="780" width="19.85546875" customWidth="1"/>
    <col min="781" max="781" width="12.7109375" customWidth="1"/>
    <col min="1026" max="1026" width="19.5703125" customWidth="1"/>
    <col min="1027" max="1027" width="13.28515625" customWidth="1"/>
    <col min="1028" max="1028" width="8" customWidth="1"/>
    <col min="1029" max="1029" width="12.7109375" customWidth="1"/>
    <col min="1030" max="1030" width="8" customWidth="1"/>
    <col min="1031" max="1031" width="12" customWidth="1"/>
    <col min="1033" max="1033" width="24.85546875" customWidth="1"/>
    <col min="1034" max="1034" width="13.85546875" customWidth="1"/>
    <col min="1035" max="1035" width="11.140625" customWidth="1"/>
    <col min="1036" max="1036" width="19.85546875" customWidth="1"/>
    <col min="1037" max="1037" width="12.7109375" customWidth="1"/>
    <col min="1282" max="1282" width="19.5703125" customWidth="1"/>
    <col min="1283" max="1283" width="13.28515625" customWidth="1"/>
    <col min="1284" max="1284" width="8" customWidth="1"/>
    <col min="1285" max="1285" width="12.7109375" customWidth="1"/>
    <col min="1286" max="1286" width="8" customWidth="1"/>
    <col min="1287" max="1287" width="12" customWidth="1"/>
    <col min="1289" max="1289" width="24.85546875" customWidth="1"/>
    <col min="1290" max="1290" width="13.85546875" customWidth="1"/>
    <col min="1291" max="1291" width="11.140625" customWidth="1"/>
    <col min="1292" max="1292" width="19.85546875" customWidth="1"/>
    <col min="1293" max="1293" width="12.7109375" customWidth="1"/>
    <col min="1538" max="1538" width="19.5703125" customWidth="1"/>
    <col min="1539" max="1539" width="13.28515625" customWidth="1"/>
    <col min="1540" max="1540" width="8" customWidth="1"/>
    <col min="1541" max="1541" width="12.7109375" customWidth="1"/>
    <col min="1542" max="1542" width="8" customWidth="1"/>
    <col min="1543" max="1543" width="12" customWidth="1"/>
    <col min="1545" max="1545" width="24.85546875" customWidth="1"/>
    <col min="1546" max="1546" width="13.85546875" customWidth="1"/>
    <col min="1547" max="1547" width="11.140625" customWidth="1"/>
    <col min="1548" max="1548" width="19.85546875" customWidth="1"/>
    <col min="1549" max="1549" width="12.7109375" customWidth="1"/>
    <col min="1794" max="1794" width="19.5703125" customWidth="1"/>
    <col min="1795" max="1795" width="13.28515625" customWidth="1"/>
    <col min="1796" max="1796" width="8" customWidth="1"/>
    <col min="1797" max="1797" width="12.7109375" customWidth="1"/>
    <col min="1798" max="1798" width="8" customWidth="1"/>
    <col min="1799" max="1799" width="12" customWidth="1"/>
    <col min="1801" max="1801" width="24.85546875" customWidth="1"/>
    <col min="1802" max="1802" width="13.85546875" customWidth="1"/>
    <col min="1803" max="1803" width="11.140625" customWidth="1"/>
    <col min="1804" max="1804" width="19.85546875" customWidth="1"/>
    <col min="1805" max="1805" width="12.7109375" customWidth="1"/>
    <col min="2050" max="2050" width="19.5703125" customWidth="1"/>
    <col min="2051" max="2051" width="13.28515625" customWidth="1"/>
    <col min="2052" max="2052" width="8" customWidth="1"/>
    <col min="2053" max="2053" width="12.7109375" customWidth="1"/>
    <col min="2054" max="2054" width="8" customWidth="1"/>
    <col min="2055" max="2055" width="12" customWidth="1"/>
    <col min="2057" max="2057" width="24.85546875" customWidth="1"/>
    <col min="2058" max="2058" width="13.85546875" customWidth="1"/>
    <col min="2059" max="2059" width="11.140625" customWidth="1"/>
    <col min="2060" max="2060" width="19.85546875" customWidth="1"/>
    <col min="2061" max="2061" width="12.7109375" customWidth="1"/>
    <col min="2306" max="2306" width="19.5703125" customWidth="1"/>
    <col min="2307" max="2307" width="13.28515625" customWidth="1"/>
    <col min="2308" max="2308" width="8" customWidth="1"/>
    <col min="2309" max="2309" width="12.7109375" customWidth="1"/>
    <col min="2310" max="2310" width="8" customWidth="1"/>
    <col min="2311" max="2311" width="12" customWidth="1"/>
    <col min="2313" max="2313" width="24.85546875" customWidth="1"/>
    <col min="2314" max="2314" width="13.85546875" customWidth="1"/>
    <col min="2315" max="2315" width="11.140625" customWidth="1"/>
    <col min="2316" max="2316" width="19.85546875" customWidth="1"/>
    <col min="2317" max="2317" width="12.7109375" customWidth="1"/>
    <col min="2562" max="2562" width="19.5703125" customWidth="1"/>
    <col min="2563" max="2563" width="13.28515625" customWidth="1"/>
    <col min="2564" max="2564" width="8" customWidth="1"/>
    <col min="2565" max="2565" width="12.7109375" customWidth="1"/>
    <col min="2566" max="2566" width="8" customWidth="1"/>
    <col min="2567" max="2567" width="12" customWidth="1"/>
    <col min="2569" max="2569" width="24.85546875" customWidth="1"/>
    <col min="2570" max="2570" width="13.85546875" customWidth="1"/>
    <col min="2571" max="2571" width="11.140625" customWidth="1"/>
    <col min="2572" max="2572" width="19.85546875" customWidth="1"/>
    <col min="2573" max="2573" width="12.7109375" customWidth="1"/>
    <col min="2818" max="2818" width="19.5703125" customWidth="1"/>
    <col min="2819" max="2819" width="13.28515625" customWidth="1"/>
    <col min="2820" max="2820" width="8" customWidth="1"/>
    <col min="2821" max="2821" width="12.7109375" customWidth="1"/>
    <col min="2822" max="2822" width="8" customWidth="1"/>
    <col min="2823" max="2823" width="12" customWidth="1"/>
    <col min="2825" max="2825" width="24.85546875" customWidth="1"/>
    <col min="2826" max="2826" width="13.85546875" customWidth="1"/>
    <col min="2827" max="2827" width="11.140625" customWidth="1"/>
    <col min="2828" max="2828" width="19.85546875" customWidth="1"/>
    <col min="2829" max="2829" width="12.7109375" customWidth="1"/>
    <col min="3074" max="3074" width="19.5703125" customWidth="1"/>
    <col min="3075" max="3075" width="13.28515625" customWidth="1"/>
    <col min="3076" max="3076" width="8" customWidth="1"/>
    <col min="3077" max="3077" width="12.7109375" customWidth="1"/>
    <col min="3078" max="3078" width="8" customWidth="1"/>
    <col min="3079" max="3079" width="12" customWidth="1"/>
    <col min="3081" max="3081" width="24.85546875" customWidth="1"/>
    <col min="3082" max="3082" width="13.85546875" customWidth="1"/>
    <col min="3083" max="3083" width="11.140625" customWidth="1"/>
    <col min="3084" max="3084" width="19.85546875" customWidth="1"/>
    <col min="3085" max="3085" width="12.7109375" customWidth="1"/>
    <col min="3330" max="3330" width="19.5703125" customWidth="1"/>
    <col min="3331" max="3331" width="13.28515625" customWidth="1"/>
    <col min="3332" max="3332" width="8" customWidth="1"/>
    <col min="3333" max="3333" width="12.7109375" customWidth="1"/>
    <col min="3334" max="3334" width="8" customWidth="1"/>
    <col min="3335" max="3335" width="12" customWidth="1"/>
    <col min="3337" max="3337" width="24.85546875" customWidth="1"/>
    <col min="3338" max="3338" width="13.85546875" customWidth="1"/>
    <col min="3339" max="3339" width="11.140625" customWidth="1"/>
    <col min="3340" max="3340" width="19.85546875" customWidth="1"/>
    <col min="3341" max="3341" width="12.7109375" customWidth="1"/>
    <col min="3586" max="3586" width="19.5703125" customWidth="1"/>
    <col min="3587" max="3587" width="13.28515625" customWidth="1"/>
    <col min="3588" max="3588" width="8" customWidth="1"/>
    <col min="3589" max="3589" width="12.7109375" customWidth="1"/>
    <col min="3590" max="3590" width="8" customWidth="1"/>
    <col min="3591" max="3591" width="12" customWidth="1"/>
    <col min="3593" max="3593" width="24.85546875" customWidth="1"/>
    <col min="3594" max="3594" width="13.85546875" customWidth="1"/>
    <col min="3595" max="3595" width="11.140625" customWidth="1"/>
    <col min="3596" max="3596" width="19.85546875" customWidth="1"/>
    <col min="3597" max="3597" width="12.7109375" customWidth="1"/>
    <col min="3842" max="3842" width="19.5703125" customWidth="1"/>
    <col min="3843" max="3843" width="13.28515625" customWidth="1"/>
    <col min="3844" max="3844" width="8" customWidth="1"/>
    <col min="3845" max="3845" width="12.7109375" customWidth="1"/>
    <col min="3846" max="3846" width="8" customWidth="1"/>
    <col min="3847" max="3847" width="12" customWidth="1"/>
    <col min="3849" max="3849" width="24.85546875" customWidth="1"/>
    <col min="3850" max="3850" width="13.85546875" customWidth="1"/>
    <col min="3851" max="3851" width="11.140625" customWidth="1"/>
    <col min="3852" max="3852" width="19.85546875" customWidth="1"/>
    <col min="3853" max="3853" width="12.7109375" customWidth="1"/>
    <col min="4098" max="4098" width="19.5703125" customWidth="1"/>
    <col min="4099" max="4099" width="13.28515625" customWidth="1"/>
    <col min="4100" max="4100" width="8" customWidth="1"/>
    <col min="4101" max="4101" width="12.7109375" customWidth="1"/>
    <col min="4102" max="4102" width="8" customWidth="1"/>
    <col min="4103" max="4103" width="12" customWidth="1"/>
    <col min="4105" max="4105" width="24.85546875" customWidth="1"/>
    <col min="4106" max="4106" width="13.85546875" customWidth="1"/>
    <col min="4107" max="4107" width="11.140625" customWidth="1"/>
    <col min="4108" max="4108" width="19.85546875" customWidth="1"/>
    <col min="4109" max="4109" width="12.7109375" customWidth="1"/>
    <col min="4354" max="4354" width="19.5703125" customWidth="1"/>
    <col min="4355" max="4355" width="13.28515625" customWidth="1"/>
    <col min="4356" max="4356" width="8" customWidth="1"/>
    <col min="4357" max="4357" width="12.7109375" customWidth="1"/>
    <col min="4358" max="4358" width="8" customWidth="1"/>
    <col min="4359" max="4359" width="12" customWidth="1"/>
    <col min="4361" max="4361" width="24.85546875" customWidth="1"/>
    <col min="4362" max="4362" width="13.85546875" customWidth="1"/>
    <col min="4363" max="4363" width="11.140625" customWidth="1"/>
    <col min="4364" max="4364" width="19.85546875" customWidth="1"/>
    <col min="4365" max="4365" width="12.7109375" customWidth="1"/>
    <col min="4610" max="4610" width="19.5703125" customWidth="1"/>
    <col min="4611" max="4611" width="13.28515625" customWidth="1"/>
    <col min="4612" max="4612" width="8" customWidth="1"/>
    <col min="4613" max="4613" width="12.7109375" customWidth="1"/>
    <col min="4614" max="4614" width="8" customWidth="1"/>
    <col min="4615" max="4615" width="12" customWidth="1"/>
    <col min="4617" max="4617" width="24.85546875" customWidth="1"/>
    <col min="4618" max="4618" width="13.85546875" customWidth="1"/>
    <col min="4619" max="4619" width="11.140625" customWidth="1"/>
    <col min="4620" max="4620" width="19.85546875" customWidth="1"/>
    <col min="4621" max="4621" width="12.7109375" customWidth="1"/>
    <col min="4866" max="4866" width="19.5703125" customWidth="1"/>
    <col min="4867" max="4867" width="13.28515625" customWidth="1"/>
    <col min="4868" max="4868" width="8" customWidth="1"/>
    <col min="4869" max="4869" width="12.7109375" customWidth="1"/>
    <col min="4870" max="4870" width="8" customWidth="1"/>
    <col min="4871" max="4871" width="12" customWidth="1"/>
    <col min="4873" max="4873" width="24.85546875" customWidth="1"/>
    <col min="4874" max="4874" width="13.85546875" customWidth="1"/>
    <col min="4875" max="4875" width="11.140625" customWidth="1"/>
    <col min="4876" max="4876" width="19.85546875" customWidth="1"/>
    <col min="4877" max="4877" width="12.7109375" customWidth="1"/>
    <col min="5122" max="5122" width="19.5703125" customWidth="1"/>
    <col min="5123" max="5123" width="13.28515625" customWidth="1"/>
    <col min="5124" max="5124" width="8" customWidth="1"/>
    <col min="5125" max="5125" width="12.7109375" customWidth="1"/>
    <col min="5126" max="5126" width="8" customWidth="1"/>
    <col min="5127" max="5127" width="12" customWidth="1"/>
    <col min="5129" max="5129" width="24.85546875" customWidth="1"/>
    <col min="5130" max="5130" width="13.85546875" customWidth="1"/>
    <col min="5131" max="5131" width="11.140625" customWidth="1"/>
    <col min="5132" max="5132" width="19.85546875" customWidth="1"/>
    <col min="5133" max="5133" width="12.7109375" customWidth="1"/>
    <col min="5378" max="5378" width="19.5703125" customWidth="1"/>
    <col min="5379" max="5379" width="13.28515625" customWidth="1"/>
    <col min="5380" max="5380" width="8" customWidth="1"/>
    <col min="5381" max="5381" width="12.7109375" customWidth="1"/>
    <col min="5382" max="5382" width="8" customWidth="1"/>
    <col min="5383" max="5383" width="12" customWidth="1"/>
    <col min="5385" max="5385" width="24.85546875" customWidth="1"/>
    <col min="5386" max="5386" width="13.85546875" customWidth="1"/>
    <col min="5387" max="5387" width="11.140625" customWidth="1"/>
    <col min="5388" max="5388" width="19.85546875" customWidth="1"/>
    <col min="5389" max="5389" width="12.7109375" customWidth="1"/>
    <col min="5634" max="5634" width="19.5703125" customWidth="1"/>
    <col min="5635" max="5635" width="13.28515625" customWidth="1"/>
    <col min="5636" max="5636" width="8" customWidth="1"/>
    <col min="5637" max="5637" width="12.7109375" customWidth="1"/>
    <col min="5638" max="5638" width="8" customWidth="1"/>
    <col min="5639" max="5639" width="12" customWidth="1"/>
    <col min="5641" max="5641" width="24.85546875" customWidth="1"/>
    <col min="5642" max="5642" width="13.85546875" customWidth="1"/>
    <col min="5643" max="5643" width="11.140625" customWidth="1"/>
    <col min="5644" max="5644" width="19.85546875" customWidth="1"/>
    <col min="5645" max="5645" width="12.7109375" customWidth="1"/>
    <col min="5890" max="5890" width="19.5703125" customWidth="1"/>
    <col min="5891" max="5891" width="13.28515625" customWidth="1"/>
    <col min="5892" max="5892" width="8" customWidth="1"/>
    <col min="5893" max="5893" width="12.7109375" customWidth="1"/>
    <col min="5894" max="5894" width="8" customWidth="1"/>
    <col min="5895" max="5895" width="12" customWidth="1"/>
    <col min="5897" max="5897" width="24.85546875" customWidth="1"/>
    <col min="5898" max="5898" width="13.85546875" customWidth="1"/>
    <col min="5899" max="5899" width="11.140625" customWidth="1"/>
    <col min="5900" max="5900" width="19.85546875" customWidth="1"/>
    <col min="5901" max="5901" width="12.7109375" customWidth="1"/>
    <col min="6146" max="6146" width="19.5703125" customWidth="1"/>
    <col min="6147" max="6147" width="13.28515625" customWidth="1"/>
    <col min="6148" max="6148" width="8" customWidth="1"/>
    <col min="6149" max="6149" width="12.7109375" customWidth="1"/>
    <col min="6150" max="6150" width="8" customWidth="1"/>
    <col min="6151" max="6151" width="12" customWidth="1"/>
    <col min="6153" max="6153" width="24.85546875" customWidth="1"/>
    <col min="6154" max="6154" width="13.85546875" customWidth="1"/>
    <col min="6155" max="6155" width="11.140625" customWidth="1"/>
    <col min="6156" max="6156" width="19.85546875" customWidth="1"/>
    <col min="6157" max="6157" width="12.7109375" customWidth="1"/>
    <col min="6402" max="6402" width="19.5703125" customWidth="1"/>
    <col min="6403" max="6403" width="13.28515625" customWidth="1"/>
    <col min="6404" max="6404" width="8" customWidth="1"/>
    <col min="6405" max="6405" width="12.7109375" customWidth="1"/>
    <col min="6406" max="6406" width="8" customWidth="1"/>
    <col min="6407" max="6407" width="12" customWidth="1"/>
    <col min="6409" max="6409" width="24.85546875" customWidth="1"/>
    <col min="6410" max="6410" width="13.85546875" customWidth="1"/>
    <col min="6411" max="6411" width="11.140625" customWidth="1"/>
    <col min="6412" max="6412" width="19.85546875" customWidth="1"/>
    <col min="6413" max="6413" width="12.7109375" customWidth="1"/>
    <col min="6658" max="6658" width="19.5703125" customWidth="1"/>
    <col min="6659" max="6659" width="13.28515625" customWidth="1"/>
    <col min="6660" max="6660" width="8" customWidth="1"/>
    <col min="6661" max="6661" width="12.7109375" customWidth="1"/>
    <col min="6662" max="6662" width="8" customWidth="1"/>
    <col min="6663" max="6663" width="12" customWidth="1"/>
    <col min="6665" max="6665" width="24.85546875" customWidth="1"/>
    <col min="6666" max="6666" width="13.85546875" customWidth="1"/>
    <col min="6667" max="6667" width="11.140625" customWidth="1"/>
    <col min="6668" max="6668" width="19.85546875" customWidth="1"/>
    <col min="6669" max="6669" width="12.7109375" customWidth="1"/>
    <col min="6914" max="6914" width="19.5703125" customWidth="1"/>
    <col min="6915" max="6915" width="13.28515625" customWidth="1"/>
    <col min="6916" max="6916" width="8" customWidth="1"/>
    <col min="6917" max="6917" width="12.7109375" customWidth="1"/>
    <col min="6918" max="6918" width="8" customWidth="1"/>
    <col min="6919" max="6919" width="12" customWidth="1"/>
    <col min="6921" max="6921" width="24.85546875" customWidth="1"/>
    <col min="6922" max="6922" width="13.85546875" customWidth="1"/>
    <col min="6923" max="6923" width="11.140625" customWidth="1"/>
    <col min="6924" max="6924" width="19.85546875" customWidth="1"/>
    <col min="6925" max="6925" width="12.7109375" customWidth="1"/>
    <col min="7170" max="7170" width="19.5703125" customWidth="1"/>
    <col min="7171" max="7171" width="13.28515625" customWidth="1"/>
    <col min="7172" max="7172" width="8" customWidth="1"/>
    <col min="7173" max="7173" width="12.7109375" customWidth="1"/>
    <col min="7174" max="7174" width="8" customWidth="1"/>
    <col min="7175" max="7175" width="12" customWidth="1"/>
    <col min="7177" max="7177" width="24.85546875" customWidth="1"/>
    <col min="7178" max="7178" width="13.85546875" customWidth="1"/>
    <col min="7179" max="7179" width="11.140625" customWidth="1"/>
    <col min="7180" max="7180" width="19.85546875" customWidth="1"/>
    <col min="7181" max="7181" width="12.7109375" customWidth="1"/>
    <col min="7426" max="7426" width="19.5703125" customWidth="1"/>
    <col min="7427" max="7427" width="13.28515625" customWidth="1"/>
    <col min="7428" max="7428" width="8" customWidth="1"/>
    <col min="7429" max="7429" width="12.7109375" customWidth="1"/>
    <col min="7430" max="7430" width="8" customWidth="1"/>
    <col min="7431" max="7431" width="12" customWidth="1"/>
    <col min="7433" max="7433" width="24.85546875" customWidth="1"/>
    <col min="7434" max="7434" width="13.85546875" customWidth="1"/>
    <col min="7435" max="7435" width="11.140625" customWidth="1"/>
    <col min="7436" max="7436" width="19.85546875" customWidth="1"/>
    <col min="7437" max="7437" width="12.7109375" customWidth="1"/>
    <col min="7682" max="7682" width="19.5703125" customWidth="1"/>
    <col min="7683" max="7683" width="13.28515625" customWidth="1"/>
    <col min="7684" max="7684" width="8" customWidth="1"/>
    <col min="7685" max="7685" width="12.7109375" customWidth="1"/>
    <col min="7686" max="7686" width="8" customWidth="1"/>
    <col min="7687" max="7687" width="12" customWidth="1"/>
    <col min="7689" max="7689" width="24.85546875" customWidth="1"/>
    <col min="7690" max="7690" width="13.85546875" customWidth="1"/>
    <col min="7691" max="7691" width="11.140625" customWidth="1"/>
    <col min="7692" max="7692" width="19.85546875" customWidth="1"/>
    <col min="7693" max="7693" width="12.7109375" customWidth="1"/>
    <col min="7938" max="7938" width="19.5703125" customWidth="1"/>
    <col min="7939" max="7939" width="13.28515625" customWidth="1"/>
    <col min="7940" max="7940" width="8" customWidth="1"/>
    <col min="7941" max="7941" width="12.7109375" customWidth="1"/>
    <col min="7942" max="7942" width="8" customWidth="1"/>
    <col min="7943" max="7943" width="12" customWidth="1"/>
    <col min="7945" max="7945" width="24.85546875" customWidth="1"/>
    <col min="7946" max="7946" width="13.85546875" customWidth="1"/>
    <col min="7947" max="7947" width="11.140625" customWidth="1"/>
    <col min="7948" max="7948" width="19.85546875" customWidth="1"/>
    <col min="7949" max="7949" width="12.7109375" customWidth="1"/>
    <col min="8194" max="8194" width="19.5703125" customWidth="1"/>
    <col min="8195" max="8195" width="13.28515625" customWidth="1"/>
    <col min="8196" max="8196" width="8" customWidth="1"/>
    <col min="8197" max="8197" width="12.7109375" customWidth="1"/>
    <col min="8198" max="8198" width="8" customWidth="1"/>
    <col min="8199" max="8199" width="12" customWidth="1"/>
    <col min="8201" max="8201" width="24.85546875" customWidth="1"/>
    <col min="8202" max="8202" width="13.85546875" customWidth="1"/>
    <col min="8203" max="8203" width="11.140625" customWidth="1"/>
    <col min="8204" max="8204" width="19.85546875" customWidth="1"/>
    <col min="8205" max="8205" width="12.7109375" customWidth="1"/>
    <col min="8450" max="8450" width="19.5703125" customWidth="1"/>
    <col min="8451" max="8451" width="13.28515625" customWidth="1"/>
    <col min="8452" max="8452" width="8" customWidth="1"/>
    <col min="8453" max="8453" width="12.7109375" customWidth="1"/>
    <col min="8454" max="8454" width="8" customWidth="1"/>
    <col min="8455" max="8455" width="12" customWidth="1"/>
    <col min="8457" max="8457" width="24.85546875" customWidth="1"/>
    <col min="8458" max="8458" width="13.85546875" customWidth="1"/>
    <col min="8459" max="8459" width="11.140625" customWidth="1"/>
    <col min="8460" max="8460" width="19.85546875" customWidth="1"/>
    <col min="8461" max="8461" width="12.7109375" customWidth="1"/>
    <col min="8706" max="8706" width="19.5703125" customWidth="1"/>
    <col min="8707" max="8707" width="13.28515625" customWidth="1"/>
    <col min="8708" max="8708" width="8" customWidth="1"/>
    <col min="8709" max="8709" width="12.7109375" customWidth="1"/>
    <col min="8710" max="8710" width="8" customWidth="1"/>
    <col min="8711" max="8711" width="12" customWidth="1"/>
    <col min="8713" max="8713" width="24.85546875" customWidth="1"/>
    <col min="8714" max="8714" width="13.85546875" customWidth="1"/>
    <col min="8715" max="8715" width="11.140625" customWidth="1"/>
    <col min="8716" max="8716" width="19.85546875" customWidth="1"/>
    <col min="8717" max="8717" width="12.7109375" customWidth="1"/>
    <col min="8962" max="8962" width="19.5703125" customWidth="1"/>
    <col min="8963" max="8963" width="13.28515625" customWidth="1"/>
    <col min="8964" max="8964" width="8" customWidth="1"/>
    <col min="8965" max="8965" width="12.7109375" customWidth="1"/>
    <col min="8966" max="8966" width="8" customWidth="1"/>
    <col min="8967" max="8967" width="12" customWidth="1"/>
    <col min="8969" max="8969" width="24.85546875" customWidth="1"/>
    <col min="8970" max="8970" width="13.85546875" customWidth="1"/>
    <col min="8971" max="8971" width="11.140625" customWidth="1"/>
    <col min="8972" max="8972" width="19.85546875" customWidth="1"/>
    <col min="8973" max="8973" width="12.7109375" customWidth="1"/>
    <col min="9218" max="9218" width="19.5703125" customWidth="1"/>
    <col min="9219" max="9219" width="13.28515625" customWidth="1"/>
    <col min="9220" max="9220" width="8" customWidth="1"/>
    <col min="9221" max="9221" width="12.7109375" customWidth="1"/>
    <col min="9222" max="9222" width="8" customWidth="1"/>
    <col min="9223" max="9223" width="12" customWidth="1"/>
    <col min="9225" max="9225" width="24.85546875" customWidth="1"/>
    <col min="9226" max="9226" width="13.85546875" customWidth="1"/>
    <col min="9227" max="9227" width="11.140625" customWidth="1"/>
    <col min="9228" max="9228" width="19.85546875" customWidth="1"/>
    <col min="9229" max="9229" width="12.7109375" customWidth="1"/>
    <col min="9474" max="9474" width="19.5703125" customWidth="1"/>
    <col min="9475" max="9475" width="13.28515625" customWidth="1"/>
    <col min="9476" max="9476" width="8" customWidth="1"/>
    <col min="9477" max="9477" width="12.7109375" customWidth="1"/>
    <col min="9478" max="9478" width="8" customWidth="1"/>
    <col min="9479" max="9479" width="12" customWidth="1"/>
    <col min="9481" max="9481" width="24.85546875" customWidth="1"/>
    <col min="9482" max="9482" width="13.85546875" customWidth="1"/>
    <col min="9483" max="9483" width="11.140625" customWidth="1"/>
    <col min="9484" max="9484" width="19.85546875" customWidth="1"/>
    <col min="9485" max="9485" width="12.7109375" customWidth="1"/>
    <col min="9730" max="9730" width="19.5703125" customWidth="1"/>
    <col min="9731" max="9731" width="13.28515625" customWidth="1"/>
    <col min="9732" max="9732" width="8" customWidth="1"/>
    <col min="9733" max="9733" width="12.7109375" customWidth="1"/>
    <col min="9734" max="9734" width="8" customWidth="1"/>
    <col min="9735" max="9735" width="12" customWidth="1"/>
    <col min="9737" max="9737" width="24.85546875" customWidth="1"/>
    <col min="9738" max="9738" width="13.85546875" customWidth="1"/>
    <col min="9739" max="9739" width="11.140625" customWidth="1"/>
    <col min="9740" max="9740" width="19.85546875" customWidth="1"/>
    <col min="9741" max="9741" width="12.7109375" customWidth="1"/>
    <col min="9986" max="9986" width="19.5703125" customWidth="1"/>
    <col min="9987" max="9987" width="13.28515625" customWidth="1"/>
    <col min="9988" max="9988" width="8" customWidth="1"/>
    <col min="9989" max="9989" width="12.7109375" customWidth="1"/>
    <col min="9990" max="9990" width="8" customWidth="1"/>
    <col min="9991" max="9991" width="12" customWidth="1"/>
    <col min="9993" max="9993" width="24.85546875" customWidth="1"/>
    <col min="9994" max="9994" width="13.85546875" customWidth="1"/>
    <col min="9995" max="9995" width="11.140625" customWidth="1"/>
    <col min="9996" max="9996" width="19.85546875" customWidth="1"/>
    <col min="9997" max="9997" width="12.7109375" customWidth="1"/>
    <col min="10242" max="10242" width="19.5703125" customWidth="1"/>
    <col min="10243" max="10243" width="13.28515625" customWidth="1"/>
    <col min="10244" max="10244" width="8" customWidth="1"/>
    <col min="10245" max="10245" width="12.7109375" customWidth="1"/>
    <col min="10246" max="10246" width="8" customWidth="1"/>
    <col min="10247" max="10247" width="12" customWidth="1"/>
    <col min="10249" max="10249" width="24.85546875" customWidth="1"/>
    <col min="10250" max="10250" width="13.85546875" customWidth="1"/>
    <col min="10251" max="10251" width="11.140625" customWidth="1"/>
    <col min="10252" max="10252" width="19.85546875" customWidth="1"/>
    <col min="10253" max="10253" width="12.7109375" customWidth="1"/>
    <col min="10498" max="10498" width="19.5703125" customWidth="1"/>
    <col min="10499" max="10499" width="13.28515625" customWidth="1"/>
    <col min="10500" max="10500" width="8" customWidth="1"/>
    <col min="10501" max="10501" width="12.7109375" customWidth="1"/>
    <col min="10502" max="10502" width="8" customWidth="1"/>
    <col min="10503" max="10503" width="12" customWidth="1"/>
    <col min="10505" max="10505" width="24.85546875" customWidth="1"/>
    <col min="10506" max="10506" width="13.85546875" customWidth="1"/>
    <col min="10507" max="10507" width="11.140625" customWidth="1"/>
    <col min="10508" max="10508" width="19.85546875" customWidth="1"/>
    <col min="10509" max="10509" width="12.7109375" customWidth="1"/>
    <col min="10754" max="10754" width="19.5703125" customWidth="1"/>
    <col min="10755" max="10755" width="13.28515625" customWidth="1"/>
    <col min="10756" max="10756" width="8" customWidth="1"/>
    <col min="10757" max="10757" width="12.7109375" customWidth="1"/>
    <col min="10758" max="10758" width="8" customWidth="1"/>
    <col min="10759" max="10759" width="12" customWidth="1"/>
    <col min="10761" max="10761" width="24.85546875" customWidth="1"/>
    <col min="10762" max="10762" width="13.85546875" customWidth="1"/>
    <col min="10763" max="10763" width="11.140625" customWidth="1"/>
    <col min="10764" max="10764" width="19.85546875" customWidth="1"/>
    <col min="10765" max="10765" width="12.7109375" customWidth="1"/>
    <col min="11010" max="11010" width="19.5703125" customWidth="1"/>
    <col min="11011" max="11011" width="13.28515625" customWidth="1"/>
    <col min="11012" max="11012" width="8" customWidth="1"/>
    <col min="11013" max="11013" width="12.7109375" customWidth="1"/>
    <col min="11014" max="11014" width="8" customWidth="1"/>
    <col min="11015" max="11015" width="12" customWidth="1"/>
    <col min="11017" max="11017" width="24.85546875" customWidth="1"/>
    <col min="11018" max="11018" width="13.85546875" customWidth="1"/>
    <col min="11019" max="11019" width="11.140625" customWidth="1"/>
    <col min="11020" max="11020" width="19.85546875" customWidth="1"/>
    <col min="11021" max="11021" width="12.7109375" customWidth="1"/>
    <col min="11266" max="11266" width="19.5703125" customWidth="1"/>
    <col min="11267" max="11267" width="13.28515625" customWidth="1"/>
    <col min="11268" max="11268" width="8" customWidth="1"/>
    <col min="11269" max="11269" width="12.7109375" customWidth="1"/>
    <col min="11270" max="11270" width="8" customWidth="1"/>
    <col min="11271" max="11271" width="12" customWidth="1"/>
    <col min="11273" max="11273" width="24.85546875" customWidth="1"/>
    <col min="11274" max="11274" width="13.85546875" customWidth="1"/>
    <col min="11275" max="11275" width="11.140625" customWidth="1"/>
    <col min="11276" max="11276" width="19.85546875" customWidth="1"/>
    <col min="11277" max="11277" width="12.7109375" customWidth="1"/>
    <col min="11522" max="11522" width="19.5703125" customWidth="1"/>
    <col min="11523" max="11523" width="13.28515625" customWidth="1"/>
    <col min="11524" max="11524" width="8" customWidth="1"/>
    <col min="11525" max="11525" width="12.7109375" customWidth="1"/>
    <col min="11526" max="11526" width="8" customWidth="1"/>
    <col min="11527" max="11527" width="12" customWidth="1"/>
    <col min="11529" max="11529" width="24.85546875" customWidth="1"/>
    <col min="11530" max="11530" width="13.85546875" customWidth="1"/>
    <col min="11531" max="11531" width="11.140625" customWidth="1"/>
    <col min="11532" max="11532" width="19.85546875" customWidth="1"/>
    <col min="11533" max="11533" width="12.7109375" customWidth="1"/>
    <col min="11778" max="11778" width="19.5703125" customWidth="1"/>
    <col min="11779" max="11779" width="13.28515625" customWidth="1"/>
    <col min="11780" max="11780" width="8" customWidth="1"/>
    <col min="11781" max="11781" width="12.7109375" customWidth="1"/>
    <col min="11782" max="11782" width="8" customWidth="1"/>
    <col min="11783" max="11783" width="12" customWidth="1"/>
    <col min="11785" max="11785" width="24.85546875" customWidth="1"/>
    <col min="11786" max="11786" width="13.85546875" customWidth="1"/>
    <col min="11787" max="11787" width="11.140625" customWidth="1"/>
    <col min="11788" max="11788" width="19.85546875" customWidth="1"/>
    <col min="11789" max="11789" width="12.7109375" customWidth="1"/>
    <col min="12034" max="12034" width="19.5703125" customWidth="1"/>
    <col min="12035" max="12035" width="13.28515625" customWidth="1"/>
    <col min="12036" max="12036" width="8" customWidth="1"/>
    <col min="12037" max="12037" width="12.7109375" customWidth="1"/>
    <col min="12038" max="12038" width="8" customWidth="1"/>
    <col min="12039" max="12039" width="12" customWidth="1"/>
    <col min="12041" max="12041" width="24.85546875" customWidth="1"/>
    <col min="12042" max="12042" width="13.85546875" customWidth="1"/>
    <col min="12043" max="12043" width="11.140625" customWidth="1"/>
    <col min="12044" max="12044" width="19.85546875" customWidth="1"/>
    <col min="12045" max="12045" width="12.7109375" customWidth="1"/>
    <col min="12290" max="12290" width="19.5703125" customWidth="1"/>
    <col min="12291" max="12291" width="13.28515625" customWidth="1"/>
    <col min="12292" max="12292" width="8" customWidth="1"/>
    <col min="12293" max="12293" width="12.7109375" customWidth="1"/>
    <col min="12294" max="12294" width="8" customWidth="1"/>
    <col min="12295" max="12295" width="12" customWidth="1"/>
    <col min="12297" max="12297" width="24.85546875" customWidth="1"/>
    <col min="12298" max="12298" width="13.85546875" customWidth="1"/>
    <col min="12299" max="12299" width="11.140625" customWidth="1"/>
    <col min="12300" max="12300" width="19.85546875" customWidth="1"/>
    <col min="12301" max="12301" width="12.7109375" customWidth="1"/>
    <col min="12546" max="12546" width="19.5703125" customWidth="1"/>
    <col min="12547" max="12547" width="13.28515625" customWidth="1"/>
    <col min="12548" max="12548" width="8" customWidth="1"/>
    <col min="12549" max="12549" width="12.7109375" customWidth="1"/>
    <col min="12550" max="12550" width="8" customWidth="1"/>
    <col min="12551" max="12551" width="12" customWidth="1"/>
    <col min="12553" max="12553" width="24.85546875" customWidth="1"/>
    <col min="12554" max="12554" width="13.85546875" customWidth="1"/>
    <col min="12555" max="12555" width="11.140625" customWidth="1"/>
    <col min="12556" max="12556" width="19.85546875" customWidth="1"/>
    <col min="12557" max="12557" width="12.7109375" customWidth="1"/>
    <col min="12802" max="12802" width="19.5703125" customWidth="1"/>
    <col min="12803" max="12803" width="13.28515625" customWidth="1"/>
    <col min="12804" max="12804" width="8" customWidth="1"/>
    <col min="12805" max="12805" width="12.7109375" customWidth="1"/>
    <col min="12806" max="12806" width="8" customWidth="1"/>
    <col min="12807" max="12807" width="12" customWidth="1"/>
    <col min="12809" max="12809" width="24.85546875" customWidth="1"/>
    <col min="12810" max="12810" width="13.85546875" customWidth="1"/>
    <col min="12811" max="12811" width="11.140625" customWidth="1"/>
    <col min="12812" max="12812" width="19.85546875" customWidth="1"/>
    <col min="12813" max="12813" width="12.7109375" customWidth="1"/>
    <col min="13058" max="13058" width="19.5703125" customWidth="1"/>
    <col min="13059" max="13059" width="13.28515625" customWidth="1"/>
    <col min="13060" max="13060" width="8" customWidth="1"/>
    <col min="13061" max="13061" width="12.7109375" customWidth="1"/>
    <col min="13062" max="13062" width="8" customWidth="1"/>
    <col min="13063" max="13063" width="12" customWidth="1"/>
    <col min="13065" max="13065" width="24.85546875" customWidth="1"/>
    <col min="13066" max="13066" width="13.85546875" customWidth="1"/>
    <col min="13067" max="13067" width="11.140625" customWidth="1"/>
    <col min="13068" max="13068" width="19.85546875" customWidth="1"/>
    <col min="13069" max="13069" width="12.7109375" customWidth="1"/>
    <col min="13314" max="13314" width="19.5703125" customWidth="1"/>
    <col min="13315" max="13315" width="13.28515625" customWidth="1"/>
    <col min="13316" max="13316" width="8" customWidth="1"/>
    <col min="13317" max="13317" width="12.7109375" customWidth="1"/>
    <col min="13318" max="13318" width="8" customWidth="1"/>
    <col min="13319" max="13319" width="12" customWidth="1"/>
    <col min="13321" max="13321" width="24.85546875" customWidth="1"/>
    <col min="13322" max="13322" width="13.85546875" customWidth="1"/>
    <col min="13323" max="13323" width="11.140625" customWidth="1"/>
    <col min="13324" max="13324" width="19.85546875" customWidth="1"/>
    <col min="13325" max="13325" width="12.7109375" customWidth="1"/>
    <col min="13570" max="13570" width="19.5703125" customWidth="1"/>
    <col min="13571" max="13571" width="13.28515625" customWidth="1"/>
    <col min="13572" max="13572" width="8" customWidth="1"/>
    <col min="13573" max="13573" width="12.7109375" customWidth="1"/>
    <col min="13574" max="13574" width="8" customWidth="1"/>
    <col min="13575" max="13575" width="12" customWidth="1"/>
    <col min="13577" max="13577" width="24.85546875" customWidth="1"/>
    <col min="13578" max="13578" width="13.85546875" customWidth="1"/>
    <col min="13579" max="13579" width="11.140625" customWidth="1"/>
    <col min="13580" max="13580" width="19.85546875" customWidth="1"/>
    <col min="13581" max="13581" width="12.7109375" customWidth="1"/>
    <col min="13826" max="13826" width="19.5703125" customWidth="1"/>
    <col min="13827" max="13827" width="13.28515625" customWidth="1"/>
    <col min="13828" max="13828" width="8" customWidth="1"/>
    <col min="13829" max="13829" width="12.7109375" customWidth="1"/>
    <col min="13830" max="13830" width="8" customWidth="1"/>
    <col min="13831" max="13831" width="12" customWidth="1"/>
    <col min="13833" max="13833" width="24.85546875" customWidth="1"/>
    <col min="13834" max="13834" width="13.85546875" customWidth="1"/>
    <col min="13835" max="13835" width="11.140625" customWidth="1"/>
    <col min="13836" max="13836" width="19.85546875" customWidth="1"/>
    <col min="13837" max="13837" width="12.7109375" customWidth="1"/>
    <col min="14082" max="14082" width="19.5703125" customWidth="1"/>
    <col min="14083" max="14083" width="13.28515625" customWidth="1"/>
    <col min="14084" max="14084" width="8" customWidth="1"/>
    <col min="14085" max="14085" width="12.7109375" customWidth="1"/>
    <col min="14086" max="14086" width="8" customWidth="1"/>
    <col min="14087" max="14087" width="12" customWidth="1"/>
    <col min="14089" max="14089" width="24.85546875" customWidth="1"/>
    <col min="14090" max="14090" width="13.85546875" customWidth="1"/>
    <col min="14091" max="14091" width="11.140625" customWidth="1"/>
    <col min="14092" max="14092" width="19.85546875" customWidth="1"/>
    <col min="14093" max="14093" width="12.7109375" customWidth="1"/>
    <col min="14338" max="14338" width="19.5703125" customWidth="1"/>
    <col min="14339" max="14339" width="13.28515625" customWidth="1"/>
    <col min="14340" max="14340" width="8" customWidth="1"/>
    <col min="14341" max="14341" width="12.7109375" customWidth="1"/>
    <col min="14342" max="14342" width="8" customWidth="1"/>
    <col min="14343" max="14343" width="12" customWidth="1"/>
    <col min="14345" max="14345" width="24.85546875" customWidth="1"/>
    <col min="14346" max="14346" width="13.85546875" customWidth="1"/>
    <col min="14347" max="14347" width="11.140625" customWidth="1"/>
    <col min="14348" max="14348" width="19.85546875" customWidth="1"/>
    <col min="14349" max="14349" width="12.7109375" customWidth="1"/>
    <col min="14594" max="14594" width="19.5703125" customWidth="1"/>
    <col min="14595" max="14595" width="13.28515625" customWidth="1"/>
    <col min="14596" max="14596" width="8" customWidth="1"/>
    <col min="14597" max="14597" width="12.7109375" customWidth="1"/>
    <col min="14598" max="14598" width="8" customWidth="1"/>
    <col min="14599" max="14599" width="12" customWidth="1"/>
    <col min="14601" max="14601" width="24.85546875" customWidth="1"/>
    <col min="14602" max="14602" width="13.85546875" customWidth="1"/>
    <col min="14603" max="14603" width="11.140625" customWidth="1"/>
    <col min="14604" max="14604" width="19.85546875" customWidth="1"/>
    <col min="14605" max="14605" width="12.7109375" customWidth="1"/>
    <col min="14850" max="14850" width="19.5703125" customWidth="1"/>
    <col min="14851" max="14851" width="13.28515625" customWidth="1"/>
    <col min="14852" max="14852" width="8" customWidth="1"/>
    <col min="14853" max="14853" width="12.7109375" customWidth="1"/>
    <col min="14854" max="14854" width="8" customWidth="1"/>
    <col min="14855" max="14855" width="12" customWidth="1"/>
    <col min="14857" max="14857" width="24.85546875" customWidth="1"/>
    <col min="14858" max="14858" width="13.85546875" customWidth="1"/>
    <col min="14859" max="14859" width="11.140625" customWidth="1"/>
    <col min="14860" max="14860" width="19.85546875" customWidth="1"/>
    <col min="14861" max="14861" width="12.7109375" customWidth="1"/>
    <col min="15106" max="15106" width="19.5703125" customWidth="1"/>
    <col min="15107" max="15107" width="13.28515625" customWidth="1"/>
    <col min="15108" max="15108" width="8" customWidth="1"/>
    <col min="15109" max="15109" width="12.7109375" customWidth="1"/>
    <col min="15110" max="15110" width="8" customWidth="1"/>
    <col min="15111" max="15111" width="12" customWidth="1"/>
    <col min="15113" max="15113" width="24.85546875" customWidth="1"/>
    <col min="15114" max="15114" width="13.85546875" customWidth="1"/>
    <col min="15115" max="15115" width="11.140625" customWidth="1"/>
    <col min="15116" max="15116" width="19.85546875" customWidth="1"/>
    <col min="15117" max="15117" width="12.7109375" customWidth="1"/>
    <col min="15362" max="15362" width="19.5703125" customWidth="1"/>
    <col min="15363" max="15363" width="13.28515625" customWidth="1"/>
    <col min="15364" max="15364" width="8" customWidth="1"/>
    <col min="15365" max="15365" width="12.7109375" customWidth="1"/>
    <col min="15366" max="15366" width="8" customWidth="1"/>
    <col min="15367" max="15367" width="12" customWidth="1"/>
    <col min="15369" max="15369" width="24.85546875" customWidth="1"/>
    <col min="15370" max="15370" width="13.85546875" customWidth="1"/>
    <col min="15371" max="15371" width="11.140625" customWidth="1"/>
    <col min="15372" max="15372" width="19.85546875" customWidth="1"/>
    <col min="15373" max="15373" width="12.7109375" customWidth="1"/>
    <col min="15618" max="15618" width="19.5703125" customWidth="1"/>
    <col min="15619" max="15619" width="13.28515625" customWidth="1"/>
    <col min="15620" max="15620" width="8" customWidth="1"/>
    <col min="15621" max="15621" width="12.7109375" customWidth="1"/>
    <col min="15622" max="15622" width="8" customWidth="1"/>
    <col min="15623" max="15623" width="12" customWidth="1"/>
    <col min="15625" max="15625" width="24.85546875" customWidth="1"/>
    <col min="15626" max="15626" width="13.85546875" customWidth="1"/>
    <col min="15627" max="15627" width="11.140625" customWidth="1"/>
    <col min="15628" max="15628" width="19.85546875" customWidth="1"/>
    <col min="15629" max="15629" width="12.7109375" customWidth="1"/>
    <col min="15874" max="15874" width="19.5703125" customWidth="1"/>
    <col min="15875" max="15875" width="13.28515625" customWidth="1"/>
    <col min="15876" max="15876" width="8" customWidth="1"/>
    <col min="15877" max="15877" width="12.7109375" customWidth="1"/>
    <col min="15878" max="15878" width="8" customWidth="1"/>
    <col min="15879" max="15879" width="12" customWidth="1"/>
    <col min="15881" max="15881" width="24.85546875" customWidth="1"/>
    <col min="15882" max="15882" width="13.85546875" customWidth="1"/>
    <col min="15883" max="15883" width="11.140625" customWidth="1"/>
    <col min="15884" max="15884" width="19.85546875" customWidth="1"/>
    <col min="15885" max="15885" width="12.7109375" customWidth="1"/>
    <col min="16130" max="16130" width="19.5703125" customWidth="1"/>
    <col min="16131" max="16131" width="13.28515625" customWidth="1"/>
    <col min="16132" max="16132" width="8" customWidth="1"/>
    <col min="16133" max="16133" width="12.7109375" customWidth="1"/>
    <col min="16134" max="16134" width="8" customWidth="1"/>
    <col min="16135" max="16135" width="12" customWidth="1"/>
    <col min="16137" max="16137" width="24.85546875" customWidth="1"/>
    <col min="16138" max="16138" width="13.85546875" customWidth="1"/>
    <col min="16139" max="16139" width="11.140625" customWidth="1"/>
    <col min="16140" max="16140" width="19.85546875" customWidth="1"/>
    <col min="16141" max="16141" width="12.7109375" customWidth="1"/>
  </cols>
  <sheetData>
    <row r="1" spans="1:13" ht="13.5" customHeight="1" thickBot="1">
      <c r="A1" s="145" t="s">
        <v>162</v>
      </c>
      <c r="B1" s="205" t="s">
        <v>589</v>
      </c>
      <c r="C1" s="146" t="s">
        <v>163</v>
      </c>
      <c r="D1" s="147" t="s">
        <v>164</v>
      </c>
      <c r="E1" s="147" t="s">
        <v>165</v>
      </c>
      <c r="I1" s="148" t="s">
        <v>166</v>
      </c>
      <c r="J1" s="145" t="s">
        <v>167</v>
      </c>
      <c r="K1" s="147" t="s">
        <v>168</v>
      </c>
      <c r="L1" s="147" t="s">
        <v>169</v>
      </c>
      <c r="M1" s="147" t="s">
        <v>165</v>
      </c>
    </row>
    <row r="2" spans="1:13" ht="12.75" customHeight="1">
      <c r="A2" s="210">
        <v>39479</v>
      </c>
      <c r="B2" s="206"/>
      <c r="C2" s="149" t="s">
        <v>170</v>
      </c>
      <c r="D2" s="150">
        <f>848.08</f>
        <v>848.08</v>
      </c>
      <c r="E2" s="151">
        <v>0</v>
      </c>
      <c r="G2" s="152">
        <f t="shared" ref="G2:G23" si="0">D2*6</f>
        <v>5088.4800000000005</v>
      </c>
      <c r="I2" s="153"/>
      <c r="J2" s="154"/>
      <c r="K2" s="150"/>
      <c r="L2" s="150"/>
      <c r="M2" s="151">
        <v>0</v>
      </c>
    </row>
    <row r="3" spans="1:13" ht="12.75" customHeight="1">
      <c r="A3" s="210">
        <v>39661</v>
      </c>
      <c r="B3" s="206"/>
      <c r="C3" s="155">
        <v>5.323E-2</v>
      </c>
      <c r="D3" s="150">
        <v>914</v>
      </c>
      <c r="E3" s="156">
        <f t="shared" ref="E3:E15" si="1">D3-D2</f>
        <v>65.919999999999959</v>
      </c>
      <c r="G3" s="152">
        <f t="shared" si="0"/>
        <v>5484</v>
      </c>
      <c r="I3" s="153"/>
      <c r="J3" s="154"/>
      <c r="K3" s="150"/>
      <c r="L3" s="157"/>
      <c r="M3" s="156">
        <f t="shared" ref="M3:M16" si="2">L3-L2</f>
        <v>0</v>
      </c>
    </row>
    <row r="4" spans="1:13" ht="12.75" customHeight="1">
      <c r="A4" s="210">
        <v>39845</v>
      </c>
      <c r="B4" s="206"/>
      <c r="C4" s="155">
        <v>2.1350000000000001E-2</v>
      </c>
      <c r="D4" s="150">
        <f>577.6</f>
        <v>577.6</v>
      </c>
      <c r="E4" s="156">
        <f t="shared" si="1"/>
        <v>-336.4</v>
      </c>
      <c r="G4" s="152">
        <f t="shared" si="0"/>
        <v>3465.6000000000004</v>
      </c>
      <c r="I4" s="153"/>
      <c r="J4" s="154"/>
      <c r="K4" s="150"/>
      <c r="L4" s="158"/>
      <c r="M4" s="156">
        <f t="shared" si="2"/>
        <v>0</v>
      </c>
    </row>
    <row r="5" spans="1:13" ht="12.75" customHeight="1">
      <c r="A5" s="210">
        <v>40026</v>
      </c>
      <c r="B5" s="206"/>
      <c r="C5" s="155">
        <v>1.3339999999999999E-2</v>
      </c>
      <c r="D5" s="157">
        <v>505.94</v>
      </c>
      <c r="E5" s="156">
        <f t="shared" si="1"/>
        <v>-71.660000000000025</v>
      </c>
      <c r="G5" s="152">
        <f t="shared" si="0"/>
        <v>3035.64</v>
      </c>
      <c r="I5" s="153"/>
      <c r="J5" s="159"/>
      <c r="K5" s="157"/>
      <c r="L5" s="157"/>
      <c r="M5" s="156">
        <f t="shared" si="2"/>
        <v>0</v>
      </c>
    </row>
    <row r="6" spans="1:13" ht="12.75" customHeight="1">
      <c r="A6" s="210">
        <v>40210</v>
      </c>
      <c r="B6" s="206"/>
      <c r="C6" s="155">
        <v>1.225E-2</v>
      </c>
      <c r="D6" s="157">
        <v>496.71</v>
      </c>
      <c r="E6" s="156">
        <f t="shared" si="1"/>
        <v>-9.2300000000000182</v>
      </c>
      <c r="G6" s="152">
        <f t="shared" si="0"/>
        <v>2980.2599999999998</v>
      </c>
      <c r="I6" s="153"/>
      <c r="J6" s="159"/>
      <c r="K6" s="157"/>
      <c r="L6" s="157"/>
      <c r="M6" s="156">
        <f t="shared" si="2"/>
        <v>0</v>
      </c>
    </row>
    <row r="7" spans="1:13" ht="12.75" customHeight="1">
      <c r="A7" s="210">
        <v>40391</v>
      </c>
      <c r="B7" s="206"/>
      <c r="C7" s="155">
        <v>1.421E-2</v>
      </c>
      <c r="D7" s="157">
        <v>513.17999999999995</v>
      </c>
      <c r="E7" s="156">
        <f t="shared" si="1"/>
        <v>16.46999999999997</v>
      </c>
      <c r="G7" s="152">
        <f t="shared" si="0"/>
        <v>3079.08</v>
      </c>
      <c r="I7" s="153"/>
      <c r="J7" s="159"/>
      <c r="K7" s="157"/>
      <c r="L7" s="157"/>
      <c r="M7" s="156">
        <f t="shared" si="2"/>
        <v>0</v>
      </c>
    </row>
    <row r="8" spans="1:13" ht="12.75" customHeight="1">
      <c r="A8" s="210">
        <v>40575</v>
      </c>
      <c r="B8" s="206"/>
      <c r="C8" s="155">
        <v>1.7139999999999999E-2</v>
      </c>
      <c r="D8" s="160">
        <v>538.1</v>
      </c>
      <c r="E8" s="156">
        <f t="shared" si="1"/>
        <v>24.920000000000073</v>
      </c>
      <c r="G8" s="152">
        <f t="shared" si="0"/>
        <v>3228.6000000000004</v>
      </c>
      <c r="I8" s="153"/>
      <c r="J8" s="161"/>
      <c r="K8" s="160"/>
      <c r="L8" s="157"/>
      <c r="M8" s="156">
        <f t="shared" si="2"/>
        <v>0</v>
      </c>
    </row>
    <row r="9" spans="1:13" ht="12.75" customHeight="1">
      <c r="A9" s="210">
        <v>40756</v>
      </c>
      <c r="B9" s="206"/>
      <c r="C9" s="155">
        <v>2.0969999999999999E-2</v>
      </c>
      <c r="D9" s="157">
        <v>571.29</v>
      </c>
      <c r="E9" s="156">
        <f t="shared" si="1"/>
        <v>33.189999999999941</v>
      </c>
      <c r="G9" s="152">
        <f t="shared" si="0"/>
        <v>3427.74</v>
      </c>
      <c r="I9" s="153"/>
      <c r="J9" s="159"/>
      <c r="K9" s="157"/>
      <c r="L9" s="157"/>
      <c r="M9" s="156">
        <f t="shared" si="2"/>
        <v>0</v>
      </c>
    </row>
    <row r="10" spans="1:13" ht="12.75" customHeight="1">
      <c r="A10" s="211">
        <v>40940</v>
      </c>
      <c r="B10" s="207"/>
      <c r="C10" s="155">
        <v>1.678E-2</v>
      </c>
      <c r="D10" s="157">
        <v>535.46</v>
      </c>
      <c r="E10" s="156">
        <f t="shared" si="1"/>
        <v>-35.829999999999927</v>
      </c>
      <c r="G10" s="152">
        <f t="shared" si="0"/>
        <v>3212.76</v>
      </c>
      <c r="I10" s="162"/>
      <c r="J10" s="159"/>
      <c r="K10" s="157"/>
      <c r="L10" s="157"/>
      <c r="M10" s="156">
        <f t="shared" si="2"/>
        <v>0</v>
      </c>
    </row>
    <row r="11" spans="1:13" ht="12.75" customHeight="1">
      <c r="A11" s="210">
        <v>41122</v>
      </c>
      <c r="B11" s="206"/>
      <c r="C11" s="155">
        <f>(1.377-0.5)/100</f>
        <v>8.77E-3</v>
      </c>
      <c r="D11" s="157">
        <f>471.35</f>
        <v>471.35</v>
      </c>
      <c r="E11" s="156">
        <f t="shared" si="1"/>
        <v>-64.110000000000014</v>
      </c>
      <c r="G11" s="152">
        <f t="shared" si="0"/>
        <v>2828.1000000000004</v>
      </c>
      <c r="I11" s="153"/>
      <c r="J11" s="159"/>
      <c r="K11" s="157"/>
      <c r="L11" s="157"/>
      <c r="M11" s="156">
        <f t="shared" si="2"/>
        <v>0</v>
      </c>
    </row>
    <row r="12" spans="1:13" ht="12.75" customHeight="1">
      <c r="A12" s="210">
        <v>41306</v>
      </c>
      <c r="B12" s="206"/>
      <c r="C12" s="155">
        <f>0.594/100</f>
        <v>5.94E-3</v>
      </c>
      <c r="D12" s="157">
        <v>450.15</v>
      </c>
      <c r="E12" s="156">
        <v>-21.2</v>
      </c>
      <c r="G12" s="152">
        <f t="shared" si="0"/>
        <v>2700.8999999999996</v>
      </c>
      <c r="I12" s="153"/>
      <c r="J12" s="159"/>
      <c r="K12" s="157"/>
      <c r="L12" s="157"/>
      <c r="M12" s="156">
        <v>0</v>
      </c>
    </row>
    <row r="13" spans="1:13" ht="12.75" customHeight="1">
      <c r="A13" s="210">
        <v>41487</v>
      </c>
      <c r="B13" s="206"/>
      <c r="C13" s="155">
        <f>0.542/100</f>
        <v>5.4200000000000003E-3</v>
      </c>
      <c r="D13" s="157">
        <v>446.36</v>
      </c>
      <c r="E13" s="156">
        <v>-3.77</v>
      </c>
      <c r="G13" s="152">
        <f t="shared" si="0"/>
        <v>2678.16</v>
      </c>
      <c r="I13" s="153"/>
      <c r="J13" s="159"/>
      <c r="K13" s="157"/>
      <c r="L13" s="157"/>
      <c r="M13" s="156">
        <v>0</v>
      </c>
    </row>
    <row r="14" spans="1:13" ht="12.75" customHeight="1">
      <c r="A14" s="210">
        <v>41671</v>
      </c>
      <c r="B14" s="206"/>
      <c r="C14" s="155">
        <f>0.549/100</f>
        <v>5.4900000000000001E-3</v>
      </c>
      <c r="D14" s="157">
        <f>446.86</f>
        <v>446.86</v>
      </c>
      <c r="E14" s="156">
        <f t="shared" si="1"/>
        <v>0.5</v>
      </c>
      <c r="G14" s="152">
        <f t="shared" si="0"/>
        <v>2681.16</v>
      </c>
      <c r="I14" s="163">
        <f>EDATE(A14,2)</f>
        <v>41730</v>
      </c>
      <c r="J14" s="164">
        <v>153293.20000000001</v>
      </c>
      <c r="K14" s="157">
        <v>15951.99</v>
      </c>
      <c r="L14" s="165">
        <f t="shared" ref="L14:L19" si="3">K14-J14</f>
        <v>-137341.21000000002</v>
      </c>
      <c r="M14" s="156">
        <f t="shared" si="2"/>
        <v>-137341.21000000002</v>
      </c>
    </row>
    <row r="15" spans="1:13" ht="12.75" customHeight="1">
      <c r="A15" s="210">
        <f>EDATE(A14,6)</f>
        <v>41852</v>
      </c>
      <c r="B15" s="206">
        <v>151411.95000000001</v>
      </c>
      <c r="C15" s="155">
        <f>(0.969-0.5)/100</f>
        <v>4.6899999999999997E-3</v>
      </c>
      <c r="D15" s="157">
        <f>318.97+122.27</f>
        <v>441.24</v>
      </c>
      <c r="E15" s="156">
        <f t="shared" si="1"/>
        <v>-5.6200000000000045</v>
      </c>
      <c r="G15" s="152">
        <f t="shared" si="0"/>
        <v>2647.44</v>
      </c>
      <c r="I15" s="163">
        <f t="shared" ref="I15:I62" si="4">EDATE(A15,2)</f>
        <v>41913</v>
      </c>
      <c r="J15" s="159">
        <f>151411.95+18544.65-(198.04*2)</f>
        <v>169560.52000000002</v>
      </c>
      <c r="K15" s="157">
        <v>17897.71</v>
      </c>
      <c r="L15" s="165">
        <f t="shared" si="3"/>
        <v>-151662.81000000003</v>
      </c>
      <c r="M15" s="156">
        <f t="shared" si="2"/>
        <v>-14321.600000000006</v>
      </c>
    </row>
    <row r="16" spans="1:13" ht="12.75" customHeight="1">
      <c r="A16" s="210">
        <f t="shared" ref="A16:A79" si="5">EDATE(A15,6)</f>
        <v>42036</v>
      </c>
      <c r="B16" s="206">
        <v>149494.24</v>
      </c>
      <c r="C16" s="155">
        <f>0.00255</f>
        <v>2.5500000000000002E-3</v>
      </c>
      <c r="D16" s="157">
        <f>426.61</f>
        <v>426.61</v>
      </c>
      <c r="E16" s="156">
        <f>D16-D15</f>
        <v>-14.629999999999995</v>
      </c>
      <c r="G16" s="152">
        <f t="shared" si="0"/>
        <v>2559.66</v>
      </c>
      <c r="I16" s="163">
        <f t="shared" si="4"/>
        <v>42095</v>
      </c>
      <c r="J16" s="159">
        <f>149494.24+18544.65-(198.04*(2+6))</f>
        <v>166454.56999999998</v>
      </c>
      <c r="K16" s="157">
        <v>20433.009999999998</v>
      </c>
      <c r="L16" s="165">
        <f t="shared" si="3"/>
        <v>-146021.55999999997</v>
      </c>
      <c r="M16" s="156">
        <f t="shared" si="2"/>
        <v>5641.2500000000582</v>
      </c>
    </row>
    <row r="17" spans="1:13" ht="12.75" customHeight="1">
      <c r="A17" s="210">
        <f t="shared" si="5"/>
        <v>42217</v>
      </c>
      <c r="B17" s="206">
        <v>147495.79</v>
      </c>
      <c r="C17" s="155">
        <v>1.6138095238095241E-3</v>
      </c>
      <c r="D17" s="157">
        <v>420.38</v>
      </c>
      <c r="E17" s="156">
        <f>D17-D16</f>
        <v>-6.2300000000000182</v>
      </c>
      <c r="G17" s="152">
        <f t="shared" si="0"/>
        <v>2522.2799999999997</v>
      </c>
      <c r="I17" s="163">
        <f t="shared" si="4"/>
        <v>42278</v>
      </c>
      <c r="J17" s="159">
        <f>147495.79+18544.65-(198.04*(2+12))</f>
        <v>163267.88</v>
      </c>
      <c r="K17" s="157">
        <v>17715.88</v>
      </c>
      <c r="L17" s="165">
        <f t="shared" si="3"/>
        <v>-145552</v>
      </c>
      <c r="M17" s="156">
        <f t="shared" ref="M17:M22" si="6">L17-L16</f>
        <v>469.55999999996857</v>
      </c>
    </row>
    <row r="18" spans="1:13" ht="12.75" customHeight="1">
      <c r="A18" s="210">
        <f t="shared" si="5"/>
        <v>42401</v>
      </c>
      <c r="B18" s="206">
        <v>145458.18</v>
      </c>
      <c r="C18" s="155">
        <f>-0.00008</f>
        <v>-8.0000000000000007E-5</v>
      </c>
      <c r="D18" s="157">
        <v>409.48</v>
      </c>
      <c r="E18" s="156">
        <v>-10.89</v>
      </c>
      <c r="G18" s="152">
        <f t="shared" si="0"/>
        <v>2456.88</v>
      </c>
      <c r="I18" s="163">
        <f t="shared" si="4"/>
        <v>42461</v>
      </c>
      <c r="J18" s="159">
        <f>145458.18+18544.65-(198.04*(2+18))</f>
        <v>160042.03</v>
      </c>
      <c r="K18" s="157">
        <f>1167.12+4510.82+2610.71+5004.39+800+2627.7+1337.06</f>
        <v>18057.800000000003</v>
      </c>
      <c r="L18" s="165">
        <f t="shared" si="3"/>
        <v>-141984.22999999998</v>
      </c>
      <c r="M18" s="156">
        <f t="shared" si="6"/>
        <v>3567.7700000000186</v>
      </c>
    </row>
    <row r="19" spans="1:13" ht="12.75" customHeight="1">
      <c r="A19" s="210">
        <f t="shared" si="5"/>
        <v>42583</v>
      </c>
      <c r="B19" s="206">
        <v>143356.97</v>
      </c>
      <c r="C19" s="155">
        <f>-0.048%</f>
        <v>-4.8000000000000001E-4</v>
      </c>
      <c r="D19" s="157">
        <v>406.97</v>
      </c>
      <c r="E19" s="156">
        <f t="shared" ref="E19:E24" si="7">D19-D18</f>
        <v>-2.5099999999999909</v>
      </c>
      <c r="G19" s="152">
        <f t="shared" si="0"/>
        <v>2441.8200000000002</v>
      </c>
      <c r="I19" s="163">
        <f t="shared" si="4"/>
        <v>42644</v>
      </c>
      <c r="J19" s="159">
        <f>143356.97+18544.65-(198.04*(2+24))</f>
        <v>156752.57999999999</v>
      </c>
      <c r="K19" s="157">
        <f>18827.92-5007.8+(833*5.448)</f>
        <v>18358.304</v>
      </c>
      <c r="L19" s="165">
        <f t="shared" si="3"/>
        <v>-138394.27599999998</v>
      </c>
      <c r="M19" s="156">
        <f t="shared" si="6"/>
        <v>3589.9539999999979</v>
      </c>
    </row>
    <row r="20" spans="1:13" ht="12.75" customHeight="1">
      <c r="A20" s="210">
        <f t="shared" si="5"/>
        <v>42767</v>
      </c>
      <c r="B20" s="206">
        <v>141384.89000000001</v>
      </c>
      <c r="C20" s="155">
        <f>-0.00106</f>
        <v>-1.06E-3</v>
      </c>
      <c r="D20" s="157">
        <v>403.39</v>
      </c>
      <c r="E20" s="156">
        <f t="shared" si="7"/>
        <v>-3.5800000000000409</v>
      </c>
      <c r="G20" s="152">
        <f t="shared" si="0"/>
        <v>2420.34</v>
      </c>
      <c r="I20" s="163">
        <f t="shared" si="4"/>
        <v>42826</v>
      </c>
      <c r="J20" s="159">
        <f>141384.89+18544.65-(198.04*(2+30))</f>
        <v>153592.26</v>
      </c>
      <c r="K20" s="157">
        <f>19200-5007.8+(833*7.9)</f>
        <v>20772.900000000001</v>
      </c>
      <c r="L20" s="165">
        <f>K20-J20</f>
        <v>-132819.36000000002</v>
      </c>
      <c r="M20" s="156">
        <f t="shared" si="6"/>
        <v>5574.9159999999683</v>
      </c>
    </row>
    <row r="21" spans="1:13" ht="12.75" customHeight="1">
      <c r="A21" s="210">
        <f t="shared" si="5"/>
        <v>42948</v>
      </c>
      <c r="B21" s="206">
        <v>139093.28</v>
      </c>
      <c r="C21" s="155">
        <v>-1.56E-3</v>
      </c>
      <c r="D21" s="157">
        <v>400.38</v>
      </c>
      <c r="E21" s="156">
        <f t="shared" si="7"/>
        <v>-3.0099999999999909</v>
      </c>
      <c r="G21" s="152">
        <f t="shared" si="0"/>
        <v>2402.2799999999997</v>
      </c>
      <c r="I21" s="163">
        <f t="shared" si="4"/>
        <v>43009</v>
      </c>
      <c r="J21" s="159">
        <f>139093.28+18544.65-(198.04*(2+36))</f>
        <v>150112.41</v>
      </c>
      <c r="K21" s="157">
        <f>11743+(306*21.51)</f>
        <v>18325.060000000001</v>
      </c>
      <c r="L21" s="165">
        <f>K21-J21</f>
        <v>-131787.35</v>
      </c>
      <c r="M21" s="156">
        <f t="shared" si="6"/>
        <v>1032.0100000000093</v>
      </c>
    </row>
    <row r="22" spans="1:13" ht="12.75" customHeight="1">
      <c r="A22" s="210">
        <f t="shared" si="5"/>
        <v>43132</v>
      </c>
      <c r="B22" s="206">
        <v>136928.69</v>
      </c>
      <c r="C22" s="155">
        <v>-1.9124999999999997E-3</v>
      </c>
      <c r="D22" s="157">
        <v>398.31</v>
      </c>
      <c r="E22" s="156">
        <f t="shared" si="7"/>
        <v>-2.0699999999999932</v>
      </c>
      <c r="G22" s="152">
        <f t="shared" si="0"/>
        <v>2389.86</v>
      </c>
      <c r="I22" s="163">
        <f t="shared" si="4"/>
        <v>43191</v>
      </c>
      <c r="J22" s="159">
        <f>B22+Coche!D6</f>
        <v>160889.93</v>
      </c>
      <c r="K22" s="157">
        <v>20719.909999999996</v>
      </c>
      <c r="L22" s="165">
        <f>K22-J22</f>
        <v>-140170.01999999999</v>
      </c>
      <c r="M22" s="156">
        <f t="shared" si="6"/>
        <v>-8382.6699999999837</v>
      </c>
    </row>
    <row r="23" spans="1:13" ht="12.75" customHeight="1">
      <c r="A23" s="210">
        <f t="shared" si="5"/>
        <v>43313</v>
      </c>
      <c r="B23" s="206">
        <v>134748.99</v>
      </c>
      <c r="C23" s="155">
        <v>-1.6900000000000001E-3</v>
      </c>
      <c r="D23" s="157">
        <v>399.58584259812636</v>
      </c>
      <c r="E23" s="156">
        <f t="shared" si="7"/>
        <v>1.2758425981263599</v>
      </c>
      <c r="G23" s="152">
        <f t="shared" si="0"/>
        <v>2397.5150555887581</v>
      </c>
      <c r="I23" s="163">
        <f t="shared" si="4"/>
        <v>43374</v>
      </c>
      <c r="J23" s="159">
        <f>B23+Coche!D12</f>
        <v>157159.40999999997</v>
      </c>
      <c r="K23" s="157"/>
      <c r="L23" s="165">
        <f>K23-J23</f>
        <v>-157159.40999999997</v>
      </c>
      <c r="M23" s="156">
        <f t="shared" ref="M23" si="8">L23-L22</f>
        <v>-16989.389999999985</v>
      </c>
    </row>
    <row r="24" spans="1:13" ht="12.75" customHeight="1">
      <c r="A24" s="210">
        <f t="shared" si="5"/>
        <v>43497</v>
      </c>
      <c r="B24" s="206">
        <v>132572.97</v>
      </c>
      <c r="C24" s="155">
        <f>Hipoteca!B$6/100</f>
        <v>-1.6900000000000001E-3</v>
      </c>
      <c r="D24" s="157">
        <f>Hipoteca!B$13</f>
        <v>399.58579898879282</v>
      </c>
      <c r="E24" s="156">
        <f t="shared" si="7"/>
        <v>-4.3609333545191475E-5</v>
      </c>
      <c r="I24" s="163">
        <f t="shared" si="4"/>
        <v>43556</v>
      </c>
      <c r="J24" s="159"/>
      <c r="K24" s="157"/>
      <c r="L24" s="157"/>
      <c r="M24" s="156"/>
    </row>
    <row r="25" spans="1:13" ht="12.75" customHeight="1">
      <c r="A25" s="210">
        <f t="shared" si="5"/>
        <v>43678</v>
      </c>
      <c r="B25" s="206"/>
      <c r="C25" s="155"/>
      <c r="D25" s="157"/>
      <c r="E25" s="156"/>
      <c r="I25" s="163">
        <f t="shared" si="4"/>
        <v>43739</v>
      </c>
      <c r="J25" s="159"/>
      <c r="K25" s="157"/>
      <c r="L25" s="157"/>
      <c r="M25" s="156"/>
    </row>
    <row r="26" spans="1:13" ht="12.75" customHeight="1">
      <c r="A26" s="210">
        <f t="shared" si="5"/>
        <v>43862</v>
      </c>
      <c r="B26" s="206"/>
      <c r="C26" s="155"/>
      <c r="D26" s="157"/>
      <c r="E26" s="156"/>
      <c r="I26" s="163">
        <f t="shared" si="4"/>
        <v>43922</v>
      </c>
      <c r="J26" s="159"/>
      <c r="K26" s="157"/>
      <c r="L26" s="157"/>
      <c r="M26" s="156"/>
    </row>
    <row r="27" spans="1:13" ht="12.75" customHeight="1">
      <c r="A27" s="210">
        <f t="shared" si="5"/>
        <v>44044</v>
      </c>
      <c r="B27" s="206"/>
      <c r="C27" s="155"/>
      <c r="D27" s="157"/>
      <c r="E27" s="156"/>
      <c r="I27" s="163">
        <f t="shared" si="4"/>
        <v>44105</v>
      </c>
      <c r="J27" s="159"/>
      <c r="K27" s="157"/>
      <c r="L27" s="157"/>
      <c r="M27" s="156"/>
    </row>
    <row r="28" spans="1:13" ht="12.75" customHeight="1">
      <c r="A28" s="210">
        <f t="shared" si="5"/>
        <v>44228</v>
      </c>
      <c r="B28" s="206"/>
      <c r="C28" s="155"/>
      <c r="D28" s="157"/>
      <c r="E28" s="156"/>
      <c r="I28" s="163">
        <f t="shared" si="4"/>
        <v>44287</v>
      </c>
      <c r="J28" s="159"/>
      <c r="K28" s="157"/>
      <c r="L28" s="157"/>
      <c r="M28" s="156"/>
    </row>
    <row r="29" spans="1:13" ht="12.75" customHeight="1">
      <c r="A29" s="210">
        <f t="shared" si="5"/>
        <v>44409</v>
      </c>
      <c r="B29" s="206"/>
      <c r="C29" s="155"/>
      <c r="D29" s="157"/>
      <c r="E29" s="156"/>
      <c r="I29" s="163">
        <f t="shared" si="4"/>
        <v>44470</v>
      </c>
      <c r="J29" s="159"/>
      <c r="K29" s="157"/>
      <c r="L29" s="157"/>
      <c r="M29" s="156"/>
    </row>
    <row r="30" spans="1:13" ht="12.75" customHeight="1">
      <c r="A30" s="210">
        <f t="shared" si="5"/>
        <v>44593</v>
      </c>
      <c r="B30" s="206"/>
      <c r="C30" s="155"/>
      <c r="D30" s="157"/>
      <c r="E30" s="156"/>
      <c r="I30" s="163">
        <f t="shared" si="4"/>
        <v>44652</v>
      </c>
      <c r="J30" s="159"/>
      <c r="K30" s="157"/>
      <c r="L30" s="157"/>
      <c r="M30" s="156"/>
    </row>
    <row r="31" spans="1:13" ht="12.75" customHeight="1">
      <c r="A31" s="210">
        <f t="shared" si="5"/>
        <v>44774</v>
      </c>
      <c r="B31" s="206"/>
      <c r="C31" s="155"/>
      <c r="D31" s="157"/>
      <c r="E31" s="156"/>
      <c r="I31" s="163">
        <f t="shared" si="4"/>
        <v>44835</v>
      </c>
      <c r="J31" s="159"/>
      <c r="K31" s="157"/>
      <c r="L31" s="157"/>
      <c r="M31" s="156"/>
    </row>
    <row r="32" spans="1:13" ht="12.75" customHeight="1">
      <c r="A32" s="210">
        <f t="shared" si="5"/>
        <v>44958</v>
      </c>
      <c r="B32" s="206"/>
      <c r="C32" s="155"/>
      <c r="D32" s="157"/>
      <c r="E32" s="156"/>
      <c r="I32" s="163">
        <f t="shared" si="4"/>
        <v>45017</v>
      </c>
      <c r="J32" s="159"/>
      <c r="K32" s="157"/>
      <c r="L32" s="157"/>
      <c r="M32" s="156"/>
    </row>
    <row r="33" spans="1:13" ht="12.75" customHeight="1">
      <c r="A33" s="210">
        <f t="shared" si="5"/>
        <v>45139</v>
      </c>
      <c r="B33" s="206"/>
      <c r="C33" s="155"/>
      <c r="D33" s="157"/>
      <c r="E33" s="156"/>
      <c r="I33" s="163">
        <f t="shared" si="4"/>
        <v>45200</v>
      </c>
      <c r="J33" s="159"/>
      <c r="K33" s="157"/>
      <c r="L33" s="157"/>
      <c r="M33" s="156"/>
    </row>
    <row r="34" spans="1:13" ht="12.75" customHeight="1">
      <c r="A34" s="210">
        <f t="shared" si="5"/>
        <v>45323</v>
      </c>
      <c r="B34" s="206"/>
      <c r="C34" s="155"/>
      <c r="D34" s="157"/>
      <c r="E34" s="156"/>
      <c r="I34" s="163">
        <f t="shared" si="4"/>
        <v>45383</v>
      </c>
      <c r="J34" s="159"/>
      <c r="K34" s="157"/>
      <c r="L34" s="157"/>
      <c r="M34" s="156"/>
    </row>
    <row r="35" spans="1:13" ht="12.75" customHeight="1">
      <c r="A35" s="210">
        <f t="shared" si="5"/>
        <v>45505</v>
      </c>
      <c r="B35" s="206"/>
      <c r="C35" s="155"/>
      <c r="D35" s="157"/>
      <c r="E35" s="156"/>
      <c r="I35" s="163">
        <f t="shared" si="4"/>
        <v>45566</v>
      </c>
      <c r="J35" s="159"/>
      <c r="K35" s="157"/>
      <c r="L35" s="157"/>
      <c r="M35" s="156"/>
    </row>
    <row r="36" spans="1:13" ht="12.75" customHeight="1">
      <c r="A36" s="210">
        <f t="shared" si="5"/>
        <v>45689</v>
      </c>
      <c r="B36" s="206"/>
      <c r="C36" s="155"/>
      <c r="D36" s="157"/>
      <c r="E36" s="156"/>
      <c r="I36" s="163">
        <f t="shared" si="4"/>
        <v>45748</v>
      </c>
      <c r="J36" s="159"/>
      <c r="K36" s="157"/>
      <c r="L36" s="157"/>
      <c r="M36" s="156"/>
    </row>
    <row r="37" spans="1:13" ht="12.75" customHeight="1">
      <c r="A37" s="210">
        <f t="shared" si="5"/>
        <v>45870</v>
      </c>
      <c r="B37" s="206"/>
      <c r="C37" s="155"/>
      <c r="D37" s="157"/>
      <c r="E37" s="156"/>
      <c r="I37" s="163">
        <f t="shared" si="4"/>
        <v>45931</v>
      </c>
      <c r="J37" s="159"/>
      <c r="K37" s="157"/>
      <c r="L37" s="157"/>
      <c r="M37" s="156"/>
    </row>
    <row r="38" spans="1:13" ht="12.75" customHeight="1">
      <c r="A38" s="210">
        <f t="shared" si="5"/>
        <v>46054</v>
      </c>
      <c r="B38" s="206"/>
      <c r="C38" s="155"/>
      <c r="D38" s="157"/>
      <c r="E38" s="156"/>
      <c r="I38" s="163">
        <f t="shared" si="4"/>
        <v>46113</v>
      </c>
      <c r="J38" s="159"/>
      <c r="K38" s="157"/>
      <c r="L38" s="157"/>
      <c r="M38" s="156"/>
    </row>
    <row r="39" spans="1:13" ht="12.75" customHeight="1">
      <c r="A39" s="210">
        <f t="shared" si="5"/>
        <v>46235</v>
      </c>
      <c r="B39" s="206"/>
      <c r="C39" s="155"/>
      <c r="D39" s="157"/>
      <c r="E39" s="156"/>
      <c r="I39" s="163">
        <f t="shared" si="4"/>
        <v>46296</v>
      </c>
      <c r="J39" s="159"/>
      <c r="K39" s="157"/>
      <c r="L39" s="157"/>
      <c r="M39" s="156"/>
    </row>
    <row r="40" spans="1:13" ht="12.75" customHeight="1">
      <c r="A40" s="210">
        <f t="shared" si="5"/>
        <v>46419</v>
      </c>
      <c r="B40" s="206"/>
      <c r="C40" s="155"/>
      <c r="D40" s="157"/>
      <c r="E40" s="156"/>
      <c r="I40" s="163">
        <f t="shared" si="4"/>
        <v>46478</v>
      </c>
      <c r="J40" s="159"/>
      <c r="K40" s="157"/>
      <c r="L40" s="157"/>
      <c r="M40" s="156"/>
    </row>
    <row r="41" spans="1:13" ht="12.75" customHeight="1">
      <c r="A41" s="210">
        <f t="shared" si="5"/>
        <v>46600</v>
      </c>
      <c r="B41" s="206"/>
      <c r="C41" s="155"/>
      <c r="D41" s="157"/>
      <c r="E41" s="156"/>
      <c r="I41" s="163">
        <f t="shared" si="4"/>
        <v>46661</v>
      </c>
      <c r="J41" s="159"/>
      <c r="K41" s="157"/>
      <c r="L41" s="157"/>
      <c r="M41" s="156"/>
    </row>
    <row r="42" spans="1:13" ht="12.75" customHeight="1">
      <c r="A42" s="210">
        <f t="shared" si="5"/>
        <v>46784</v>
      </c>
      <c r="B42" s="206"/>
      <c r="C42" s="155"/>
      <c r="D42" s="157"/>
      <c r="E42" s="156"/>
      <c r="I42" s="163">
        <f t="shared" si="4"/>
        <v>46844</v>
      </c>
      <c r="J42" s="159"/>
      <c r="K42" s="157"/>
      <c r="L42" s="157"/>
      <c r="M42" s="156"/>
    </row>
    <row r="43" spans="1:13" ht="12.75" customHeight="1">
      <c r="A43" s="210">
        <f t="shared" si="5"/>
        <v>46966</v>
      </c>
      <c r="B43" s="206"/>
      <c r="C43" s="155"/>
      <c r="D43" s="157"/>
      <c r="E43" s="156"/>
      <c r="I43" s="163">
        <f t="shared" si="4"/>
        <v>47027</v>
      </c>
      <c r="J43" s="159"/>
      <c r="K43" s="157"/>
      <c r="L43" s="157"/>
      <c r="M43" s="156"/>
    </row>
    <row r="44" spans="1:13" ht="12.75" customHeight="1">
      <c r="A44" s="210">
        <f t="shared" si="5"/>
        <v>47150</v>
      </c>
      <c r="B44" s="206"/>
      <c r="C44" s="155"/>
      <c r="D44" s="157"/>
      <c r="E44" s="156"/>
      <c r="I44" s="163">
        <f t="shared" si="4"/>
        <v>47209</v>
      </c>
      <c r="J44" s="159"/>
      <c r="K44" s="157"/>
      <c r="L44" s="157"/>
      <c r="M44" s="156"/>
    </row>
    <row r="45" spans="1:13" ht="12.75" customHeight="1">
      <c r="A45" s="210">
        <f t="shared" si="5"/>
        <v>47331</v>
      </c>
      <c r="B45" s="206"/>
      <c r="C45" s="155"/>
      <c r="D45" s="157"/>
      <c r="E45" s="156"/>
      <c r="I45" s="163">
        <f t="shared" si="4"/>
        <v>47392</v>
      </c>
      <c r="J45" s="159"/>
      <c r="K45" s="157"/>
      <c r="L45" s="157"/>
      <c r="M45" s="156"/>
    </row>
    <row r="46" spans="1:13" ht="12.75" customHeight="1">
      <c r="A46" s="210">
        <f t="shared" si="5"/>
        <v>47515</v>
      </c>
      <c r="B46" s="206"/>
      <c r="C46" s="155"/>
      <c r="D46" s="157"/>
      <c r="E46" s="156"/>
      <c r="I46" s="163">
        <f t="shared" si="4"/>
        <v>47574</v>
      </c>
      <c r="J46" s="159"/>
      <c r="K46" s="157"/>
      <c r="L46" s="157"/>
      <c r="M46" s="156"/>
    </row>
    <row r="47" spans="1:13" ht="12.75" customHeight="1">
      <c r="A47" s="210">
        <f t="shared" si="5"/>
        <v>47696</v>
      </c>
      <c r="B47" s="206"/>
      <c r="C47" s="155"/>
      <c r="D47" s="157"/>
      <c r="E47" s="156"/>
      <c r="I47" s="163">
        <f t="shared" si="4"/>
        <v>47757</v>
      </c>
      <c r="J47" s="159"/>
      <c r="K47" s="157"/>
      <c r="L47" s="157"/>
      <c r="M47" s="156"/>
    </row>
    <row r="48" spans="1:13" ht="12.75" customHeight="1">
      <c r="A48" s="210">
        <f t="shared" si="5"/>
        <v>47880</v>
      </c>
      <c r="B48" s="206"/>
      <c r="C48" s="155"/>
      <c r="D48" s="157"/>
      <c r="E48" s="156"/>
      <c r="I48" s="163">
        <f t="shared" si="4"/>
        <v>47939</v>
      </c>
      <c r="J48" s="159"/>
      <c r="K48" s="157"/>
      <c r="L48" s="157"/>
      <c r="M48" s="156"/>
    </row>
    <row r="49" spans="1:13" ht="12.75" customHeight="1">
      <c r="A49" s="210">
        <f t="shared" si="5"/>
        <v>48061</v>
      </c>
      <c r="B49" s="206"/>
      <c r="C49" s="155"/>
      <c r="D49" s="157"/>
      <c r="E49" s="156"/>
      <c r="I49" s="163">
        <f t="shared" si="4"/>
        <v>48122</v>
      </c>
      <c r="J49" s="159"/>
      <c r="K49" s="157"/>
      <c r="L49" s="157"/>
      <c r="M49" s="156"/>
    </row>
    <row r="50" spans="1:13" ht="12.75" customHeight="1">
      <c r="A50" s="210">
        <f t="shared" si="5"/>
        <v>48245</v>
      </c>
      <c r="B50" s="206"/>
      <c r="C50" s="155"/>
      <c r="D50" s="157"/>
      <c r="E50" s="156"/>
      <c r="I50" s="163">
        <f t="shared" si="4"/>
        <v>48305</v>
      </c>
      <c r="J50" s="159"/>
      <c r="K50" s="157"/>
      <c r="L50" s="157"/>
      <c r="M50" s="156"/>
    </row>
    <row r="51" spans="1:13" ht="12.75" customHeight="1">
      <c r="A51" s="210">
        <f t="shared" si="5"/>
        <v>48427</v>
      </c>
      <c r="B51" s="206"/>
      <c r="C51" s="155"/>
      <c r="D51" s="157"/>
      <c r="E51" s="156"/>
      <c r="I51" s="163">
        <f t="shared" si="4"/>
        <v>48488</v>
      </c>
      <c r="J51" s="159"/>
      <c r="K51" s="157"/>
      <c r="L51" s="157"/>
      <c r="M51" s="156"/>
    </row>
    <row r="52" spans="1:13" ht="12.75" customHeight="1">
      <c r="A52" s="210">
        <f t="shared" si="5"/>
        <v>48611</v>
      </c>
      <c r="B52" s="206"/>
      <c r="C52" s="155"/>
      <c r="D52" s="157"/>
      <c r="E52" s="156"/>
      <c r="I52" s="163">
        <f t="shared" si="4"/>
        <v>48670</v>
      </c>
      <c r="J52" s="159"/>
      <c r="K52" s="157"/>
      <c r="L52" s="157"/>
      <c r="M52" s="156"/>
    </row>
    <row r="53" spans="1:13" ht="12.75" customHeight="1">
      <c r="A53" s="210">
        <f t="shared" si="5"/>
        <v>48792</v>
      </c>
      <c r="B53" s="206"/>
      <c r="C53" s="155"/>
      <c r="D53" s="157"/>
      <c r="E53" s="156"/>
      <c r="I53" s="163">
        <f t="shared" si="4"/>
        <v>48853</v>
      </c>
      <c r="J53" s="159"/>
      <c r="K53" s="157"/>
      <c r="L53" s="157"/>
      <c r="M53" s="156"/>
    </row>
    <row r="54" spans="1:13" ht="12.75" customHeight="1">
      <c r="A54" s="210">
        <f t="shared" si="5"/>
        <v>48976</v>
      </c>
      <c r="B54" s="206"/>
      <c r="C54" s="155"/>
      <c r="D54" s="157"/>
      <c r="E54" s="156"/>
      <c r="I54" s="163">
        <f t="shared" si="4"/>
        <v>49035</v>
      </c>
      <c r="J54" s="159"/>
      <c r="K54" s="157"/>
      <c r="L54" s="157"/>
      <c r="M54" s="156"/>
    </row>
    <row r="55" spans="1:13" ht="12.75" customHeight="1">
      <c r="A55" s="210">
        <f t="shared" si="5"/>
        <v>49157</v>
      </c>
      <c r="B55" s="206"/>
      <c r="C55" s="155"/>
      <c r="D55" s="157"/>
      <c r="E55" s="156"/>
      <c r="I55" s="163">
        <f t="shared" si="4"/>
        <v>49218</v>
      </c>
      <c r="J55" s="159"/>
      <c r="K55" s="157"/>
      <c r="L55" s="157"/>
      <c r="M55" s="156"/>
    </row>
    <row r="56" spans="1:13" ht="12.75" customHeight="1">
      <c r="A56" s="210">
        <f t="shared" si="5"/>
        <v>49341</v>
      </c>
      <c r="B56" s="206"/>
      <c r="C56" s="155"/>
      <c r="D56" s="157"/>
      <c r="E56" s="156"/>
      <c r="I56" s="163">
        <f t="shared" si="4"/>
        <v>49400</v>
      </c>
      <c r="J56" s="159"/>
      <c r="K56" s="157"/>
      <c r="L56" s="157"/>
      <c r="M56" s="156"/>
    </row>
    <row r="57" spans="1:13" ht="12.75" customHeight="1">
      <c r="A57" s="210">
        <f t="shared" si="5"/>
        <v>49522</v>
      </c>
      <c r="B57" s="206"/>
      <c r="C57" s="155"/>
      <c r="D57" s="157"/>
      <c r="E57" s="156"/>
      <c r="I57" s="163">
        <f t="shared" si="4"/>
        <v>49583</v>
      </c>
      <c r="J57" s="159"/>
      <c r="K57" s="157"/>
      <c r="L57" s="157"/>
      <c r="M57" s="156"/>
    </row>
    <row r="58" spans="1:13" ht="12.75" customHeight="1">
      <c r="A58" s="210">
        <f t="shared" si="5"/>
        <v>49706</v>
      </c>
      <c r="B58" s="206"/>
      <c r="C58" s="155"/>
      <c r="D58" s="157"/>
      <c r="E58" s="156"/>
      <c r="I58" s="163">
        <f t="shared" si="4"/>
        <v>49766</v>
      </c>
      <c r="J58" s="159"/>
      <c r="K58" s="157"/>
      <c r="L58" s="157"/>
      <c r="M58" s="156"/>
    </row>
    <row r="59" spans="1:13" ht="12.75" customHeight="1">
      <c r="A59" s="210">
        <f t="shared" si="5"/>
        <v>49888</v>
      </c>
      <c r="B59" s="206"/>
      <c r="C59" s="155"/>
      <c r="D59" s="157"/>
      <c r="E59" s="156"/>
      <c r="I59" s="163">
        <f t="shared" si="4"/>
        <v>49949</v>
      </c>
      <c r="J59" s="159"/>
      <c r="K59" s="157"/>
      <c r="L59" s="157"/>
      <c r="M59" s="156"/>
    </row>
    <row r="60" spans="1:13" ht="12.75" customHeight="1">
      <c r="A60" s="210">
        <f t="shared" si="5"/>
        <v>50072</v>
      </c>
      <c r="B60" s="206"/>
      <c r="C60" s="155"/>
      <c r="D60" s="157"/>
      <c r="E60" s="156"/>
      <c r="I60" s="163">
        <f t="shared" si="4"/>
        <v>50131</v>
      </c>
      <c r="J60" s="159"/>
      <c r="K60" s="157"/>
      <c r="L60" s="157"/>
      <c r="M60" s="156"/>
    </row>
    <row r="61" spans="1:13" ht="12.75" customHeight="1">
      <c r="A61" s="210">
        <f t="shared" si="5"/>
        <v>50253</v>
      </c>
      <c r="B61" s="206"/>
      <c r="C61" s="155"/>
      <c r="D61" s="157"/>
      <c r="E61" s="156"/>
      <c r="I61" s="163">
        <f t="shared" si="4"/>
        <v>50314</v>
      </c>
      <c r="J61" s="159"/>
      <c r="K61" s="157"/>
      <c r="L61" s="157"/>
      <c r="M61" s="156"/>
    </row>
    <row r="62" spans="1:13" ht="12.75" customHeight="1">
      <c r="A62" s="210">
        <f t="shared" si="5"/>
        <v>50437</v>
      </c>
      <c r="B62" s="206"/>
      <c r="C62" s="155"/>
      <c r="D62" s="157"/>
      <c r="E62" s="156"/>
      <c r="I62" s="163">
        <f t="shared" si="4"/>
        <v>50496</v>
      </c>
      <c r="J62" s="159"/>
      <c r="K62" s="157"/>
      <c r="L62" s="157"/>
      <c r="M62" s="156"/>
    </row>
    <row r="63" spans="1:13" ht="12.75" customHeight="1">
      <c r="A63" s="210">
        <f t="shared" si="5"/>
        <v>50618</v>
      </c>
      <c r="B63" s="206"/>
      <c r="C63" s="155"/>
      <c r="D63" s="157"/>
      <c r="E63" s="156"/>
      <c r="I63" s="163">
        <f t="shared" ref="I63:I82" si="9">EDATE(A63,2)</f>
        <v>50679</v>
      </c>
      <c r="J63" s="159"/>
      <c r="K63" s="157"/>
      <c r="L63" s="157"/>
      <c r="M63" s="156"/>
    </row>
    <row r="64" spans="1:13" ht="12.75" customHeight="1">
      <c r="A64" s="210">
        <f t="shared" si="5"/>
        <v>50802</v>
      </c>
      <c r="B64" s="206"/>
      <c r="C64" s="155"/>
      <c r="D64" s="157"/>
      <c r="E64" s="156"/>
      <c r="I64" s="163">
        <f t="shared" si="9"/>
        <v>50861</v>
      </c>
      <c r="J64" s="159"/>
      <c r="K64" s="157"/>
      <c r="L64" s="157"/>
      <c r="M64" s="156"/>
    </row>
    <row r="65" spans="1:13" ht="12.75" customHeight="1">
      <c r="A65" s="210">
        <f t="shared" si="5"/>
        <v>50983</v>
      </c>
      <c r="B65" s="206"/>
      <c r="C65" s="155"/>
      <c r="D65" s="157"/>
      <c r="E65" s="156"/>
      <c r="I65" s="163">
        <f t="shared" si="9"/>
        <v>51044</v>
      </c>
      <c r="J65" s="159"/>
      <c r="K65" s="157"/>
      <c r="L65" s="157"/>
      <c r="M65" s="156"/>
    </row>
    <row r="66" spans="1:13" ht="12.75" customHeight="1">
      <c r="A66" s="210">
        <f t="shared" si="5"/>
        <v>51167</v>
      </c>
      <c r="B66" s="206"/>
      <c r="C66" s="155"/>
      <c r="D66" s="157"/>
      <c r="E66" s="156"/>
      <c r="I66" s="163">
        <f t="shared" si="9"/>
        <v>51227</v>
      </c>
      <c r="J66" s="159"/>
      <c r="K66" s="157"/>
      <c r="L66" s="157"/>
      <c r="M66" s="156"/>
    </row>
    <row r="67" spans="1:13" ht="12.75" customHeight="1">
      <c r="A67" s="210">
        <f t="shared" si="5"/>
        <v>51349</v>
      </c>
      <c r="B67" s="206"/>
      <c r="C67" s="155"/>
      <c r="D67" s="157"/>
      <c r="E67" s="156"/>
      <c r="I67" s="163">
        <f t="shared" si="9"/>
        <v>51410</v>
      </c>
      <c r="J67" s="159"/>
      <c r="K67" s="157"/>
      <c r="L67" s="157"/>
      <c r="M67" s="156"/>
    </row>
    <row r="68" spans="1:13" ht="12.75" customHeight="1">
      <c r="A68" s="210">
        <f t="shared" si="5"/>
        <v>51533</v>
      </c>
      <c r="B68" s="206"/>
      <c r="C68" s="155"/>
      <c r="D68" s="157"/>
      <c r="E68" s="156"/>
      <c r="I68" s="163">
        <f t="shared" si="9"/>
        <v>51592</v>
      </c>
      <c r="J68" s="159"/>
      <c r="K68" s="157"/>
      <c r="L68" s="157"/>
      <c r="M68" s="156"/>
    </row>
    <row r="69" spans="1:13" ht="12.75" customHeight="1">
      <c r="A69" s="210">
        <f t="shared" si="5"/>
        <v>51714</v>
      </c>
      <c r="B69" s="206"/>
      <c r="C69" s="155"/>
      <c r="D69" s="157"/>
      <c r="E69" s="156"/>
      <c r="I69" s="163">
        <f t="shared" si="9"/>
        <v>51775</v>
      </c>
      <c r="J69" s="159"/>
      <c r="K69" s="157"/>
      <c r="L69" s="157"/>
      <c r="M69" s="156"/>
    </row>
    <row r="70" spans="1:13" ht="12.75" customHeight="1">
      <c r="A70" s="210">
        <f t="shared" si="5"/>
        <v>51898</v>
      </c>
      <c r="B70" s="206"/>
      <c r="C70" s="155"/>
      <c r="D70" s="157"/>
      <c r="E70" s="156"/>
      <c r="I70" s="163">
        <f t="shared" si="9"/>
        <v>51957</v>
      </c>
      <c r="J70" s="159"/>
      <c r="K70" s="157"/>
      <c r="L70" s="157"/>
      <c r="M70" s="156"/>
    </row>
    <row r="71" spans="1:13" ht="12.75" customHeight="1">
      <c r="A71" s="210">
        <f t="shared" si="5"/>
        <v>52079</v>
      </c>
      <c r="B71" s="206"/>
      <c r="C71" s="155"/>
      <c r="D71" s="157"/>
      <c r="E71" s="156"/>
      <c r="I71" s="163">
        <f t="shared" si="9"/>
        <v>52140</v>
      </c>
      <c r="J71" s="159"/>
      <c r="K71" s="157"/>
      <c r="L71" s="157"/>
      <c r="M71" s="156"/>
    </row>
    <row r="72" spans="1:13" ht="12.75" customHeight="1">
      <c r="A72" s="210">
        <f t="shared" si="5"/>
        <v>52263</v>
      </c>
      <c r="B72" s="206"/>
      <c r="C72" s="155"/>
      <c r="D72" s="157"/>
      <c r="E72" s="156"/>
      <c r="I72" s="163">
        <f t="shared" si="9"/>
        <v>52322</v>
      </c>
      <c r="J72" s="159"/>
      <c r="K72" s="157"/>
      <c r="L72" s="157"/>
      <c r="M72" s="156"/>
    </row>
    <row r="73" spans="1:13" ht="12.75" customHeight="1">
      <c r="A73" s="210">
        <f t="shared" si="5"/>
        <v>52444</v>
      </c>
      <c r="B73" s="206"/>
      <c r="C73" s="155"/>
      <c r="D73" s="157"/>
      <c r="E73" s="156"/>
      <c r="I73" s="163">
        <f t="shared" si="9"/>
        <v>52505</v>
      </c>
      <c r="J73" s="159"/>
      <c r="K73" s="157"/>
      <c r="L73" s="157"/>
      <c r="M73" s="156"/>
    </row>
    <row r="74" spans="1:13" ht="12.75" customHeight="1">
      <c r="A74" s="210">
        <f t="shared" si="5"/>
        <v>52628</v>
      </c>
      <c r="B74" s="206"/>
      <c r="C74" s="155"/>
      <c r="D74" s="157"/>
      <c r="E74" s="156"/>
      <c r="I74" s="163">
        <f t="shared" si="9"/>
        <v>52688</v>
      </c>
      <c r="J74" s="159"/>
      <c r="K74" s="157"/>
      <c r="L74" s="157"/>
      <c r="M74" s="156"/>
    </row>
    <row r="75" spans="1:13" ht="12.75" customHeight="1">
      <c r="A75" s="210">
        <f t="shared" si="5"/>
        <v>52810</v>
      </c>
      <c r="B75" s="206"/>
      <c r="C75" s="155"/>
      <c r="D75" s="157"/>
      <c r="E75" s="156"/>
      <c r="I75" s="163">
        <f t="shared" si="9"/>
        <v>52871</v>
      </c>
      <c r="J75" s="159"/>
      <c r="K75" s="157"/>
      <c r="L75" s="157"/>
      <c r="M75" s="156"/>
    </row>
    <row r="76" spans="1:13" ht="12.75" customHeight="1">
      <c r="A76" s="210">
        <f t="shared" si="5"/>
        <v>52994</v>
      </c>
      <c r="B76" s="206"/>
      <c r="C76" s="155"/>
      <c r="D76" s="157"/>
      <c r="E76" s="156"/>
      <c r="I76" s="163">
        <f t="shared" si="9"/>
        <v>53053</v>
      </c>
      <c r="J76" s="159"/>
      <c r="K76" s="157"/>
      <c r="L76" s="157"/>
      <c r="M76" s="156"/>
    </row>
    <row r="77" spans="1:13" ht="12.75" customHeight="1">
      <c r="A77" s="210">
        <f t="shared" si="5"/>
        <v>53175</v>
      </c>
      <c r="B77" s="206"/>
      <c r="C77" s="155"/>
      <c r="D77" s="157"/>
      <c r="E77" s="156"/>
      <c r="I77" s="163">
        <f t="shared" si="9"/>
        <v>53236</v>
      </c>
      <c r="J77" s="159"/>
      <c r="K77" s="157"/>
      <c r="L77" s="157"/>
      <c r="M77" s="156"/>
    </row>
    <row r="78" spans="1:13" ht="12.75" customHeight="1">
      <c r="A78" s="210">
        <f t="shared" si="5"/>
        <v>53359</v>
      </c>
      <c r="B78" s="206"/>
      <c r="C78" s="155"/>
      <c r="D78" s="157"/>
      <c r="E78" s="156"/>
      <c r="I78" s="163">
        <f t="shared" si="9"/>
        <v>53418</v>
      </c>
      <c r="J78" s="159"/>
      <c r="K78" s="157"/>
      <c r="L78" s="157"/>
      <c r="M78" s="156"/>
    </row>
    <row r="79" spans="1:13" ht="12.75" customHeight="1">
      <c r="A79" s="210">
        <f t="shared" si="5"/>
        <v>53540</v>
      </c>
      <c r="B79" s="206"/>
      <c r="C79" s="155"/>
      <c r="D79" s="157"/>
      <c r="E79" s="156"/>
      <c r="I79" s="163">
        <f t="shared" si="9"/>
        <v>53601</v>
      </c>
      <c r="J79" s="159"/>
      <c r="K79" s="157"/>
      <c r="L79" s="157"/>
      <c r="M79" s="156"/>
    </row>
    <row r="80" spans="1:13" ht="12.75" customHeight="1">
      <c r="A80" s="210">
        <f t="shared" ref="A80:A82" si="10">EDATE(A79,6)</f>
        <v>53724</v>
      </c>
      <c r="B80" s="206"/>
      <c r="C80" s="155"/>
      <c r="D80" s="157"/>
      <c r="E80" s="156"/>
      <c r="I80" s="163">
        <f t="shared" si="9"/>
        <v>53783</v>
      </c>
      <c r="J80" s="159"/>
      <c r="K80" s="157"/>
      <c r="L80" s="157"/>
      <c r="M80" s="156"/>
    </row>
    <row r="81" spans="1:13" ht="12.75" customHeight="1">
      <c r="A81" s="210">
        <f t="shared" si="10"/>
        <v>53905</v>
      </c>
      <c r="B81" s="206"/>
      <c r="C81" s="155"/>
      <c r="D81" s="157"/>
      <c r="E81" s="156"/>
      <c r="I81" s="163">
        <f t="shared" si="9"/>
        <v>53966</v>
      </c>
      <c r="J81" s="159"/>
      <c r="K81" s="157"/>
      <c r="L81" s="157"/>
      <c r="M81" s="156"/>
    </row>
    <row r="82" spans="1:13" ht="13.5" customHeight="1" thickBot="1">
      <c r="A82" s="212">
        <f t="shared" si="10"/>
        <v>54089</v>
      </c>
      <c r="B82" s="208"/>
      <c r="C82" s="166"/>
      <c r="D82" s="167"/>
      <c r="E82" s="168"/>
      <c r="I82" s="177">
        <f t="shared" si="9"/>
        <v>54149</v>
      </c>
      <c r="J82" s="169"/>
      <c r="K82" s="167"/>
      <c r="L82" s="167"/>
      <c r="M82" s="168"/>
    </row>
    <row r="83" spans="1:13" ht="12.75" customHeight="1">
      <c r="C83" s="170">
        <f>AVERAGE(C3:C82)</f>
        <v>8.8759686147186125E-3</v>
      </c>
      <c r="D83" s="171">
        <f>AVERAGE(D2:D82)</f>
        <v>496.56572354725716</v>
      </c>
      <c r="E83" s="172">
        <f>AVERAGE(E3:E82)</f>
        <v>-20.384736409600325</v>
      </c>
      <c r="M83" s="172">
        <f>AVERAGE(M3:M82)</f>
        <v>-7483.7814285714276</v>
      </c>
    </row>
    <row r="85" spans="1:13">
      <c r="E85" t="s">
        <v>171</v>
      </c>
      <c r="G85" s="152">
        <f>SUM(G2:G82)</f>
        <v>66128.555055588746</v>
      </c>
      <c r="M85" t="s">
        <v>171</v>
      </c>
    </row>
    <row r="104" spans="7:7">
      <c r="G104">
        <f>198.04*12*5</f>
        <v>11882.4</v>
      </c>
    </row>
    <row r="105" spans="7:7">
      <c r="G105">
        <f>G104+6662.25</f>
        <v>18544.650000000001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I50"/>
  <sheetViews>
    <sheetView topLeftCell="A10" workbookViewId="0">
      <selection activeCell="I50" sqref="I50"/>
    </sheetView>
  </sheetViews>
  <sheetFormatPr defaultColWidth="8" defaultRowHeight="15"/>
  <cols>
    <col min="1" max="1" width="8" customWidth="1"/>
    <col min="2" max="2" width="12.28515625" customWidth="1"/>
    <col min="3" max="5" width="8" customWidth="1"/>
    <col min="6" max="6" width="12.28515625" customWidth="1"/>
    <col min="7" max="7" width="9" customWidth="1"/>
    <col min="257" max="257" width="8" customWidth="1"/>
    <col min="258" max="258" width="12.28515625" customWidth="1"/>
    <col min="259" max="261" width="8" customWidth="1"/>
    <col min="262" max="262" width="12.28515625" customWidth="1"/>
    <col min="263" max="263" width="9" customWidth="1"/>
    <col min="513" max="513" width="8" customWidth="1"/>
    <col min="514" max="514" width="12.28515625" customWidth="1"/>
    <col min="515" max="517" width="8" customWidth="1"/>
    <col min="518" max="518" width="12.28515625" customWidth="1"/>
    <col min="519" max="519" width="9" customWidth="1"/>
    <col min="769" max="769" width="8" customWidth="1"/>
    <col min="770" max="770" width="12.28515625" customWidth="1"/>
    <col min="771" max="773" width="8" customWidth="1"/>
    <col min="774" max="774" width="12.28515625" customWidth="1"/>
    <col min="775" max="775" width="9" customWidth="1"/>
    <col min="1025" max="1025" width="8" customWidth="1"/>
    <col min="1026" max="1026" width="12.28515625" customWidth="1"/>
    <col min="1027" max="1029" width="8" customWidth="1"/>
    <col min="1030" max="1030" width="12.28515625" customWidth="1"/>
    <col min="1031" max="1031" width="9" customWidth="1"/>
    <col min="1281" max="1281" width="8" customWidth="1"/>
    <col min="1282" max="1282" width="12.28515625" customWidth="1"/>
    <col min="1283" max="1285" width="8" customWidth="1"/>
    <col min="1286" max="1286" width="12.28515625" customWidth="1"/>
    <col min="1287" max="1287" width="9" customWidth="1"/>
    <col min="1537" max="1537" width="8" customWidth="1"/>
    <col min="1538" max="1538" width="12.28515625" customWidth="1"/>
    <col min="1539" max="1541" width="8" customWidth="1"/>
    <col min="1542" max="1542" width="12.28515625" customWidth="1"/>
    <col min="1543" max="1543" width="9" customWidth="1"/>
    <col min="1793" max="1793" width="8" customWidth="1"/>
    <col min="1794" max="1794" width="12.28515625" customWidth="1"/>
    <col min="1795" max="1797" width="8" customWidth="1"/>
    <col min="1798" max="1798" width="12.28515625" customWidth="1"/>
    <col min="1799" max="1799" width="9" customWidth="1"/>
    <col min="2049" max="2049" width="8" customWidth="1"/>
    <col min="2050" max="2050" width="12.28515625" customWidth="1"/>
    <col min="2051" max="2053" width="8" customWidth="1"/>
    <col min="2054" max="2054" width="12.28515625" customWidth="1"/>
    <col min="2055" max="2055" width="9" customWidth="1"/>
    <col min="2305" max="2305" width="8" customWidth="1"/>
    <col min="2306" max="2306" width="12.28515625" customWidth="1"/>
    <col min="2307" max="2309" width="8" customWidth="1"/>
    <col min="2310" max="2310" width="12.28515625" customWidth="1"/>
    <col min="2311" max="2311" width="9" customWidth="1"/>
    <col min="2561" max="2561" width="8" customWidth="1"/>
    <col min="2562" max="2562" width="12.28515625" customWidth="1"/>
    <col min="2563" max="2565" width="8" customWidth="1"/>
    <col min="2566" max="2566" width="12.28515625" customWidth="1"/>
    <col min="2567" max="2567" width="9" customWidth="1"/>
    <col min="2817" max="2817" width="8" customWidth="1"/>
    <col min="2818" max="2818" width="12.28515625" customWidth="1"/>
    <col min="2819" max="2821" width="8" customWidth="1"/>
    <col min="2822" max="2822" width="12.28515625" customWidth="1"/>
    <col min="2823" max="2823" width="9" customWidth="1"/>
    <col min="3073" max="3073" width="8" customWidth="1"/>
    <col min="3074" max="3074" width="12.28515625" customWidth="1"/>
    <col min="3075" max="3077" width="8" customWidth="1"/>
    <col min="3078" max="3078" width="12.28515625" customWidth="1"/>
    <col min="3079" max="3079" width="9" customWidth="1"/>
    <col min="3329" max="3329" width="8" customWidth="1"/>
    <col min="3330" max="3330" width="12.28515625" customWidth="1"/>
    <col min="3331" max="3333" width="8" customWidth="1"/>
    <col min="3334" max="3334" width="12.28515625" customWidth="1"/>
    <col min="3335" max="3335" width="9" customWidth="1"/>
    <col min="3585" max="3585" width="8" customWidth="1"/>
    <col min="3586" max="3586" width="12.28515625" customWidth="1"/>
    <col min="3587" max="3589" width="8" customWidth="1"/>
    <col min="3590" max="3590" width="12.28515625" customWidth="1"/>
    <col min="3591" max="3591" width="9" customWidth="1"/>
    <col min="3841" max="3841" width="8" customWidth="1"/>
    <col min="3842" max="3842" width="12.28515625" customWidth="1"/>
    <col min="3843" max="3845" width="8" customWidth="1"/>
    <col min="3846" max="3846" width="12.28515625" customWidth="1"/>
    <col min="3847" max="3847" width="9" customWidth="1"/>
    <col min="4097" max="4097" width="8" customWidth="1"/>
    <col min="4098" max="4098" width="12.28515625" customWidth="1"/>
    <col min="4099" max="4101" width="8" customWidth="1"/>
    <col min="4102" max="4102" width="12.28515625" customWidth="1"/>
    <col min="4103" max="4103" width="9" customWidth="1"/>
    <col min="4353" max="4353" width="8" customWidth="1"/>
    <col min="4354" max="4354" width="12.28515625" customWidth="1"/>
    <col min="4355" max="4357" width="8" customWidth="1"/>
    <col min="4358" max="4358" width="12.28515625" customWidth="1"/>
    <col min="4359" max="4359" width="9" customWidth="1"/>
    <col min="4609" max="4609" width="8" customWidth="1"/>
    <col min="4610" max="4610" width="12.28515625" customWidth="1"/>
    <col min="4611" max="4613" width="8" customWidth="1"/>
    <col min="4614" max="4614" width="12.28515625" customWidth="1"/>
    <col min="4615" max="4615" width="9" customWidth="1"/>
    <col min="4865" max="4865" width="8" customWidth="1"/>
    <col min="4866" max="4866" width="12.28515625" customWidth="1"/>
    <col min="4867" max="4869" width="8" customWidth="1"/>
    <col min="4870" max="4870" width="12.28515625" customWidth="1"/>
    <col min="4871" max="4871" width="9" customWidth="1"/>
    <col min="5121" max="5121" width="8" customWidth="1"/>
    <col min="5122" max="5122" width="12.28515625" customWidth="1"/>
    <col min="5123" max="5125" width="8" customWidth="1"/>
    <col min="5126" max="5126" width="12.28515625" customWidth="1"/>
    <col min="5127" max="5127" width="9" customWidth="1"/>
    <col min="5377" max="5377" width="8" customWidth="1"/>
    <col min="5378" max="5378" width="12.28515625" customWidth="1"/>
    <col min="5379" max="5381" width="8" customWidth="1"/>
    <col min="5382" max="5382" width="12.28515625" customWidth="1"/>
    <col min="5383" max="5383" width="9" customWidth="1"/>
    <col min="5633" max="5633" width="8" customWidth="1"/>
    <col min="5634" max="5634" width="12.28515625" customWidth="1"/>
    <col min="5635" max="5637" width="8" customWidth="1"/>
    <col min="5638" max="5638" width="12.28515625" customWidth="1"/>
    <col min="5639" max="5639" width="9" customWidth="1"/>
    <col min="5889" max="5889" width="8" customWidth="1"/>
    <col min="5890" max="5890" width="12.28515625" customWidth="1"/>
    <col min="5891" max="5893" width="8" customWidth="1"/>
    <col min="5894" max="5894" width="12.28515625" customWidth="1"/>
    <col min="5895" max="5895" width="9" customWidth="1"/>
    <col min="6145" max="6145" width="8" customWidth="1"/>
    <col min="6146" max="6146" width="12.28515625" customWidth="1"/>
    <col min="6147" max="6149" width="8" customWidth="1"/>
    <col min="6150" max="6150" width="12.28515625" customWidth="1"/>
    <col min="6151" max="6151" width="9" customWidth="1"/>
    <col min="6401" max="6401" width="8" customWidth="1"/>
    <col min="6402" max="6402" width="12.28515625" customWidth="1"/>
    <col min="6403" max="6405" width="8" customWidth="1"/>
    <col min="6406" max="6406" width="12.28515625" customWidth="1"/>
    <col min="6407" max="6407" width="9" customWidth="1"/>
    <col min="6657" max="6657" width="8" customWidth="1"/>
    <col min="6658" max="6658" width="12.28515625" customWidth="1"/>
    <col min="6659" max="6661" width="8" customWidth="1"/>
    <col min="6662" max="6662" width="12.28515625" customWidth="1"/>
    <col min="6663" max="6663" width="9" customWidth="1"/>
    <col min="6913" max="6913" width="8" customWidth="1"/>
    <col min="6914" max="6914" width="12.28515625" customWidth="1"/>
    <col min="6915" max="6917" width="8" customWidth="1"/>
    <col min="6918" max="6918" width="12.28515625" customWidth="1"/>
    <col min="6919" max="6919" width="9" customWidth="1"/>
    <col min="7169" max="7169" width="8" customWidth="1"/>
    <col min="7170" max="7170" width="12.28515625" customWidth="1"/>
    <col min="7171" max="7173" width="8" customWidth="1"/>
    <col min="7174" max="7174" width="12.28515625" customWidth="1"/>
    <col min="7175" max="7175" width="9" customWidth="1"/>
    <col min="7425" max="7425" width="8" customWidth="1"/>
    <col min="7426" max="7426" width="12.28515625" customWidth="1"/>
    <col min="7427" max="7429" width="8" customWidth="1"/>
    <col min="7430" max="7430" width="12.28515625" customWidth="1"/>
    <col min="7431" max="7431" width="9" customWidth="1"/>
    <col min="7681" max="7681" width="8" customWidth="1"/>
    <col min="7682" max="7682" width="12.28515625" customWidth="1"/>
    <col min="7683" max="7685" width="8" customWidth="1"/>
    <col min="7686" max="7686" width="12.28515625" customWidth="1"/>
    <col min="7687" max="7687" width="9" customWidth="1"/>
    <col min="7937" max="7937" width="8" customWidth="1"/>
    <col min="7938" max="7938" width="12.28515625" customWidth="1"/>
    <col min="7939" max="7941" width="8" customWidth="1"/>
    <col min="7942" max="7942" width="12.28515625" customWidth="1"/>
    <col min="7943" max="7943" width="9" customWidth="1"/>
    <col min="8193" max="8193" width="8" customWidth="1"/>
    <col min="8194" max="8194" width="12.28515625" customWidth="1"/>
    <col min="8195" max="8197" width="8" customWidth="1"/>
    <col min="8198" max="8198" width="12.28515625" customWidth="1"/>
    <col min="8199" max="8199" width="9" customWidth="1"/>
    <col min="8449" max="8449" width="8" customWidth="1"/>
    <col min="8450" max="8450" width="12.28515625" customWidth="1"/>
    <col min="8451" max="8453" width="8" customWidth="1"/>
    <col min="8454" max="8454" width="12.28515625" customWidth="1"/>
    <col min="8455" max="8455" width="9" customWidth="1"/>
    <col min="8705" max="8705" width="8" customWidth="1"/>
    <col min="8706" max="8706" width="12.28515625" customWidth="1"/>
    <col min="8707" max="8709" width="8" customWidth="1"/>
    <col min="8710" max="8710" width="12.28515625" customWidth="1"/>
    <col min="8711" max="8711" width="9" customWidth="1"/>
    <col min="8961" max="8961" width="8" customWidth="1"/>
    <col min="8962" max="8962" width="12.28515625" customWidth="1"/>
    <col min="8963" max="8965" width="8" customWidth="1"/>
    <col min="8966" max="8966" width="12.28515625" customWidth="1"/>
    <col min="8967" max="8967" width="9" customWidth="1"/>
    <col min="9217" max="9217" width="8" customWidth="1"/>
    <col min="9218" max="9218" width="12.28515625" customWidth="1"/>
    <col min="9219" max="9221" width="8" customWidth="1"/>
    <col min="9222" max="9222" width="12.28515625" customWidth="1"/>
    <col min="9223" max="9223" width="9" customWidth="1"/>
    <col min="9473" max="9473" width="8" customWidth="1"/>
    <col min="9474" max="9474" width="12.28515625" customWidth="1"/>
    <col min="9475" max="9477" width="8" customWidth="1"/>
    <col min="9478" max="9478" width="12.28515625" customWidth="1"/>
    <col min="9479" max="9479" width="9" customWidth="1"/>
    <col min="9729" max="9729" width="8" customWidth="1"/>
    <col min="9730" max="9730" width="12.28515625" customWidth="1"/>
    <col min="9731" max="9733" width="8" customWidth="1"/>
    <col min="9734" max="9734" width="12.28515625" customWidth="1"/>
    <col min="9735" max="9735" width="9" customWidth="1"/>
    <col min="9985" max="9985" width="8" customWidth="1"/>
    <col min="9986" max="9986" width="12.28515625" customWidth="1"/>
    <col min="9987" max="9989" width="8" customWidth="1"/>
    <col min="9990" max="9990" width="12.28515625" customWidth="1"/>
    <col min="9991" max="9991" width="9" customWidth="1"/>
    <col min="10241" max="10241" width="8" customWidth="1"/>
    <col min="10242" max="10242" width="12.28515625" customWidth="1"/>
    <col min="10243" max="10245" width="8" customWidth="1"/>
    <col min="10246" max="10246" width="12.28515625" customWidth="1"/>
    <col min="10247" max="10247" width="9" customWidth="1"/>
    <col min="10497" max="10497" width="8" customWidth="1"/>
    <col min="10498" max="10498" width="12.28515625" customWidth="1"/>
    <col min="10499" max="10501" width="8" customWidth="1"/>
    <col min="10502" max="10502" width="12.28515625" customWidth="1"/>
    <col min="10503" max="10503" width="9" customWidth="1"/>
    <col min="10753" max="10753" width="8" customWidth="1"/>
    <col min="10754" max="10754" width="12.28515625" customWidth="1"/>
    <col min="10755" max="10757" width="8" customWidth="1"/>
    <col min="10758" max="10758" width="12.28515625" customWidth="1"/>
    <col min="10759" max="10759" width="9" customWidth="1"/>
    <col min="11009" max="11009" width="8" customWidth="1"/>
    <col min="11010" max="11010" width="12.28515625" customWidth="1"/>
    <col min="11011" max="11013" width="8" customWidth="1"/>
    <col min="11014" max="11014" width="12.28515625" customWidth="1"/>
    <col min="11015" max="11015" width="9" customWidth="1"/>
    <col min="11265" max="11265" width="8" customWidth="1"/>
    <col min="11266" max="11266" width="12.28515625" customWidth="1"/>
    <col min="11267" max="11269" width="8" customWidth="1"/>
    <col min="11270" max="11270" width="12.28515625" customWidth="1"/>
    <col min="11271" max="11271" width="9" customWidth="1"/>
    <col min="11521" max="11521" width="8" customWidth="1"/>
    <col min="11522" max="11522" width="12.28515625" customWidth="1"/>
    <col min="11523" max="11525" width="8" customWidth="1"/>
    <col min="11526" max="11526" width="12.28515625" customWidth="1"/>
    <col min="11527" max="11527" width="9" customWidth="1"/>
    <col min="11777" max="11777" width="8" customWidth="1"/>
    <col min="11778" max="11778" width="12.28515625" customWidth="1"/>
    <col min="11779" max="11781" width="8" customWidth="1"/>
    <col min="11782" max="11782" width="12.28515625" customWidth="1"/>
    <col min="11783" max="11783" width="9" customWidth="1"/>
    <col min="12033" max="12033" width="8" customWidth="1"/>
    <col min="12034" max="12034" width="12.28515625" customWidth="1"/>
    <col min="12035" max="12037" width="8" customWidth="1"/>
    <col min="12038" max="12038" width="12.28515625" customWidth="1"/>
    <col min="12039" max="12039" width="9" customWidth="1"/>
    <col min="12289" max="12289" width="8" customWidth="1"/>
    <col min="12290" max="12290" width="12.28515625" customWidth="1"/>
    <col min="12291" max="12293" width="8" customWidth="1"/>
    <col min="12294" max="12294" width="12.28515625" customWidth="1"/>
    <col min="12295" max="12295" width="9" customWidth="1"/>
    <col min="12545" max="12545" width="8" customWidth="1"/>
    <col min="12546" max="12546" width="12.28515625" customWidth="1"/>
    <col min="12547" max="12549" width="8" customWidth="1"/>
    <col min="12550" max="12550" width="12.28515625" customWidth="1"/>
    <col min="12551" max="12551" width="9" customWidth="1"/>
    <col min="12801" max="12801" width="8" customWidth="1"/>
    <col min="12802" max="12802" width="12.28515625" customWidth="1"/>
    <col min="12803" max="12805" width="8" customWidth="1"/>
    <col min="12806" max="12806" width="12.28515625" customWidth="1"/>
    <col min="12807" max="12807" width="9" customWidth="1"/>
    <col min="13057" max="13057" width="8" customWidth="1"/>
    <col min="13058" max="13058" width="12.28515625" customWidth="1"/>
    <col min="13059" max="13061" width="8" customWidth="1"/>
    <col min="13062" max="13062" width="12.28515625" customWidth="1"/>
    <col min="13063" max="13063" width="9" customWidth="1"/>
    <col min="13313" max="13313" width="8" customWidth="1"/>
    <col min="13314" max="13314" width="12.28515625" customWidth="1"/>
    <col min="13315" max="13317" width="8" customWidth="1"/>
    <col min="13318" max="13318" width="12.28515625" customWidth="1"/>
    <col min="13319" max="13319" width="9" customWidth="1"/>
    <col min="13569" max="13569" width="8" customWidth="1"/>
    <col min="13570" max="13570" width="12.28515625" customWidth="1"/>
    <col min="13571" max="13573" width="8" customWidth="1"/>
    <col min="13574" max="13574" width="12.28515625" customWidth="1"/>
    <col min="13575" max="13575" width="9" customWidth="1"/>
    <col min="13825" max="13825" width="8" customWidth="1"/>
    <col min="13826" max="13826" width="12.28515625" customWidth="1"/>
    <col min="13827" max="13829" width="8" customWidth="1"/>
    <col min="13830" max="13830" width="12.28515625" customWidth="1"/>
    <col min="13831" max="13831" width="9" customWidth="1"/>
    <col min="14081" max="14081" width="8" customWidth="1"/>
    <col min="14082" max="14082" width="12.28515625" customWidth="1"/>
    <col min="14083" max="14085" width="8" customWidth="1"/>
    <col min="14086" max="14086" width="12.28515625" customWidth="1"/>
    <col min="14087" max="14087" width="9" customWidth="1"/>
    <col min="14337" max="14337" width="8" customWidth="1"/>
    <col min="14338" max="14338" width="12.28515625" customWidth="1"/>
    <col min="14339" max="14341" width="8" customWidth="1"/>
    <col min="14342" max="14342" width="12.28515625" customWidth="1"/>
    <col min="14343" max="14343" width="9" customWidth="1"/>
    <col min="14593" max="14593" width="8" customWidth="1"/>
    <col min="14594" max="14594" width="12.28515625" customWidth="1"/>
    <col min="14595" max="14597" width="8" customWidth="1"/>
    <col min="14598" max="14598" width="12.28515625" customWidth="1"/>
    <col min="14599" max="14599" width="9" customWidth="1"/>
    <col min="14849" max="14849" width="8" customWidth="1"/>
    <col min="14850" max="14850" width="12.28515625" customWidth="1"/>
    <col min="14851" max="14853" width="8" customWidth="1"/>
    <col min="14854" max="14854" width="12.28515625" customWidth="1"/>
    <col min="14855" max="14855" width="9" customWidth="1"/>
    <col min="15105" max="15105" width="8" customWidth="1"/>
    <col min="15106" max="15106" width="12.28515625" customWidth="1"/>
    <col min="15107" max="15109" width="8" customWidth="1"/>
    <col min="15110" max="15110" width="12.28515625" customWidth="1"/>
    <col min="15111" max="15111" width="9" customWidth="1"/>
    <col min="15361" max="15361" width="8" customWidth="1"/>
    <col min="15362" max="15362" width="12.28515625" customWidth="1"/>
    <col min="15363" max="15365" width="8" customWidth="1"/>
    <col min="15366" max="15366" width="12.28515625" customWidth="1"/>
    <col min="15367" max="15367" width="9" customWidth="1"/>
    <col min="15617" max="15617" width="8" customWidth="1"/>
    <col min="15618" max="15618" width="12.28515625" customWidth="1"/>
    <col min="15619" max="15621" width="8" customWidth="1"/>
    <col min="15622" max="15622" width="12.28515625" customWidth="1"/>
    <col min="15623" max="15623" width="9" customWidth="1"/>
    <col min="15873" max="15873" width="8" customWidth="1"/>
    <col min="15874" max="15874" width="12.28515625" customWidth="1"/>
    <col min="15875" max="15877" width="8" customWidth="1"/>
    <col min="15878" max="15878" width="12.28515625" customWidth="1"/>
    <col min="15879" max="15879" width="9" customWidth="1"/>
    <col min="16129" max="16129" width="8" customWidth="1"/>
    <col min="16130" max="16130" width="12.28515625" customWidth="1"/>
    <col min="16131" max="16133" width="8" customWidth="1"/>
    <col min="16134" max="16134" width="12.28515625" customWidth="1"/>
    <col min="16135" max="16135" width="9" customWidth="1"/>
  </cols>
  <sheetData>
    <row r="2" spans="3:8">
      <c r="D2">
        <v>0.14793000000000001</v>
      </c>
      <c r="E2" s="123">
        <f>C3*D2</f>
        <v>63.609900000000003</v>
      </c>
      <c r="F2" s="123">
        <f>E2*D2</f>
        <v>9.4098125070000016</v>
      </c>
    </row>
    <row r="3" spans="3:8">
      <c r="C3">
        <v>430</v>
      </c>
      <c r="D3">
        <v>0.14732000000000001</v>
      </c>
      <c r="E3" s="123">
        <f>C3*D3</f>
        <v>63.3476</v>
      </c>
      <c r="G3" s="123">
        <f>D3*E3</f>
        <v>9.3323684320000009</v>
      </c>
    </row>
    <row r="4" spans="3:8">
      <c r="D4">
        <v>5.9817000000000002E-2</v>
      </c>
      <c r="E4" s="123">
        <f>C5*D4</f>
        <v>8.8050623999999988</v>
      </c>
      <c r="F4" s="123">
        <f>E4*D4</f>
        <v>0.52669241758079999</v>
      </c>
    </row>
    <row r="5" spans="3:8">
      <c r="C5" s="123">
        <f>4.6*32</f>
        <v>147.19999999999999</v>
      </c>
      <c r="D5">
        <v>5.9851000000000001E-2</v>
      </c>
      <c r="E5" s="123">
        <f>C5*D5</f>
        <v>8.8100671999999989</v>
      </c>
      <c r="G5" s="123">
        <f>D5*E5</f>
        <v>0.52729133198719991</v>
      </c>
    </row>
    <row r="6" spans="3:8">
      <c r="F6" s="123">
        <f>SUM(F2:F4)</f>
        <v>9.9365049245808024</v>
      </c>
      <c r="G6" s="123">
        <f>SUM(G2:G5)</f>
        <v>9.8596597639872012</v>
      </c>
    </row>
    <row r="8" spans="3:8">
      <c r="F8" t="s">
        <v>172</v>
      </c>
      <c r="G8">
        <v>386785</v>
      </c>
    </row>
    <row r="9" spans="3:8">
      <c r="F9" t="s">
        <v>173</v>
      </c>
      <c r="G9">
        <v>36372553</v>
      </c>
    </row>
    <row r="13" spans="3:8">
      <c r="D13">
        <v>217.11</v>
      </c>
      <c r="E13">
        <v>6</v>
      </c>
      <c r="F13" s="123">
        <f>D13*E13</f>
        <v>1302.6600000000001</v>
      </c>
      <c r="H13" s="123">
        <f>(6*5)+2</f>
        <v>32</v>
      </c>
    </row>
    <row r="14" spans="3:8">
      <c r="F14" s="123">
        <f>F13/H13</f>
        <v>40.708125000000003</v>
      </c>
    </row>
    <row r="15" spans="3:8">
      <c r="F15" s="123">
        <f>F14*12</f>
        <v>488.49750000000006</v>
      </c>
      <c r="G15" s="123">
        <f>F14*2</f>
        <v>81.416250000000005</v>
      </c>
    </row>
    <row r="19" spans="1:9">
      <c r="A19" t="s">
        <v>174</v>
      </c>
    </row>
    <row r="21" spans="1:9">
      <c r="B21" t="s">
        <v>175</v>
      </c>
      <c r="C21" s="173"/>
      <c r="F21" t="s">
        <v>176</v>
      </c>
    </row>
    <row r="22" spans="1:9">
      <c r="B22" t="s">
        <v>177</v>
      </c>
      <c r="C22" s="173"/>
      <c r="F22" t="s">
        <v>178</v>
      </c>
    </row>
    <row r="23" spans="1:9">
      <c r="B23" t="s">
        <v>179</v>
      </c>
      <c r="C23" t="s">
        <v>412</v>
      </c>
      <c r="I23" s="128"/>
    </row>
    <row r="26" spans="1:9">
      <c r="B26" s="128" t="s">
        <v>19</v>
      </c>
    </row>
    <row r="27" spans="1:9">
      <c r="B27" t="s">
        <v>180</v>
      </c>
    </row>
    <row r="28" spans="1:9">
      <c r="B28" s="131"/>
      <c r="C28" s="128"/>
      <c r="D28" s="128"/>
      <c r="E28" s="131"/>
      <c r="F28" s="131"/>
    </row>
    <row r="33" spans="1:9" ht="150">
      <c r="B33" s="174" t="s">
        <v>181</v>
      </c>
      <c r="I33" s="174" t="s">
        <v>188</v>
      </c>
    </row>
    <row r="34" spans="1:9">
      <c r="B34" s="175" t="s">
        <v>182</v>
      </c>
      <c r="I34" t="s">
        <v>189</v>
      </c>
    </row>
    <row r="35" spans="1:9">
      <c r="B35" t="s">
        <v>183</v>
      </c>
      <c r="I35" t="s">
        <v>190</v>
      </c>
    </row>
    <row r="36" spans="1:9">
      <c r="B36" t="s">
        <v>184</v>
      </c>
    </row>
    <row r="38" spans="1:9">
      <c r="B38" t="s">
        <v>185</v>
      </c>
    </row>
    <row r="41" spans="1:9">
      <c r="A41" t="s">
        <v>186</v>
      </c>
      <c r="B41" t="s">
        <v>187</v>
      </c>
    </row>
    <row r="45" spans="1:9">
      <c r="A45" t="s">
        <v>352</v>
      </c>
      <c r="B45" t="s">
        <v>74</v>
      </c>
    </row>
    <row r="47" spans="1:9">
      <c r="A47" t="s">
        <v>510</v>
      </c>
      <c r="B47" t="s">
        <v>414</v>
      </c>
    </row>
    <row r="48" spans="1:9">
      <c r="A48" t="s">
        <v>413</v>
      </c>
      <c r="B48" t="s">
        <v>414</v>
      </c>
    </row>
    <row r="49" spans="1:2">
      <c r="A49" t="s">
        <v>59</v>
      </c>
      <c r="B49" t="s">
        <v>414</v>
      </c>
    </row>
    <row r="50" spans="1:2">
      <c r="A50" t="s">
        <v>416</v>
      </c>
      <c r="B50" t="s">
        <v>415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520"/>
  <sheetViews>
    <sheetView topLeftCell="B394" workbookViewId="0">
      <selection activeCell="H407" sqref="H407"/>
    </sheetView>
  </sheetViews>
  <sheetFormatPr defaultColWidth="11.42578125" defaultRowHeight="15"/>
  <cols>
    <col min="1" max="1" width="11.42578125" style="175"/>
    <col min="2" max="2" width="10" style="175" customWidth="1"/>
    <col min="3" max="3" width="33.28515625" style="175" customWidth="1"/>
    <col min="4" max="6" width="10" style="175" customWidth="1"/>
    <col min="7" max="7" width="33.28515625" style="175" customWidth="1"/>
    <col min="8" max="9" width="11.42578125" style="175"/>
    <col min="10" max="10" width="31.28515625" style="175" customWidth="1"/>
    <col min="11" max="16384" width="11.42578125" style="175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71" t="str">
        <f>'2018'!A20</f>
        <v>Cártama Gastos</v>
      </c>
      <c r="C2" s="272"/>
      <c r="D2" s="272"/>
      <c r="E2" s="272"/>
      <c r="F2" s="272"/>
      <c r="G2" s="273"/>
      <c r="H2" s="1"/>
      <c r="I2" s="284" t="s">
        <v>4</v>
      </c>
      <c r="J2" s="272"/>
      <c r="K2" s="272"/>
      <c r="L2" s="273"/>
      <c r="M2" s="1"/>
      <c r="N2" s="1"/>
      <c r="R2" s="3"/>
    </row>
    <row r="3" spans="1:22" ht="16.5" thickBot="1">
      <c r="A3" s="1"/>
      <c r="B3" s="274"/>
      <c r="C3" s="275"/>
      <c r="D3" s="275"/>
      <c r="E3" s="275"/>
      <c r="F3" s="275"/>
      <c r="G3" s="276"/>
      <c r="H3" s="1"/>
      <c r="I3" s="274"/>
      <c r="J3" s="275"/>
      <c r="K3" s="275"/>
      <c r="L3" s="276"/>
      <c r="M3" s="1"/>
      <c r="N3" s="1"/>
      <c r="R3" s="3"/>
    </row>
    <row r="4" spans="1:22" ht="15.75">
      <c r="A4" s="1"/>
      <c r="B4" s="279" t="s">
        <v>10</v>
      </c>
      <c r="C4" s="278"/>
      <c r="D4" s="277" t="s">
        <v>11</v>
      </c>
      <c r="E4" s="277"/>
      <c r="F4" s="277"/>
      <c r="G4" s="278"/>
      <c r="H4" s="1"/>
      <c r="I4" s="32" t="s">
        <v>70</v>
      </c>
      <c r="J4" s="33" t="s">
        <v>71</v>
      </c>
      <c r="K4" s="285" t="s">
        <v>72</v>
      </c>
      <c r="L4" s="286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68</v>
      </c>
      <c r="E5" s="66" t="s">
        <v>69</v>
      </c>
      <c r="F5" s="66" t="s">
        <v>32</v>
      </c>
      <c r="G5" s="73" t="s">
        <v>33</v>
      </c>
      <c r="H5" s="1"/>
      <c r="I5" s="74" t="s">
        <v>73</v>
      </c>
      <c r="J5" s="3" t="s">
        <v>74</v>
      </c>
      <c r="K5" s="287">
        <v>1462.46</v>
      </c>
      <c r="L5" s="288"/>
      <c r="M5" s="117"/>
      <c r="N5" s="1"/>
      <c r="R5" s="3"/>
    </row>
    <row r="6" spans="1:22" ht="15.75">
      <c r="A6" s="1"/>
      <c r="B6" s="67">
        <v>401</v>
      </c>
      <c r="C6" s="37" t="s">
        <v>34</v>
      </c>
      <c r="D6" s="70"/>
      <c r="E6" s="71">
        <v>400.38</v>
      </c>
      <c r="F6" s="71"/>
      <c r="G6" s="34" t="s">
        <v>35</v>
      </c>
      <c r="H6" s="1"/>
      <c r="I6" s="75" t="s">
        <v>73</v>
      </c>
      <c r="J6" s="36" t="s">
        <v>75</v>
      </c>
      <c r="K6" s="280">
        <v>423.18</v>
      </c>
      <c r="L6" s="281"/>
      <c r="M6" s="1" t="s">
        <v>112</v>
      </c>
      <c r="N6" s="1"/>
      <c r="R6" s="3"/>
    </row>
    <row r="7" spans="1:22" ht="15.75">
      <c r="A7" s="1"/>
      <c r="B7" s="68">
        <v>56</v>
      </c>
      <c r="C7" s="34" t="s">
        <v>100</v>
      </c>
      <c r="D7" s="70"/>
      <c r="E7" s="71"/>
      <c r="F7" s="71"/>
      <c r="G7" s="34" t="s">
        <v>106</v>
      </c>
      <c r="H7" s="1"/>
      <c r="I7" s="75" t="s">
        <v>76</v>
      </c>
      <c r="J7" s="36" t="s">
        <v>77</v>
      </c>
      <c r="K7" s="280">
        <v>7102.9</v>
      </c>
      <c r="L7" s="281"/>
      <c r="M7" s="1"/>
      <c r="N7" s="1"/>
      <c r="R7" s="3"/>
    </row>
    <row r="8" spans="1:22" ht="15.75">
      <c r="A8" s="1"/>
      <c r="B8" s="68">
        <v>96</v>
      </c>
      <c r="C8" s="34" t="s">
        <v>38</v>
      </c>
      <c r="D8" s="70"/>
      <c r="F8" s="71"/>
      <c r="G8" s="34" t="s">
        <v>38</v>
      </c>
      <c r="H8" s="1"/>
      <c r="I8" s="75" t="s">
        <v>76</v>
      </c>
      <c r="J8" s="36" t="s">
        <v>78</v>
      </c>
      <c r="K8" s="280">
        <v>1250</v>
      </c>
      <c r="L8" s="281"/>
      <c r="M8" s="1"/>
      <c r="N8" s="1"/>
      <c r="R8" s="3"/>
    </row>
    <row r="9" spans="1:22" ht="15.75">
      <c r="A9" s="1"/>
      <c r="B9" s="68">
        <v>0</v>
      </c>
      <c r="C9" s="34" t="s">
        <v>40</v>
      </c>
      <c r="D9" s="70"/>
      <c r="E9" s="71"/>
      <c r="F9" s="71"/>
      <c r="G9" s="34" t="s">
        <v>40</v>
      </c>
      <c r="H9" s="1"/>
      <c r="I9" s="75" t="s">
        <v>76</v>
      </c>
      <c r="J9" s="36" t="s">
        <v>79</v>
      </c>
      <c r="K9" s="280">
        <v>100.34</v>
      </c>
      <c r="L9" s="281"/>
      <c r="M9" s="1"/>
      <c r="N9" s="1"/>
      <c r="R9" s="3"/>
    </row>
    <row r="10" spans="1:22" ht="15.75">
      <c r="A10" s="1"/>
      <c r="B10" s="68">
        <v>15</v>
      </c>
      <c r="C10" s="34" t="s">
        <v>39</v>
      </c>
      <c r="D10" s="70"/>
      <c r="E10" s="71">
        <v>12</v>
      </c>
      <c r="F10" s="71"/>
      <c r="G10" s="34" t="s">
        <v>39</v>
      </c>
      <c r="H10" s="1"/>
      <c r="I10" s="75" t="s">
        <v>76</v>
      </c>
      <c r="J10" s="36" t="s">
        <v>80</v>
      </c>
      <c r="K10" s="280">
        <f>5007.8</f>
        <v>5007.8</v>
      </c>
      <c r="L10" s="281"/>
      <c r="M10" s="117"/>
      <c r="N10" s="1"/>
      <c r="R10" s="3"/>
    </row>
    <row r="11" spans="1:22" ht="15.75">
      <c r="A11" s="1"/>
      <c r="B11" s="68">
        <v>31</v>
      </c>
      <c r="C11" s="34" t="s">
        <v>37</v>
      </c>
      <c r="D11" s="70"/>
      <c r="E11" s="71">
        <v>30.24</v>
      </c>
      <c r="F11" s="71"/>
      <c r="G11" s="34" t="s">
        <v>37</v>
      </c>
      <c r="H11" s="1"/>
      <c r="I11" s="75" t="s">
        <v>76</v>
      </c>
      <c r="J11" s="36" t="s">
        <v>81</v>
      </c>
      <c r="K11" s="280">
        <v>1566.09</v>
      </c>
      <c r="L11" s="281"/>
      <c r="M11" s="1" t="s">
        <v>82</v>
      </c>
      <c r="N11" s="1"/>
      <c r="R11" s="3"/>
    </row>
    <row r="12" spans="1:22" ht="15.75">
      <c r="A12" s="1"/>
      <c r="B12" s="68">
        <v>200</v>
      </c>
      <c r="C12" s="34" t="s">
        <v>195</v>
      </c>
      <c r="D12" s="70"/>
      <c r="E12" s="71">
        <v>43.62</v>
      </c>
      <c r="F12" s="71"/>
      <c r="G12" s="34" t="s">
        <v>225</v>
      </c>
      <c r="H12" s="1"/>
      <c r="I12" s="75" t="s">
        <v>76</v>
      </c>
      <c r="J12" s="36" t="s">
        <v>115</v>
      </c>
      <c r="K12" s="280">
        <v>1800</v>
      </c>
      <c r="L12" s="281"/>
      <c r="N12" s="1"/>
      <c r="R12" s="3"/>
    </row>
    <row r="13" spans="1:22" ht="15.75">
      <c r="A13" s="1"/>
      <c r="B13" s="68">
        <v>55</v>
      </c>
      <c r="C13" s="34" t="s">
        <v>196</v>
      </c>
      <c r="D13" s="70">
        <v>50</v>
      </c>
      <c r="E13" s="71"/>
      <c r="F13" s="71"/>
      <c r="G13" s="34" t="s">
        <v>218</v>
      </c>
      <c r="H13" s="1"/>
      <c r="I13" s="75" t="s">
        <v>93</v>
      </c>
      <c r="J13" s="36" t="s">
        <v>94</v>
      </c>
      <c r="K13" s="280">
        <f>75+20+95</f>
        <v>190</v>
      </c>
      <c r="L13" s="281"/>
      <c r="M13" s="1"/>
      <c r="N13" s="1"/>
      <c r="R13" s="3"/>
    </row>
    <row r="14" spans="1:22" ht="15.75">
      <c r="A14" s="1"/>
      <c r="B14" s="68">
        <v>25</v>
      </c>
      <c r="C14" s="34" t="s">
        <v>207</v>
      </c>
      <c r="D14" s="70"/>
      <c r="E14" s="71"/>
      <c r="F14" s="71"/>
      <c r="G14" s="34"/>
      <c r="H14" s="1"/>
      <c r="I14" s="75"/>
      <c r="J14" s="36"/>
      <c r="K14" s="280"/>
      <c r="L14" s="281"/>
      <c r="M14" s="1"/>
      <c r="N14" s="1"/>
      <c r="R14" s="3"/>
    </row>
    <row r="15" spans="1:22" ht="15.75">
      <c r="A15" s="1"/>
      <c r="B15" s="68"/>
      <c r="C15" s="34"/>
      <c r="D15" s="70"/>
      <c r="E15" s="71"/>
      <c r="F15" s="71"/>
      <c r="G15" s="34"/>
      <c r="H15" s="1"/>
      <c r="I15" s="75"/>
      <c r="J15" s="36"/>
      <c r="K15" s="280"/>
      <c r="L15" s="281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75"/>
      <c r="J16" s="36"/>
      <c r="K16" s="280"/>
      <c r="L16" s="281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75"/>
      <c r="J17" s="36"/>
      <c r="K17" s="280"/>
      <c r="L17" s="281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76"/>
      <c r="J18" s="38"/>
      <c r="K18" s="282"/>
      <c r="L18" s="283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83</v>
      </c>
      <c r="J19" s="38"/>
      <c r="K19" s="282">
        <f>SUM(K5:K18)-K11</f>
        <v>17336.68</v>
      </c>
      <c r="L19" s="283"/>
      <c r="M19" s="1"/>
      <c r="N19" s="1"/>
      <c r="R19" s="3"/>
    </row>
    <row r="20" spans="1:18" ht="16.5" thickBot="1">
      <c r="A20" s="1"/>
      <c r="B20" s="69">
        <f>SUM(B6:B19)</f>
        <v>879</v>
      </c>
      <c r="C20" s="35" t="s">
        <v>66</v>
      </c>
      <c r="D20" s="69">
        <f>SUM(D6:D19)</f>
        <v>50</v>
      </c>
      <c r="E20" s="69">
        <f>SUM(E6:E19)</f>
        <v>486.24</v>
      </c>
      <c r="F20" s="69">
        <f>SUM(F6:F19)</f>
        <v>0</v>
      </c>
      <c r="G20" s="35" t="s">
        <v>66</v>
      </c>
      <c r="H20" s="1"/>
      <c r="I20" s="175" t="s">
        <v>116</v>
      </c>
      <c r="L20" s="178">
        <f>K19-K10</f>
        <v>12328.880000000001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71" t="str">
        <f>'2018'!A21</f>
        <v>Waterloo</v>
      </c>
      <c r="C22" s="272"/>
      <c r="D22" s="272"/>
      <c r="E22" s="272"/>
      <c r="F22" s="272"/>
      <c r="G22" s="273"/>
      <c r="H22" s="1"/>
      <c r="I22" s="284" t="s">
        <v>6</v>
      </c>
      <c r="J22" s="272"/>
      <c r="K22" s="272"/>
      <c r="L22" s="273"/>
      <c r="M22" s="1"/>
      <c r="R22" s="3"/>
    </row>
    <row r="23" spans="1:18" ht="16.149999999999999" customHeight="1" thickBot="1">
      <c r="A23" s="1"/>
      <c r="B23" s="274"/>
      <c r="C23" s="275"/>
      <c r="D23" s="275"/>
      <c r="E23" s="275"/>
      <c r="F23" s="275"/>
      <c r="G23" s="276"/>
      <c r="H23" s="1"/>
      <c r="I23" s="274"/>
      <c r="J23" s="275"/>
      <c r="K23" s="275"/>
      <c r="L23" s="276"/>
      <c r="M23" s="1"/>
      <c r="R23" s="3"/>
    </row>
    <row r="24" spans="1:18" ht="15.75">
      <c r="A24" s="1"/>
      <c r="B24" s="279" t="s">
        <v>10</v>
      </c>
      <c r="C24" s="278"/>
      <c r="D24" s="277" t="s">
        <v>11</v>
      </c>
      <c r="E24" s="277"/>
      <c r="F24" s="277"/>
      <c r="G24" s="278"/>
      <c r="H24" s="1"/>
      <c r="I24" s="124" t="s">
        <v>33</v>
      </c>
      <c r="J24" s="33" t="s">
        <v>133</v>
      </c>
      <c r="K24" s="285" t="s">
        <v>134</v>
      </c>
      <c r="L24" s="286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68</v>
      </c>
      <c r="E25" s="66" t="s">
        <v>69</v>
      </c>
      <c r="F25" s="66" t="s">
        <v>32</v>
      </c>
      <c r="G25" s="73" t="s">
        <v>33</v>
      </c>
      <c r="H25" s="1"/>
      <c r="I25" s="189">
        <v>4</v>
      </c>
      <c r="J25" s="3" t="s">
        <v>210</v>
      </c>
      <c r="K25" s="287">
        <v>1.01</v>
      </c>
      <c r="L25" s="288"/>
      <c r="M25" s="1"/>
      <c r="R25" s="3"/>
    </row>
    <row r="26" spans="1:18" ht="15.75">
      <c r="A26" s="1"/>
      <c r="B26" s="67">
        <v>900</v>
      </c>
      <c r="C26" s="79" t="s">
        <v>42</v>
      </c>
      <c r="D26" s="70">
        <v>900</v>
      </c>
      <c r="E26" s="71"/>
      <c r="F26" s="71"/>
      <c r="G26" s="34" t="s">
        <v>42</v>
      </c>
      <c r="H26" s="1"/>
      <c r="I26" s="190">
        <v>4</v>
      </c>
      <c r="J26" s="36" t="s">
        <v>211</v>
      </c>
      <c r="K26" s="280">
        <v>0.04</v>
      </c>
      <c r="L26" s="281"/>
      <c r="M26" s="1"/>
      <c r="R26" s="3"/>
    </row>
    <row r="27" spans="1:18" ht="15.75">
      <c r="A27" s="1"/>
      <c r="B27" s="68">
        <v>200</v>
      </c>
      <c r="C27" s="79" t="s">
        <v>44</v>
      </c>
      <c r="D27" s="70">
        <f>182.14+151.17</f>
        <v>333.30999999999995</v>
      </c>
      <c r="E27" s="71"/>
      <c r="F27" s="71"/>
      <c r="G27" s="34" t="s">
        <v>44</v>
      </c>
      <c r="H27" s="1"/>
      <c r="I27" s="190">
        <v>4</v>
      </c>
      <c r="J27" s="36" t="s">
        <v>213</v>
      </c>
      <c r="K27" s="280">
        <v>2831.41</v>
      </c>
      <c r="L27" s="281"/>
      <c r="M27" s="1"/>
      <c r="R27" s="3"/>
    </row>
    <row r="28" spans="1:18" ht="15.75">
      <c r="A28" s="1"/>
      <c r="B28" s="68">
        <v>40</v>
      </c>
      <c r="C28" s="79" t="s">
        <v>45</v>
      </c>
      <c r="D28" s="70"/>
      <c r="E28" s="71"/>
      <c r="F28" s="71"/>
      <c r="G28" s="34" t="s">
        <v>45</v>
      </c>
      <c r="H28" s="1"/>
      <c r="I28" s="190">
        <v>2</v>
      </c>
      <c r="J28" s="36" t="s">
        <v>216</v>
      </c>
      <c r="K28" s="280">
        <v>72.66</v>
      </c>
      <c r="L28" s="281"/>
      <c r="M28" s="1"/>
      <c r="R28" s="3"/>
    </row>
    <row r="29" spans="1:18" ht="15.75">
      <c r="A29" s="1"/>
      <c r="B29" s="68">
        <v>18</v>
      </c>
      <c r="C29" s="79" t="s">
        <v>41</v>
      </c>
      <c r="D29" s="70">
        <v>17.46</v>
      </c>
      <c r="E29" s="71"/>
      <c r="F29" s="71"/>
      <c r="G29" s="34" t="s">
        <v>41</v>
      </c>
      <c r="H29" s="1"/>
      <c r="I29" s="190">
        <v>6</v>
      </c>
      <c r="J29" s="36" t="s">
        <v>224</v>
      </c>
      <c r="K29" s="280">
        <v>93.93</v>
      </c>
      <c r="L29" s="281"/>
      <c r="M29" s="1"/>
      <c r="R29" s="3"/>
    </row>
    <row r="30" spans="1:18" ht="15.75">
      <c r="A30" s="1"/>
      <c r="B30" s="68">
        <v>229.4</v>
      </c>
      <c r="C30" s="79" t="s">
        <v>257</v>
      </c>
      <c r="D30" s="70"/>
      <c r="E30" s="71"/>
      <c r="F30" s="71"/>
      <c r="G30" s="34"/>
      <c r="H30" s="1"/>
      <c r="I30" s="190">
        <v>5</v>
      </c>
      <c r="J30" s="36" t="s">
        <v>242</v>
      </c>
      <c r="K30" s="280">
        <v>700</v>
      </c>
      <c r="L30" s="281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90">
        <v>5</v>
      </c>
      <c r="J31" s="36" t="s">
        <v>243</v>
      </c>
      <c r="K31" s="280">
        <v>50</v>
      </c>
      <c r="L31" s="281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90">
        <v>9</v>
      </c>
      <c r="J32" s="36" t="s">
        <v>44</v>
      </c>
      <c r="K32" s="280">
        <v>229.4</v>
      </c>
      <c r="L32" s="281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90">
        <v>4</v>
      </c>
      <c r="J33" s="36" t="s">
        <v>262</v>
      </c>
      <c r="K33" s="280">
        <v>0.05</v>
      </c>
      <c r="L33" s="281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90">
        <v>9</v>
      </c>
      <c r="J34" s="36" t="s">
        <v>263</v>
      </c>
      <c r="K34" s="280">
        <v>1566.27</v>
      </c>
      <c r="L34" s="281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90">
        <v>5</v>
      </c>
      <c r="J35" s="36" t="s">
        <v>276</v>
      </c>
      <c r="K35" s="280">
        <v>449</v>
      </c>
      <c r="L35" s="281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90">
        <v>2</v>
      </c>
      <c r="J36" s="36" t="s">
        <v>277</v>
      </c>
      <c r="K36" s="280">
        <v>314.12</v>
      </c>
      <c r="L36" s="281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90"/>
      <c r="J37" s="36"/>
      <c r="K37" s="280"/>
      <c r="L37" s="281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191"/>
      <c r="J38" s="38"/>
      <c r="K38" s="282"/>
      <c r="L38" s="283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1387.4</v>
      </c>
      <c r="C40" s="35" t="s">
        <v>66</v>
      </c>
      <c r="D40" s="69">
        <f>SUM(D26:D39)</f>
        <v>1250.77</v>
      </c>
      <c r="E40" s="69">
        <f>SUM(E26:E39)</f>
        <v>0</v>
      </c>
      <c r="F40" s="69">
        <f>SUM(F26:F39)</f>
        <v>0</v>
      </c>
      <c r="G40" s="35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71" t="str">
        <f>'2018'!A22</f>
        <v>Comida+Limpieza</v>
      </c>
      <c r="C42" s="272"/>
      <c r="D42" s="272"/>
      <c r="E42" s="272"/>
      <c r="F42" s="272"/>
      <c r="G42" s="273"/>
      <c r="H42" s="1"/>
      <c r="M42" s="1"/>
      <c r="R42" s="3"/>
    </row>
    <row r="43" spans="1:18" ht="16.149999999999999" customHeight="1" thickBot="1">
      <c r="A43" s="1"/>
      <c r="B43" s="274"/>
      <c r="C43" s="275"/>
      <c r="D43" s="275"/>
      <c r="E43" s="275"/>
      <c r="F43" s="275"/>
      <c r="G43" s="276"/>
      <c r="H43" s="1"/>
      <c r="M43" s="1"/>
      <c r="R43" s="3"/>
    </row>
    <row r="44" spans="1:18" ht="15.75">
      <c r="A44" s="1"/>
      <c r="B44" s="279" t="s">
        <v>10</v>
      </c>
      <c r="C44" s="278"/>
      <c r="D44" s="277" t="s">
        <v>11</v>
      </c>
      <c r="E44" s="277"/>
      <c r="F44" s="277"/>
      <c r="G44" s="278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68</v>
      </c>
      <c r="E45" s="66" t="s">
        <v>69</v>
      </c>
      <c r="F45" s="66" t="s">
        <v>32</v>
      </c>
      <c r="G45" s="73" t="s">
        <v>33</v>
      </c>
      <c r="H45" s="1"/>
      <c r="M45" s="1"/>
      <c r="R45" s="3"/>
    </row>
    <row r="46" spans="1:18" ht="15.75">
      <c r="A46" s="1"/>
      <c r="B46" s="67">
        <v>360</v>
      </c>
      <c r="C46" s="37"/>
      <c r="D46" s="70">
        <f>60.95+91.57+D61</f>
        <v>186.67999999999998</v>
      </c>
      <c r="E46" s="71"/>
      <c r="F46" s="71"/>
      <c r="G46" s="90" t="s">
        <v>47</v>
      </c>
      <c r="H46" s="1"/>
      <c r="M46" s="1"/>
      <c r="R46" s="3"/>
    </row>
    <row r="47" spans="1:18" ht="15.75">
      <c r="A47" s="1"/>
      <c r="B47" s="68">
        <v>20</v>
      </c>
      <c r="C47" s="34" t="s">
        <v>110</v>
      </c>
      <c r="D47" s="70">
        <f>24.87+35.21-D146</f>
        <v>31.08</v>
      </c>
      <c r="E47" s="71"/>
      <c r="F47" s="71"/>
      <c r="G47" s="34" t="s">
        <v>48</v>
      </c>
      <c r="H47" s="1"/>
      <c r="M47" s="1"/>
      <c r="R47" s="3"/>
    </row>
    <row r="48" spans="1:18" ht="15.75">
      <c r="A48" s="1"/>
      <c r="B48" s="68">
        <v>20</v>
      </c>
      <c r="C48" s="34" t="s">
        <v>260</v>
      </c>
      <c r="D48" s="70">
        <f>39.1+19.94</f>
        <v>59.040000000000006</v>
      </c>
      <c r="E48" s="71"/>
      <c r="F48" s="71"/>
      <c r="G48" s="34" t="s">
        <v>84</v>
      </c>
      <c r="H48" s="1"/>
      <c r="M48" s="1"/>
      <c r="R48" s="3"/>
    </row>
    <row r="49" spans="1:18" ht="15.75">
      <c r="A49" s="1"/>
      <c r="B49" s="68"/>
      <c r="C49" s="34"/>
      <c r="D49" s="70"/>
      <c r="E49" s="71"/>
      <c r="F49" s="71"/>
      <c r="G49" s="34" t="s">
        <v>49</v>
      </c>
      <c r="H49" s="1"/>
      <c r="M49" s="1"/>
      <c r="R49" s="3"/>
    </row>
    <row r="50" spans="1:18" ht="15.75">
      <c r="A50" s="1"/>
      <c r="B50" s="68"/>
      <c r="C50" s="34"/>
      <c r="D50" s="70"/>
      <c r="E50" s="71"/>
      <c r="F50" s="71"/>
      <c r="G50" s="34" t="s">
        <v>85</v>
      </c>
      <c r="H50" s="1"/>
      <c r="M50" s="1"/>
      <c r="R50" s="3"/>
    </row>
    <row r="51" spans="1:18" ht="15.75">
      <c r="A51" s="1"/>
      <c r="B51" s="68"/>
      <c r="C51" s="34"/>
      <c r="D51" s="70">
        <f>26.63</f>
        <v>26.63</v>
      </c>
      <c r="E51" s="71"/>
      <c r="F51" s="71"/>
      <c r="G51" s="34" t="s">
        <v>86</v>
      </c>
      <c r="H51" s="1"/>
      <c r="M51" s="1"/>
      <c r="R51" s="3"/>
    </row>
    <row r="52" spans="1:18" ht="15.75">
      <c r="A52" s="1"/>
      <c r="B52" s="68"/>
      <c r="C52" s="34"/>
      <c r="D52" s="70">
        <f>34.27</f>
        <v>34.270000000000003</v>
      </c>
      <c r="E52" s="71"/>
      <c r="F52" s="71"/>
      <c r="G52" s="34" t="s">
        <v>98</v>
      </c>
      <c r="H52" s="1"/>
      <c r="M52" s="1"/>
      <c r="R52" s="3"/>
    </row>
    <row r="53" spans="1:18" ht="15.75">
      <c r="A53" s="1"/>
      <c r="B53" s="68"/>
      <c r="C53" s="34"/>
      <c r="D53" s="70">
        <f>28.6</f>
        <v>28.6</v>
      </c>
      <c r="E53" s="71"/>
      <c r="F53" s="71"/>
      <c r="G53" s="34" t="s">
        <v>111</v>
      </c>
      <c r="H53" s="1"/>
      <c r="M53" s="1"/>
      <c r="R53" s="3"/>
    </row>
    <row r="54" spans="1:18" ht="15.75">
      <c r="A54" s="1"/>
      <c r="B54" s="68"/>
      <c r="C54" s="34"/>
      <c r="D54" s="70"/>
      <c r="E54" s="71"/>
      <c r="F54" s="71"/>
      <c r="G54" s="34"/>
      <c r="H54" s="1"/>
      <c r="M54" s="1"/>
      <c r="R54" s="3"/>
    </row>
    <row r="55" spans="1:18" ht="15.75">
      <c r="A55" s="1"/>
      <c r="B55" s="68"/>
      <c r="C55" s="34"/>
      <c r="D55" s="70">
        <f>89.39-D295</f>
        <v>80</v>
      </c>
      <c r="E55" s="71"/>
      <c r="F55" s="71"/>
      <c r="G55" s="34" t="s">
        <v>251</v>
      </c>
      <c r="H55" s="1"/>
      <c r="M55" s="1"/>
      <c r="R55" s="3"/>
    </row>
    <row r="56" spans="1:18" ht="15.75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 t="s">
        <v>46</v>
      </c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400</v>
      </c>
      <c r="C60" s="35" t="s">
        <v>66</v>
      </c>
      <c r="D60" s="69">
        <f>SUM(D46:D59)</f>
        <v>446.3</v>
      </c>
      <c r="E60" s="69">
        <f>SUM(E46:E59)</f>
        <v>0</v>
      </c>
      <c r="F60" s="69">
        <f>SUM(F46:F59)</f>
        <v>0</v>
      </c>
      <c r="G60" s="35" t="s">
        <v>66</v>
      </c>
      <c r="H60" s="1"/>
      <c r="M60" s="1"/>
      <c r="R60" s="3"/>
    </row>
    <row r="61" spans="1:18" ht="16.5" thickBot="1">
      <c r="A61" s="1"/>
      <c r="B61" s="1"/>
      <c r="C61" s="1"/>
      <c r="D61" s="117">
        <f>15.8+6.96+6.29+1.75+(1.12*3)</f>
        <v>34.160000000000004</v>
      </c>
      <c r="E61" s="1"/>
      <c r="F61" s="1"/>
      <c r="G61" s="1"/>
      <c r="H61" s="1"/>
      <c r="M61" s="1"/>
      <c r="R61" s="3"/>
    </row>
    <row r="62" spans="1:18" ht="15.6" customHeight="1">
      <c r="A62" s="1"/>
      <c r="B62" s="271" t="str">
        <f>'2018'!A23</f>
        <v>Ocio</v>
      </c>
      <c r="C62" s="272"/>
      <c r="D62" s="272"/>
      <c r="E62" s="272"/>
      <c r="F62" s="272"/>
      <c r="G62" s="273"/>
      <c r="H62" s="1"/>
      <c r="M62" s="1"/>
      <c r="R62" s="3"/>
    </row>
    <row r="63" spans="1:18" ht="16.149999999999999" customHeight="1" thickBot="1">
      <c r="A63" s="1"/>
      <c r="B63" s="274"/>
      <c r="C63" s="275"/>
      <c r="D63" s="275"/>
      <c r="E63" s="275"/>
      <c r="F63" s="275"/>
      <c r="G63" s="276"/>
      <c r="H63" s="1"/>
      <c r="M63" s="1"/>
      <c r="R63" s="3"/>
    </row>
    <row r="64" spans="1:18" ht="15.75">
      <c r="A64" s="1"/>
      <c r="B64" s="279" t="s">
        <v>10</v>
      </c>
      <c r="C64" s="278"/>
      <c r="D64" s="277" t="s">
        <v>11</v>
      </c>
      <c r="E64" s="277"/>
      <c r="F64" s="277"/>
      <c r="G64" s="278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68</v>
      </c>
      <c r="E65" s="66" t="s">
        <v>69</v>
      </c>
      <c r="F65" s="66" t="s">
        <v>32</v>
      </c>
      <c r="G65" s="73" t="s">
        <v>33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>
        <f>32.4+23.81+29.48</f>
        <v>85.69</v>
      </c>
      <c r="E66" s="71"/>
      <c r="F66" s="71"/>
      <c r="G66" s="37" t="s">
        <v>208</v>
      </c>
      <c r="H66" s="1"/>
      <c r="M66" s="1"/>
      <c r="R66" s="3"/>
    </row>
    <row r="67" spans="1:18" ht="15.75">
      <c r="A67" s="1"/>
      <c r="B67" s="68"/>
      <c r="C67" s="34"/>
      <c r="D67" s="70">
        <v>33</v>
      </c>
      <c r="E67" s="71"/>
      <c r="F67" s="71"/>
      <c r="G67" s="91" t="s">
        <v>223</v>
      </c>
      <c r="H67" s="1"/>
      <c r="M67" s="1"/>
      <c r="R67" s="3"/>
    </row>
    <row r="68" spans="1:18" ht="15.75">
      <c r="A68" s="1"/>
      <c r="B68" s="68"/>
      <c r="C68" s="34"/>
      <c r="D68" s="70">
        <f>15+17.5</f>
        <v>32.5</v>
      </c>
      <c r="E68" s="71"/>
      <c r="F68" s="71"/>
      <c r="G68" s="34" t="s">
        <v>232</v>
      </c>
      <c r="H68" s="1"/>
      <c r="M68" s="1"/>
      <c r="R68" s="3"/>
    </row>
    <row r="69" spans="1:18" ht="15.75">
      <c r="A69" s="1"/>
      <c r="B69" s="68"/>
      <c r="C69" s="34"/>
      <c r="D69" s="70"/>
      <c r="E69" s="71">
        <v>10</v>
      </c>
      <c r="F69" s="71"/>
      <c r="G69" s="34" t="s">
        <v>271</v>
      </c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/>
      <c r="G70" s="34"/>
      <c r="H70" s="1"/>
      <c r="M70" s="1"/>
      <c r="R70" s="3"/>
    </row>
    <row r="71" spans="1:18" ht="15.75">
      <c r="A71" s="1"/>
      <c r="B71" s="68"/>
      <c r="C71" s="34"/>
      <c r="D71" s="70"/>
      <c r="E71" s="71"/>
      <c r="F71" s="71"/>
      <c r="G71" s="34"/>
      <c r="H71" s="1"/>
      <c r="M71" s="1"/>
      <c r="R71" s="3"/>
    </row>
    <row r="72" spans="1:18" ht="15.75">
      <c r="A72" s="1"/>
      <c r="B72" s="68"/>
      <c r="C72" s="34"/>
      <c r="D72" s="70"/>
      <c r="E72" s="71"/>
      <c r="F72" s="71"/>
      <c r="G72" s="34"/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150</v>
      </c>
      <c r="C80" s="35" t="s">
        <v>66</v>
      </c>
      <c r="D80" s="69">
        <f>SUM(D66:D79)</f>
        <v>151.19</v>
      </c>
      <c r="E80" s="69">
        <f>SUM(E66:E79)</f>
        <v>10</v>
      </c>
      <c r="F80" s="69">
        <f>SUM(F66:F79)</f>
        <v>0</v>
      </c>
      <c r="G80" s="35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71" t="str">
        <f>'2018'!A24</f>
        <v>Transportes</v>
      </c>
      <c r="C82" s="272"/>
      <c r="D82" s="272"/>
      <c r="E82" s="272"/>
      <c r="F82" s="272"/>
      <c r="G82" s="273"/>
      <c r="H82" s="1"/>
      <c r="M82" s="1"/>
      <c r="R82" s="3"/>
    </row>
    <row r="83" spans="1:18" ht="16.149999999999999" customHeight="1" thickBot="1">
      <c r="A83" s="1"/>
      <c r="B83" s="274"/>
      <c r="C83" s="275"/>
      <c r="D83" s="275"/>
      <c r="E83" s="275"/>
      <c r="F83" s="275"/>
      <c r="G83" s="276"/>
      <c r="H83" s="1"/>
      <c r="M83" s="1"/>
      <c r="R83" s="3"/>
    </row>
    <row r="84" spans="1:18" ht="15.75">
      <c r="A84" s="1"/>
      <c r="B84" s="279" t="s">
        <v>10</v>
      </c>
      <c r="C84" s="278"/>
      <c r="D84" s="277" t="s">
        <v>11</v>
      </c>
      <c r="E84" s="277"/>
      <c r="F84" s="277"/>
      <c r="G84" s="278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68</v>
      </c>
      <c r="E85" s="66" t="s">
        <v>69</v>
      </c>
      <c r="F85" s="66" t="s">
        <v>32</v>
      </c>
      <c r="G85" s="73" t="s">
        <v>33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>
        <f>48.73+46.36+45.09</f>
        <v>140.18</v>
      </c>
      <c r="E86" s="71"/>
      <c r="F86" s="71"/>
      <c r="G86" s="34" t="s">
        <v>52</v>
      </c>
      <c r="H86" s="1"/>
      <c r="M86" s="1"/>
      <c r="R86" s="3"/>
    </row>
    <row r="87" spans="1:18" ht="15.75">
      <c r="A87" s="1"/>
      <c r="B87" s="68"/>
      <c r="C87" s="34"/>
      <c r="D87" s="70"/>
      <c r="E87" s="71"/>
      <c r="F87" s="71"/>
      <c r="G87" s="34" t="s">
        <v>53</v>
      </c>
      <c r="H87" s="1"/>
      <c r="M87" s="1"/>
      <c r="R87" s="3"/>
    </row>
    <row r="88" spans="1:18" ht="15.75">
      <c r="A88" s="1"/>
      <c r="B88" s="68"/>
      <c r="C88" s="34"/>
      <c r="D88" s="70"/>
      <c r="E88" s="71"/>
      <c r="F88" s="71"/>
      <c r="G88" s="34" t="s">
        <v>54</v>
      </c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 t="s">
        <v>90</v>
      </c>
      <c r="H89" s="1"/>
      <c r="M89" s="1"/>
      <c r="R89" s="3"/>
    </row>
    <row r="90" spans="1:18" ht="15.75">
      <c r="A90" s="1"/>
      <c r="B90" s="68"/>
      <c r="C90" s="34"/>
      <c r="D90" s="70"/>
      <c r="E90" s="71">
        <f>6.16+12</f>
        <v>18.16</v>
      </c>
      <c r="F90" s="71"/>
      <c r="G90" s="34" t="s">
        <v>204</v>
      </c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66</v>
      </c>
      <c r="D100" s="69">
        <f>SUM(D86:D99)</f>
        <v>140.18</v>
      </c>
      <c r="E100" s="69">
        <f>SUM(E86:E99)</f>
        <v>18.16</v>
      </c>
      <c r="F100" s="69">
        <f>SUM(F86:F99)</f>
        <v>0</v>
      </c>
      <c r="G100" s="35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71" t="str">
        <f>'2018'!A25</f>
        <v>Coche</v>
      </c>
      <c r="C102" s="272"/>
      <c r="D102" s="272"/>
      <c r="E102" s="272"/>
      <c r="F102" s="272"/>
      <c r="G102" s="273"/>
      <c r="H102" s="1"/>
      <c r="M102" s="1"/>
      <c r="R102" s="3"/>
    </row>
    <row r="103" spans="1:18" ht="16.149999999999999" customHeight="1" thickBot="1">
      <c r="A103" s="1"/>
      <c r="B103" s="274"/>
      <c r="C103" s="275"/>
      <c r="D103" s="275"/>
      <c r="E103" s="275"/>
      <c r="F103" s="275"/>
      <c r="G103" s="276"/>
      <c r="H103" s="1"/>
      <c r="M103" s="1"/>
      <c r="R103" s="3"/>
    </row>
    <row r="104" spans="1:18" ht="15.75">
      <c r="A104" s="1"/>
      <c r="B104" s="279" t="s">
        <v>10</v>
      </c>
      <c r="C104" s="278"/>
      <c r="D104" s="277" t="s">
        <v>11</v>
      </c>
      <c r="E104" s="277"/>
      <c r="F104" s="277"/>
      <c r="G104" s="278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68</v>
      </c>
      <c r="E105" s="66" t="s">
        <v>69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67">
        <v>260</v>
      </c>
      <c r="C106" s="36" t="s">
        <v>55</v>
      </c>
      <c r="D106" s="70">
        <v>258.47000000000003</v>
      </c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68">
        <v>71</v>
      </c>
      <c r="C107" s="36" t="s">
        <v>56</v>
      </c>
      <c r="D107" s="70">
        <v>70.349999999999994</v>
      </c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68">
        <v>69</v>
      </c>
      <c r="C108" s="36" t="s">
        <v>46</v>
      </c>
      <c r="D108" s="70"/>
      <c r="E108" s="71"/>
      <c r="F108" s="71"/>
      <c r="G108" s="94" t="s">
        <v>88</v>
      </c>
      <c r="H108" s="1"/>
      <c r="M108" s="1"/>
      <c r="R108" s="3"/>
    </row>
    <row r="109" spans="1:18" ht="15.75">
      <c r="A109" s="1"/>
      <c r="B109" s="68"/>
      <c r="C109" s="36"/>
      <c r="D109" s="70"/>
      <c r="E109" s="71"/>
      <c r="F109" s="71"/>
      <c r="G109" s="91" t="s">
        <v>89</v>
      </c>
      <c r="H109" s="1"/>
      <c r="M109" s="1"/>
      <c r="R109" s="3"/>
    </row>
    <row r="110" spans="1:18" ht="15.75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68"/>
      <c r="C111" s="79"/>
      <c r="D111" s="70"/>
      <c r="E111" s="71"/>
      <c r="F111" s="71"/>
      <c r="G111" s="94"/>
      <c r="H111" s="1"/>
      <c r="M111" s="1"/>
      <c r="R111" s="3"/>
    </row>
    <row r="112" spans="1:18" ht="15.75">
      <c r="A112" s="1"/>
      <c r="B112" s="68"/>
      <c r="C112" s="92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68"/>
      <c r="C113" s="93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68"/>
      <c r="C114" s="92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66</v>
      </c>
      <c r="D120" s="69">
        <f>SUM(D106:D119)</f>
        <v>328.82000000000005</v>
      </c>
      <c r="E120" s="69">
        <f>SUM(E106:E119)</f>
        <v>0</v>
      </c>
      <c r="F120" s="69">
        <f>SUM(F106:F119)</f>
        <v>0</v>
      </c>
      <c r="G120" s="35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71" t="str">
        <f>'2018'!A26</f>
        <v>Teléfono</v>
      </c>
      <c r="C122" s="272"/>
      <c r="D122" s="272"/>
      <c r="E122" s="272"/>
      <c r="F122" s="272"/>
      <c r="G122" s="273"/>
      <c r="H122" s="1"/>
      <c r="M122" s="1"/>
      <c r="R122" s="3"/>
    </row>
    <row r="123" spans="1:18" ht="16.149999999999999" customHeight="1" thickBot="1">
      <c r="A123" s="1"/>
      <c r="B123" s="274"/>
      <c r="C123" s="275"/>
      <c r="D123" s="275"/>
      <c r="E123" s="275"/>
      <c r="F123" s="275"/>
      <c r="G123" s="276"/>
      <c r="H123" s="1"/>
      <c r="M123" s="1"/>
      <c r="R123" s="3"/>
    </row>
    <row r="124" spans="1:18" ht="15.75">
      <c r="A124" s="1"/>
      <c r="B124" s="279" t="s">
        <v>10</v>
      </c>
      <c r="C124" s="278"/>
      <c r="D124" s="277" t="s">
        <v>11</v>
      </c>
      <c r="E124" s="277"/>
      <c r="F124" s="277"/>
      <c r="G124" s="278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68</v>
      </c>
      <c r="E125" s="66" t="s">
        <v>69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>
        <v>27.5</v>
      </c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f>20</f>
        <v>20</v>
      </c>
      <c r="C127" s="34" t="s">
        <v>58</v>
      </c>
      <c r="D127" s="70">
        <f>10</f>
        <v>10</v>
      </c>
      <c r="E127" s="71"/>
      <c r="F127" s="71"/>
      <c r="G127" s="34" t="s">
        <v>58</v>
      </c>
      <c r="H127" s="1"/>
      <c r="M127" s="1"/>
      <c r="R127" s="3"/>
    </row>
    <row r="128" spans="1:18" ht="15.75">
      <c r="A128" s="1"/>
      <c r="B128" s="68"/>
      <c r="C128" s="34"/>
      <c r="D128" s="70"/>
      <c r="E128" s="71"/>
      <c r="F128" s="71"/>
      <c r="G128" s="34"/>
      <c r="H128" s="1"/>
      <c r="M128" s="1"/>
      <c r="R128" s="3"/>
    </row>
    <row r="129" spans="1:18" ht="15.75">
      <c r="A129" s="1"/>
      <c r="B129" s="68"/>
      <c r="C129" s="34"/>
      <c r="D129" s="70"/>
      <c r="E129" s="71"/>
      <c r="F129" s="71"/>
      <c r="G129" s="34"/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47.5</v>
      </c>
      <c r="C140" s="35" t="s">
        <v>66</v>
      </c>
      <c r="D140" s="69">
        <f>SUM(D126:D139)</f>
        <v>37.5</v>
      </c>
      <c r="E140" s="69">
        <f>SUM(E126:E139)</f>
        <v>0</v>
      </c>
      <c r="F140" s="69">
        <f>SUM(F126:F139)</f>
        <v>0</v>
      </c>
      <c r="G140" s="35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71" t="str">
        <f>'2018'!A27</f>
        <v>Gatos</v>
      </c>
      <c r="C142" s="272"/>
      <c r="D142" s="272"/>
      <c r="E142" s="272"/>
      <c r="F142" s="272"/>
      <c r="G142" s="273"/>
      <c r="H142" s="1"/>
      <c r="M142" s="1"/>
      <c r="R142" s="3"/>
    </row>
    <row r="143" spans="1:18" ht="16.149999999999999" customHeight="1" thickBot="1">
      <c r="A143" s="1"/>
      <c r="B143" s="274"/>
      <c r="C143" s="275"/>
      <c r="D143" s="275"/>
      <c r="E143" s="275"/>
      <c r="F143" s="275"/>
      <c r="G143" s="276"/>
      <c r="H143" s="1"/>
      <c r="M143" s="1"/>
      <c r="R143" s="3"/>
    </row>
    <row r="144" spans="1:18" ht="15.75">
      <c r="A144" s="1"/>
      <c r="B144" s="279" t="s">
        <v>10</v>
      </c>
      <c r="C144" s="278"/>
      <c r="D144" s="277" t="s">
        <v>11</v>
      </c>
      <c r="E144" s="277"/>
      <c r="F144" s="277"/>
      <c r="G144" s="278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68</v>
      </c>
      <c r="E145" s="66" t="s">
        <v>69</v>
      </c>
      <c r="F145" s="66" t="s">
        <v>32</v>
      </c>
      <c r="G145" s="73" t="s">
        <v>33</v>
      </c>
      <c r="H145" s="1"/>
      <c r="M145" s="1"/>
      <c r="R145" s="3"/>
    </row>
    <row r="146" spans="1:22" ht="15.75">
      <c r="A146" s="1"/>
      <c r="B146" s="67">
        <v>60</v>
      </c>
      <c r="C146" s="37" t="s">
        <v>43</v>
      </c>
      <c r="D146" s="70">
        <f>29</f>
        <v>29</v>
      </c>
      <c r="E146" s="71"/>
      <c r="F146" s="71"/>
      <c r="G146" s="34" t="s">
        <v>48</v>
      </c>
      <c r="H146" s="1"/>
      <c r="M146" s="1"/>
      <c r="R146" s="3"/>
    </row>
    <row r="147" spans="1:22" ht="15.75">
      <c r="A147" s="1"/>
      <c r="B147" s="68"/>
      <c r="C147" s="34"/>
      <c r="D147" s="70">
        <f>15.38</f>
        <v>15.38</v>
      </c>
      <c r="E147" s="71"/>
      <c r="F147" s="71"/>
      <c r="G147" s="34" t="s">
        <v>61</v>
      </c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 t="s">
        <v>47</v>
      </c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60</v>
      </c>
      <c r="C160" s="35" t="s">
        <v>66</v>
      </c>
      <c r="D160" s="69">
        <f>SUM(D146:D159)</f>
        <v>44.38</v>
      </c>
      <c r="E160" s="69">
        <f>SUM(E146:E159)</f>
        <v>0</v>
      </c>
      <c r="F160" s="69">
        <f>SUM(F146:F159)</f>
        <v>0</v>
      </c>
      <c r="G160" s="35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71" t="str">
        <f>'2018'!A28</f>
        <v>Vacaciones</v>
      </c>
      <c r="C162" s="272"/>
      <c r="D162" s="272"/>
      <c r="E162" s="272"/>
      <c r="F162" s="272"/>
      <c r="G162" s="273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74"/>
      <c r="C163" s="275"/>
      <c r="D163" s="275"/>
      <c r="E163" s="275"/>
      <c r="F163" s="275"/>
      <c r="G163" s="27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79" t="s">
        <v>10</v>
      </c>
      <c r="C164" s="278"/>
      <c r="D164" s="277" t="s">
        <v>11</v>
      </c>
      <c r="E164" s="277"/>
      <c r="F164" s="277"/>
      <c r="G164" s="27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68</v>
      </c>
      <c r="E165" s="66" t="s">
        <v>69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>
        <v>365.12</v>
      </c>
      <c r="E166" s="71"/>
      <c r="F166" s="71"/>
      <c r="G166" s="34" t="s">
        <v>212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>
        <v>700</v>
      </c>
      <c r="C167" s="34" t="s">
        <v>242</v>
      </c>
      <c r="D167" s="70"/>
      <c r="E167" s="71"/>
      <c r="F167" s="71">
        <f>78</f>
        <v>78</v>
      </c>
      <c r="G167" s="34" t="s">
        <v>245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>
        <v>50</v>
      </c>
      <c r="G168" s="34" t="s">
        <v>246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>
        <f>14+11.3+3.95</f>
        <v>29.25</v>
      </c>
      <c r="E169" s="71"/>
      <c r="F169" s="71"/>
      <c r="G169" s="34" t="s">
        <v>253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>
        <v>383.95</v>
      </c>
      <c r="E170" s="71"/>
      <c r="F170" s="71"/>
      <c r="G170" s="34" t="s">
        <v>254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>
        <v>80</v>
      </c>
      <c r="E171" s="71"/>
      <c r="F171" s="71"/>
      <c r="G171" s="34" t="s">
        <v>259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>
        <f>71.1</f>
        <v>71.099999999999994</v>
      </c>
      <c r="F172" s="71"/>
      <c r="G172" s="34" t="s">
        <v>269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900</v>
      </c>
      <c r="C180" s="35" t="s">
        <v>66</v>
      </c>
      <c r="D180" s="69">
        <f>SUM(D166:D179)</f>
        <v>858.31999999999994</v>
      </c>
      <c r="E180" s="69">
        <f>SUM(E166:E179)</f>
        <v>71.099999999999994</v>
      </c>
      <c r="F180" s="69">
        <f>SUM(F166:F179)</f>
        <v>128</v>
      </c>
      <c r="G180" s="35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71" t="str">
        <f>'2018'!A29</f>
        <v>Ropa</v>
      </c>
      <c r="C182" s="272"/>
      <c r="D182" s="272"/>
      <c r="E182" s="272"/>
      <c r="F182" s="272"/>
      <c r="G182" s="273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74"/>
      <c r="C183" s="275"/>
      <c r="D183" s="275"/>
      <c r="E183" s="275"/>
      <c r="F183" s="275"/>
      <c r="G183" s="27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79" t="s">
        <v>10</v>
      </c>
      <c r="C184" s="278"/>
      <c r="D184" s="277" t="s">
        <v>11</v>
      </c>
      <c r="E184" s="277"/>
      <c r="F184" s="277"/>
      <c r="G184" s="27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68</v>
      </c>
      <c r="E185" s="66" t="s">
        <v>69</v>
      </c>
      <c r="F185" s="66" t="s">
        <v>32</v>
      </c>
      <c r="G185" s="73" t="s">
        <v>33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50</v>
      </c>
      <c r="C186" s="37" t="s">
        <v>43</v>
      </c>
      <c r="D186" s="70">
        <f>6</f>
        <v>6</v>
      </c>
      <c r="E186" s="71"/>
      <c r="F186" s="71"/>
      <c r="G186" s="34" t="s">
        <v>233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>
        <v>25.75</v>
      </c>
      <c r="E187" s="71"/>
      <c r="F187" s="71"/>
      <c r="G187" s="34" t="s">
        <v>227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>
        <v>32.5</v>
      </c>
      <c r="E188" s="71"/>
      <c r="F188" s="71"/>
      <c r="G188" s="34" t="s">
        <v>228</v>
      </c>
    </row>
    <row r="189" spans="1:22">
      <c r="B189" s="68"/>
      <c r="C189" s="34"/>
      <c r="D189" s="70"/>
      <c r="E189" s="71">
        <f>60</f>
        <v>60</v>
      </c>
      <c r="F189" s="71"/>
      <c r="G189" s="34" t="s">
        <v>230</v>
      </c>
    </row>
    <row r="190" spans="1:22">
      <c r="B190" s="68"/>
      <c r="C190" s="34"/>
      <c r="D190" s="70">
        <f>11.4</f>
        <v>11.4</v>
      </c>
      <c r="E190" s="71"/>
      <c r="F190" s="71"/>
      <c r="G190" s="34" t="s">
        <v>234</v>
      </c>
    </row>
    <row r="191" spans="1:22">
      <c r="B191" s="68"/>
      <c r="C191" s="34"/>
      <c r="D191" s="70">
        <f>25.98</f>
        <v>25.98</v>
      </c>
      <c r="E191" s="71"/>
      <c r="F191" s="71"/>
      <c r="G191" s="34" t="s">
        <v>236</v>
      </c>
    </row>
    <row r="192" spans="1:22">
      <c r="B192" s="68"/>
      <c r="C192" s="34"/>
      <c r="D192" s="70"/>
      <c r="E192" s="71"/>
      <c r="F192" s="71">
        <v>5</v>
      </c>
      <c r="G192" s="34" t="s">
        <v>247</v>
      </c>
    </row>
    <row r="193" spans="2:7">
      <c r="B193" s="68"/>
      <c r="C193" s="34"/>
      <c r="D193" s="70">
        <v>51.9</v>
      </c>
      <c r="E193" s="71"/>
      <c r="F193" s="71"/>
      <c r="G193" s="34" t="s">
        <v>256</v>
      </c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50</v>
      </c>
      <c r="C200" s="35" t="s">
        <v>66</v>
      </c>
      <c r="D200" s="69">
        <f>SUM(D186:D199)</f>
        <v>153.53</v>
      </c>
      <c r="E200" s="69">
        <f>SUM(E186:E199)</f>
        <v>60</v>
      </c>
      <c r="F200" s="69">
        <f>SUM(F186:F199)</f>
        <v>5</v>
      </c>
      <c r="G200" s="35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71" t="str">
        <f>'2018'!A30</f>
        <v>Belleza</v>
      </c>
      <c r="C202" s="272"/>
      <c r="D202" s="272"/>
      <c r="E202" s="272"/>
      <c r="F202" s="272"/>
      <c r="G202" s="273"/>
    </row>
    <row r="203" spans="2:7" ht="15" customHeight="1" thickBot="1">
      <c r="B203" s="274"/>
      <c r="C203" s="275"/>
      <c r="D203" s="275"/>
      <c r="E203" s="275"/>
      <c r="F203" s="275"/>
      <c r="G203" s="276"/>
    </row>
    <row r="204" spans="2:7">
      <c r="B204" s="279" t="s">
        <v>10</v>
      </c>
      <c r="C204" s="278"/>
      <c r="D204" s="277" t="s">
        <v>11</v>
      </c>
      <c r="E204" s="277"/>
      <c r="F204" s="277"/>
      <c r="G204" s="278"/>
    </row>
    <row r="205" spans="2:7">
      <c r="B205" s="65" t="s">
        <v>32</v>
      </c>
      <c r="C205" s="73" t="s">
        <v>33</v>
      </c>
      <c r="D205" s="65" t="s">
        <v>68</v>
      </c>
      <c r="E205" s="66" t="s">
        <v>69</v>
      </c>
      <c r="F205" s="66" t="s">
        <v>32</v>
      </c>
      <c r="G205" s="73" t="s">
        <v>33</v>
      </c>
    </row>
    <row r="206" spans="2:7">
      <c r="B206" s="67">
        <v>35</v>
      </c>
      <c r="C206" s="37"/>
      <c r="D206" s="70">
        <f>11.48</f>
        <v>11.48</v>
      </c>
      <c r="E206" s="71"/>
      <c r="F206" s="71"/>
      <c r="G206" s="34" t="s">
        <v>96</v>
      </c>
    </row>
    <row r="207" spans="2:7">
      <c r="B207" s="68"/>
      <c r="C207" s="34"/>
      <c r="D207" s="70"/>
      <c r="E207" s="71"/>
      <c r="F207" s="71">
        <v>45</v>
      </c>
      <c r="G207" s="34" t="s">
        <v>244</v>
      </c>
    </row>
    <row r="208" spans="2:7">
      <c r="B208" s="68"/>
      <c r="C208" s="34"/>
      <c r="D208" s="70">
        <f>26.95+19.5</f>
        <v>46.45</v>
      </c>
      <c r="E208" s="71"/>
      <c r="F208" s="71"/>
      <c r="G208" s="34" t="s">
        <v>261</v>
      </c>
    </row>
    <row r="209" spans="2:7">
      <c r="B209" s="68"/>
      <c r="C209" s="34"/>
      <c r="D209" s="70">
        <v>19.440000000000001</v>
      </c>
      <c r="E209" s="71"/>
      <c r="F209" s="71"/>
      <c r="G209" s="34" t="s">
        <v>97</v>
      </c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66</v>
      </c>
      <c r="D220" s="69">
        <f>SUM(D206:D219)</f>
        <v>77.37</v>
      </c>
      <c r="E220" s="69">
        <f>SUM(E206:E219)</f>
        <v>0</v>
      </c>
      <c r="F220" s="69">
        <f>SUM(F206:F219)</f>
        <v>45</v>
      </c>
      <c r="G220" s="35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71" t="str">
        <f>'2018'!A31</f>
        <v>Deportes</v>
      </c>
      <c r="C222" s="272"/>
      <c r="D222" s="272"/>
      <c r="E222" s="272"/>
      <c r="F222" s="272"/>
      <c r="G222" s="273"/>
    </row>
    <row r="223" spans="2:7" ht="15" customHeight="1" thickBot="1">
      <c r="B223" s="274"/>
      <c r="C223" s="275"/>
      <c r="D223" s="275"/>
      <c r="E223" s="275"/>
      <c r="F223" s="275"/>
      <c r="G223" s="276"/>
    </row>
    <row r="224" spans="2:7">
      <c r="B224" s="279" t="s">
        <v>10</v>
      </c>
      <c r="C224" s="278"/>
      <c r="D224" s="277" t="s">
        <v>11</v>
      </c>
      <c r="E224" s="277"/>
      <c r="F224" s="277"/>
      <c r="G224" s="278"/>
    </row>
    <row r="225" spans="2:7">
      <c r="B225" s="65" t="s">
        <v>32</v>
      </c>
      <c r="C225" s="73" t="s">
        <v>33</v>
      </c>
      <c r="D225" s="65" t="s">
        <v>68</v>
      </c>
      <c r="E225" s="66" t="s">
        <v>69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>
        <v>20</v>
      </c>
      <c r="E226" s="71"/>
      <c r="F226" s="71"/>
      <c r="G226" s="34" t="s">
        <v>50</v>
      </c>
    </row>
    <row r="227" spans="2:7">
      <c r="B227" s="68">
        <v>45</v>
      </c>
      <c r="C227" s="34" t="s">
        <v>102</v>
      </c>
      <c r="D227" s="70"/>
      <c r="E227" s="71"/>
      <c r="F227" s="71">
        <v>120</v>
      </c>
      <c r="G227" s="34" t="s">
        <v>229</v>
      </c>
    </row>
    <row r="228" spans="2:7">
      <c r="B228" s="68">
        <v>5</v>
      </c>
      <c r="C228" s="34" t="s">
        <v>46</v>
      </c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70</v>
      </c>
      <c r="C240" s="35" t="s">
        <v>66</v>
      </c>
      <c r="D240" s="69">
        <f>SUM(D226:D239)</f>
        <v>20</v>
      </c>
      <c r="E240" s="69">
        <f>SUM(E226:E239)</f>
        <v>0</v>
      </c>
      <c r="F240" s="69">
        <f>SUM(F226:F239)</f>
        <v>120</v>
      </c>
      <c r="G240" s="35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71" t="str">
        <f>'2018'!A32</f>
        <v>Hogar</v>
      </c>
      <c r="C242" s="272"/>
      <c r="D242" s="272"/>
      <c r="E242" s="272"/>
      <c r="F242" s="272"/>
      <c r="G242" s="273"/>
    </row>
    <row r="243" spans="2:7" ht="15" customHeight="1" thickBot="1">
      <c r="B243" s="274"/>
      <c r="C243" s="275"/>
      <c r="D243" s="275"/>
      <c r="E243" s="275"/>
      <c r="F243" s="275"/>
      <c r="G243" s="276"/>
    </row>
    <row r="244" spans="2:7" ht="15" customHeight="1">
      <c r="B244" s="279" t="s">
        <v>10</v>
      </c>
      <c r="C244" s="278"/>
      <c r="D244" s="277" t="s">
        <v>11</v>
      </c>
      <c r="E244" s="277"/>
      <c r="F244" s="277"/>
      <c r="G244" s="278"/>
    </row>
    <row r="245" spans="2:7" ht="15" customHeight="1">
      <c r="B245" s="65" t="s">
        <v>32</v>
      </c>
      <c r="C245" s="73" t="s">
        <v>33</v>
      </c>
      <c r="D245" s="65" t="s">
        <v>68</v>
      </c>
      <c r="E245" s="66" t="s">
        <v>69</v>
      </c>
      <c r="F245" s="66" t="s">
        <v>32</v>
      </c>
      <c r="G245" s="73" t="s">
        <v>33</v>
      </c>
    </row>
    <row r="246" spans="2:7" ht="15" customHeight="1">
      <c r="B246" s="68">
        <v>50</v>
      </c>
      <c r="C246" s="79"/>
      <c r="D246" s="70"/>
      <c r="E246" s="71"/>
      <c r="F246" s="71"/>
      <c r="G246" s="34" t="s">
        <v>47</v>
      </c>
    </row>
    <row r="247" spans="2:7" ht="15" customHeight="1">
      <c r="B247" s="68"/>
      <c r="C247" s="34"/>
      <c r="D247" s="70"/>
      <c r="E247" s="71"/>
      <c r="F247" s="71"/>
      <c r="G247" s="34" t="s">
        <v>98</v>
      </c>
    </row>
    <row r="248" spans="2:7">
      <c r="B248" s="68"/>
      <c r="C248" s="34"/>
      <c r="D248" s="70"/>
      <c r="E248" s="71"/>
      <c r="F248" s="71"/>
      <c r="G248" s="34" t="s">
        <v>120</v>
      </c>
    </row>
    <row r="249" spans="2:7">
      <c r="B249" s="68"/>
      <c r="C249" s="34"/>
      <c r="D249" s="70">
        <f>151.88</f>
        <v>151.88</v>
      </c>
      <c r="E249" s="71"/>
      <c r="F249" s="71"/>
      <c r="G249" s="34" t="s">
        <v>206</v>
      </c>
    </row>
    <row r="250" spans="2:7">
      <c r="B250" s="68"/>
      <c r="C250" s="34"/>
      <c r="D250" s="70">
        <f>15.5</f>
        <v>15.5</v>
      </c>
      <c r="E250" s="71"/>
      <c r="F250" s="71"/>
      <c r="G250" s="34" t="s">
        <v>239</v>
      </c>
    </row>
    <row r="251" spans="2:7">
      <c r="B251" s="68"/>
      <c r="C251" s="34"/>
      <c r="D251" s="70"/>
      <c r="E251" s="71"/>
      <c r="F251" s="71"/>
      <c r="G251" s="34"/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50</v>
      </c>
      <c r="C260" s="35" t="s">
        <v>66</v>
      </c>
      <c r="D260" s="69">
        <f>SUM(D246:D259)</f>
        <v>167.38</v>
      </c>
      <c r="E260" s="69">
        <f>SUM(E246:E259)</f>
        <v>0</v>
      </c>
      <c r="F260" s="69">
        <f>SUM(F246:F259)</f>
        <v>0</v>
      </c>
      <c r="G260" s="35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71" t="str">
        <f>'2018'!A33</f>
        <v>Formación</v>
      </c>
      <c r="C262" s="272"/>
      <c r="D262" s="272"/>
      <c r="E262" s="272"/>
      <c r="F262" s="272"/>
      <c r="G262" s="273"/>
    </row>
    <row r="263" spans="2:7" ht="15" customHeight="1" thickBot="1">
      <c r="B263" s="274"/>
      <c r="C263" s="275"/>
      <c r="D263" s="275"/>
      <c r="E263" s="275"/>
      <c r="F263" s="275"/>
      <c r="G263" s="276"/>
    </row>
    <row r="264" spans="2:7">
      <c r="B264" s="279" t="s">
        <v>10</v>
      </c>
      <c r="C264" s="278"/>
      <c r="D264" s="277" t="s">
        <v>11</v>
      </c>
      <c r="E264" s="277"/>
      <c r="F264" s="277"/>
      <c r="G264" s="278"/>
    </row>
    <row r="265" spans="2:7">
      <c r="B265" s="65" t="s">
        <v>32</v>
      </c>
      <c r="C265" s="73" t="s">
        <v>33</v>
      </c>
      <c r="D265" s="65" t="s">
        <v>68</v>
      </c>
      <c r="E265" s="66" t="s">
        <v>69</v>
      </c>
      <c r="F265" s="66" t="s">
        <v>32</v>
      </c>
      <c r="G265" s="73" t="s">
        <v>33</v>
      </c>
    </row>
    <row r="266" spans="2:7">
      <c r="B266" s="67">
        <v>10</v>
      </c>
      <c r="C266" s="37"/>
      <c r="D266" s="70"/>
      <c r="E266" s="71"/>
      <c r="F266" s="71"/>
      <c r="G266" s="34"/>
    </row>
    <row r="267" spans="2:7">
      <c r="B267" s="68"/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8">
      <c r="B273" s="68"/>
      <c r="C273" s="34"/>
      <c r="D273" s="70"/>
      <c r="E273" s="71"/>
      <c r="F273" s="71"/>
      <c r="G273" s="34"/>
    </row>
    <row r="274" spans="2:8">
      <c r="B274" s="68"/>
      <c r="C274" s="34"/>
      <c r="D274" s="70"/>
      <c r="E274" s="71"/>
      <c r="F274" s="71"/>
      <c r="G274" s="34"/>
    </row>
    <row r="275" spans="2:8">
      <c r="B275" s="68"/>
      <c r="C275" s="34"/>
      <c r="D275" s="70"/>
      <c r="E275" s="71"/>
      <c r="F275" s="71"/>
      <c r="G275" s="34"/>
    </row>
    <row r="276" spans="2:8">
      <c r="B276" s="68"/>
      <c r="C276" s="34"/>
      <c r="D276" s="70"/>
      <c r="E276" s="71"/>
      <c r="F276" s="71"/>
      <c r="G276" s="34"/>
    </row>
    <row r="277" spans="2:8">
      <c r="B277" s="68"/>
      <c r="C277" s="34"/>
      <c r="D277" s="70"/>
      <c r="E277" s="71"/>
      <c r="F277" s="71"/>
      <c r="G277" s="34"/>
    </row>
    <row r="278" spans="2:8">
      <c r="B278" s="68"/>
      <c r="C278" s="34"/>
      <c r="D278" s="70"/>
      <c r="E278" s="71"/>
      <c r="F278" s="71"/>
      <c r="G278" s="34"/>
    </row>
    <row r="279" spans="2:8" ht="15.75" thickBot="1">
      <c r="B279" s="69"/>
      <c r="C279" s="35"/>
      <c r="D279" s="69"/>
      <c r="E279" s="72"/>
      <c r="F279" s="72"/>
      <c r="G279" s="35"/>
    </row>
    <row r="280" spans="2:8" ht="15.75" thickBot="1">
      <c r="B280" s="69">
        <f>SUM(B266:B279)</f>
        <v>10</v>
      </c>
      <c r="C280" s="35" t="s">
        <v>66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66</v>
      </c>
    </row>
    <row r="281" spans="2:8" ht="15.75" thickBot="1">
      <c r="B281" s="3"/>
      <c r="C281" s="3"/>
      <c r="D281" s="3"/>
      <c r="E281" s="3"/>
    </row>
    <row r="282" spans="2:8" ht="14.45" customHeight="1">
      <c r="B282" s="271" t="str">
        <f>'2018'!A34</f>
        <v>Regalos</v>
      </c>
      <c r="C282" s="272"/>
      <c r="D282" s="272"/>
      <c r="E282" s="272"/>
      <c r="F282" s="272"/>
      <c r="G282" s="273"/>
    </row>
    <row r="283" spans="2:8" ht="15" customHeight="1" thickBot="1">
      <c r="B283" s="274"/>
      <c r="C283" s="275"/>
      <c r="D283" s="275"/>
      <c r="E283" s="275"/>
      <c r="F283" s="275"/>
      <c r="G283" s="276"/>
    </row>
    <row r="284" spans="2:8">
      <c r="B284" s="279" t="s">
        <v>10</v>
      </c>
      <c r="C284" s="278"/>
      <c r="D284" s="277" t="s">
        <v>11</v>
      </c>
      <c r="E284" s="277"/>
      <c r="F284" s="277"/>
      <c r="G284" s="278"/>
    </row>
    <row r="285" spans="2:8">
      <c r="B285" s="65" t="s">
        <v>32</v>
      </c>
      <c r="C285" s="73" t="s">
        <v>33</v>
      </c>
      <c r="D285" s="65" t="s">
        <v>68</v>
      </c>
      <c r="E285" s="66" t="s">
        <v>69</v>
      </c>
      <c r="F285" s="66" t="s">
        <v>32</v>
      </c>
      <c r="G285" s="73" t="s">
        <v>33</v>
      </c>
    </row>
    <row r="286" spans="2:8">
      <c r="B286" s="67">
        <v>100</v>
      </c>
      <c r="C286" s="37" t="s">
        <v>36</v>
      </c>
      <c r="D286" s="70"/>
      <c r="E286" s="71">
        <f>22.02+4.79</f>
        <v>26.81</v>
      </c>
      <c r="F286" s="71"/>
      <c r="G286" s="34" t="s">
        <v>219</v>
      </c>
    </row>
    <row r="287" spans="2:8">
      <c r="B287" s="68">
        <v>345</v>
      </c>
      <c r="C287" s="34" t="s">
        <v>215</v>
      </c>
      <c r="D287" s="70">
        <f>116.33+27.98+20</f>
        <v>164.31</v>
      </c>
      <c r="E287" s="71">
        <f>38+43.59</f>
        <v>81.59</v>
      </c>
      <c r="F287" s="71"/>
      <c r="G287" s="34" t="s">
        <v>221</v>
      </c>
      <c r="H287" s="178">
        <f>300-(D287+E287+F287)</f>
        <v>54.099999999999994</v>
      </c>
    </row>
    <row r="288" spans="2:8">
      <c r="B288" s="68">
        <v>449</v>
      </c>
      <c r="C288" s="34" t="s">
        <v>275</v>
      </c>
      <c r="D288" s="70">
        <f>8.98</f>
        <v>8.98</v>
      </c>
      <c r="E288" s="71"/>
      <c r="F288" s="71"/>
      <c r="G288" s="34" t="s">
        <v>222</v>
      </c>
    </row>
    <row r="289" spans="2:8">
      <c r="B289" s="68"/>
      <c r="C289" s="34"/>
      <c r="D289" s="70">
        <f>33.2</f>
        <v>33.200000000000003</v>
      </c>
      <c r="E289" s="71"/>
      <c r="F289" s="71"/>
      <c r="G289" s="34" t="s">
        <v>231</v>
      </c>
    </row>
    <row r="290" spans="2:8">
      <c r="B290" s="68"/>
      <c r="C290" s="34"/>
      <c r="D290" s="70">
        <f>14.6</f>
        <v>14.6</v>
      </c>
      <c r="E290" s="71"/>
      <c r="F290" s="71"/>
      <c r="G290" s="34" t="s">
        <v>235</v>
      </c>
    </row>
    <row r="291" spans="2:8">
      <c r="B291" s="68"/>
      <c r="C291" s="34"/>
      <c r="D291" s="70">
        <f>21.95</f>
        <v>21.95</v>
      </c>
      <c r="E291" s="71"/>
      <c r="F291" s="71"/>
      <c r="G291" s="34" t="s">
        <v>237</v>
      </c>
    </row>
    <row r="292" spans="2:8">
      <c r="B292" s="68"/>
      <c r="C292" s="34"/>
      <c r="D292" s="70">
        <f>26.35+16.8</f>
        <v>43.150000000000006</v>
      </c>
      <c r="E292" s="71"/>
      <c r="F292" s="71"/>
      <c r="G292" s="34" t="s">
        <v>241</v>
      </c>
      <c r="H292" s="178">
        <f>45-(D292+E292+F292)</f>
        <v>1.8499999999999943</v>
      </c>
    </row>
    <row r="293" spans="2:8">
      <c r="B293" s="68"/>
      <c r="C293" s="34"/>
      <c r="D293" s="70">
        <f>(4.69*3)</f>
        <v>14.07</v>
      </c>
      <c r="E293" s="71"/>
      <c r="F293" s="71"/>
      <c r="G293" s="34" t="s">
        <v>47</v>
      </c>
    </row>
    <row r="294" spans="2:8">
      <c r="B294" s="68"/>
      <c r="C294" s="34"/>
      <c r="D294" s="70"/>
      <c r="E294" s="71"/>
      <c r="F294" s="71">
        <v>160</v>
      </c>
      <c r="G294" s="34" t="s">
        <v>249</v>
      </c>
    </row>
    <row r="295" spans="2:8">
      <c r="B295" s="68"/>
      <c r="C295" s="34"/>
      <c r="D295" s="70">
        <f>9.39</f>
        <v>9.39</v>
      </c>
      <c r="E295" s="71"/>
      <c r="F295" s="71"/>
      <c r="G295" s="34" t="s">
        <v>250</v>
      </c>
    </row>
    <row r="296" spans="2:8">
      <c r="B296" s="68"/>
      <c r="C296" s="34"/>
      <c r="D296" s="70">
        <v>449</v>
      </c>
      <c r="E296" s="71"/>
      <c r="F296" s="71"/>
      <c r="G296" s="34" t="s">
        <v>255</v>
      </c>
      <c r="H296" s="178">
        <f>626.6-D296</f>
        <v>177.60000000000002</v>
      </c>
    </row>
    <row r="297" spans="2:8">
      <c r="B297" s="68"/>
      <c r="C297" s="34"/>
      <c r="D297" s="70">
        <v>36.200000000000003</v>
      </c>
      <c r="E297" s="71"/>
      <c r="F297" s="71"/>
      <c r="G297" s="34" t="s">
        <v>258</v>
      </c>
    </row>
    <row r="298" spans="2:8">
      <c r="B298" s="68"/>
      <c r="C298" s="34"/>
      <c r="D298" s="70"/>
      <c r="E298" s="71"/>
      <c r="F298" s="71"/>
      <c r="G298" s="34"/>
    </row>
    <row r="299" spans="2:8" ht="15.75" thickBot="1">
      <c r="B299" s="69"/>
      <c r="C299" s="35"/>
      <c r="D299" s="69"/>
      <c r="E299" s="72"/>
      <c r="F299" s="72"/>
      <c r="G299" s="35"/>
    </row>
    <row r="300" spans="2:8" ht="15.75" thickBot="1">
      <c r="B300" s="69">
        <f>SUM(B286:B299)</f>
        <v>894</v>
      </c>
      <c r="C300" s="35" t="s">
        <v>66</v>
      </c>
      <c r="D300" s="69">
        <f>SUM(D286:D299)</f>
        <v>794.85</v>
      </c>
      <c r="E300" s="69">
        <f>SUM(E286:E299)</f>
        <v>108.4</v>
      </c>
      <c r="F300" s="69">
        <f>SUM(F286:F299)</f>
        <v>160</v>
      </c>
      <c r="G300" s="35" t="s">
        <v>66</v>
      </c>
    </row>
    <row r="301" spans="2:8" ht="15.75" thickBot="1">
      <c r="B301" s="3"/>
      <c r="C301" s="3"/>
      <c r="D301" s="3"/>
      <c r="E301" s="3"/>
    </row>
    <row r="302" spans="2:8" ht="14.45" customHeight="1">
      <c r="B302" s="271" t="str">
        <f>'2018'!A35</f>
        <v>Salud</v>
      </c>
      <c r="C302" s="272"/>
      <c r="D302" s="272"/>
      <c r="E302" s="272"/>
      <c r="F302" s="272"/>
      <c r="G302" s="273"/>
    </row>
    <row r="303" spans="2:8" ht="15" customHeight="1" thickBot="1">
      <c r="B303" s="274"/>
      <c r="C303" s="275"/>
      <c r="D303" s="275"/>
      <c r="E303" s="275"/>
      <c r="F303" s="275"/>
      <c r="G303" s="276"/>
    </row>
    <row r="304" spans="2:8">
      <c r="B304" s="279" t="s">
        <v>10</v>
      </c>
      <c r="C304" s="278"/>
      <c r="D304" s="277" t="s">
        <v>11</v>
      </c>
      <c r="E304" s="277"/>
      <c r="F304" s="277"/>
      <c r="G304" s="278"/>
    </row>
    <row r="305" spans="2:7">
      <c r="B305" s="65" t="s">
        <v>32</v>
      </c>
      <c r="C305" s="73" t="s">
        <v>33</v>
      </c>
      <c r="D305" s="65" t="s">
        <v>68</v>
      </c>
      <c r="E305" s="66" t="s">
        <v>69</v>
      </c>
      <c r="F305" s="66" t="s">
        <v>32</v>
      </c>
      <c r="G305" s="73" t="s">
        <v>33</v>
      </c>
    </row>
    <row r="306" spans="2:7">
      <c r="B306" s="67">
        <v>100</v>
      </c>
      <c r="C306" s="37" t="s">
        <v>60</v>
      </c>
      <c r="D306" s="70">
        <f>35.23</f>
        <v>35.229999999999997</v>
      </c>
      <c r="E306" s="71"/>
      <c r="F306" s="71"/>
      <c r="G306" s="34" t="s">
        <v>217</v>
      </c>
    </row>
    <row r="307" spans="2:7">
      <c r="B307" s="119"/>
      <c r="C307" s="79"/>
      <c r="D307" s="70">
        <f>10.89+37.34-7</f>
        <v>41.230000000000004</v>
      </c>
      <c r="E307" s="71"/>
      <c r="F307" s="71"/>
      <c r="G307" s="34" t="s">
        <v>97</v>
      </c>
    </row>
    <row r="308" spans="2:7">
      <c r="B308" s="119"/>
      <c r="C308" s="79"/>
      <c r="D308" s="70">
        <f>34.5+34.5</f>
        <v>69</v>
      </c>
      <c r="E308" s="71"/>
      <c r="F308" s="71"/>
      <c r="G308" s="34" t="s">
        <v>226</v>
      </c>
    </row>
    <row r="309" spans="2:7">
      <c r="B309" s="68"/>
      <c r="C309" s="34"/>
      <c r="D309" s="70"/>
      <c r="E309" s="71"/>
      <c r="F309" s="71">
        <f>50</f>
        <v>50</v>
      </c>
      <c r="G309" s="34" t="s">
        <v>240</v>
      </c>
    </row>
    <row r="310" spans="2:7">
      <c r="B310" s="68"/>
      <c r="C310" s="34"/>
      <c r="D310" s="70"/>
      <c r="E310" s="71"/>
      <c r="F310" s="71">
        <f>62</f>
        <v>62</v>
      </c>
      <c r="G310" s="34" t="s">
        <v>270</v>
      </c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66</v>
      </c>
      <c r="D320" s="69">
        <f>SUM(D306:D319)</f>
        <v>145.46</v>
      </c>
      <c r="E320" s="69">
        <f>SUM(E306:E319)</f>
        <v>0</v>
      </c>
      <c r="F320" s="69">
        <f>SUM(F306:F319)</f>
        <v>112</v>
      </c>
      <c r="G320" s="35" t="s">
        <v>66</v>
      </c>
    </row>
    <row r="321" spans="2:7" ht="15.75" thickBot="1"/>
    <row r="322" spans="2:7" ht="14.45" customHeight="1">
      <c r="B322" s="271" t="str">
        <f>'2018'!A36</f>
        <v>Martina</v>
      </c>
      <c r="C322" s="272"/>
      <c r="D322" s="272"/>
      <c r="E322" s="272"/>
      <c r="F322" s="272"/>
      <c r="G322" s="273"/>
    </row>
    <row r="323" spans="2:7" ht="15" customHeight="1" thickBot="1">
      <c r="B323" s="274"/>
      <c r="C323" s="275"/>
      <c r="D323" s="275"/>
      <c r="E323" s="275"/>
      <c r="F323" s="275"/>
      <c r="G323" s="276"/>
    </row>
    <row r="324" spans="2:7">
      <c r="B324" s="279" t="s">
        <v>10</v>
      </c>
      <c r="C324" s="278"/>
      <c r="D324" s="277" t="s">
        <v>11</v>
      </c>
      <c r="E324" s="277"/>
      <c r="F324" s="277"/>
      <c r="G324" s="278"/>
    </row>
    <row r="325" spans="2:7">
      <c r="B325" s="65" t="s">
        <v>32</v>
      </c>
      <c r="C325" s="73" t="s">
        <v>33</v>
      </c>
      <c r="D325" s="65" t="s">
        <v>68</v>
      </c>
      <c r="E325" s="66" t="s">
        <v>69</v>
      </c>
      <c r="F325" s="66" t="s">
        <v>32</v>
      </c>
      <c r="G325" s="73" t="s">
        <v>33</v>
      </c>
    </row>
    <row r="326" spans="2:7">
      <c r="B326" s="67">
        <v>50</v>
      </c>
      <c r="C326" s="37"/>
      <c r="D326" s="70"/>
      <c r="E326" s="71"/>
      <c r="F326" s="71"/>
      <c r="G326" s="34"/>
    </row>
    <row r="327" spans="2:7">
      <c r="B327" s="68"/>
      <c r="C327" s="34"/>
      <c r="D327" s="70"/>
      <c r="E327" s="71"/>
      <c r="F327" s="71"/>
      <c r="G327" s="34"/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50</v>
      </c>
      <c r="C340" s="35" t="s">
        <v>66</v>
      </c>
      <c r="D340" s="69">
        <f>SUM(D326:D339)</f>
        <v>0</v>
      </c>
      <c r="E340" s="69">
        <f>SUM(E326:E339)</f>
        <v>0</v>
      </c>
      <c r="F340" s="69">
        <f>SUM(F326:F339)</f>
        <v>0</v>
      </c>
      <c r="G340" s="35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71" t="str">
        <f>'2018'!A37</f>
        <v>Impuestos</v>
      </c>
      <c r="C342" s="272"/>
      <c r="D342" s="272"/>
      <c r="E342" s="272"/>
      <c r="F342" s="272"/>
      <c r="G342" s="273"/>
    </row>
    <row r="343" spans="2:7" ht="15" customHeight="1" thickBot="1">
      <c r="B343" s="274"/>
      <c r="C343" s="275"/>
      <c r="D343" s="275"/>
      <c r="E343" s="275"/>
      <c r="F343" s="275"/>
      <c r="G343" s="276"/>
    </row>
    <row r="344" spans="2:7">
      <c r="B344" s="279" t="s">
        <v>10</v>
      </c>
      <c r="C344" s="278"/>
      <c r="D344" s="277" t="s">
        <v>11</v>
      </c>
      <c r="E344" s="277"/>
      <c r="F344" s="277"/>
      <c r="G344" s="278"/>
    </row>
    <row r="345" spans="2:7">
      <c r="B345" s="65" t="s">
        <v>32</v>
      </c>
      <c r="C345" s="73" t="s">
        <v>33</v>
      </c>
      <c r="D345" s="65" t="s">
        <v>68</v>
      </c>
      <c r="E345" s="66" t="s">
        <v>69</v>
      </c>
      <c r="F345" s="66" t="s">
        <v>32</v>
      </c>
      <c r="G345" s="73" t="s">
        <v>33</v>
      </c>
    </row>
    <row r="346" spans="2:7">
      <c r="B346" s="67">
        <v>30</v>
      </c>
      <c r="C346" s="37" t="s">
        <v>119</v>
      </c>
      <c r="D346" s="70"/>
      <c r="E346" s="71"/>
      <c r="F346" s="71">
        <v>150</v>
      </c>
      <c r="G346" s="34" t="s">
        <v>248</v>
      </c>
    </row>
    <row r="347" spans="2:7">
      <c r="B347" s="68"/>
      <c r="C347" s="34"/>
      <c r="D347" s="70">
        <v>266.13</v>
      </c>
      <c r="E347" s="71"/>
      <c r="F347" s="71"/>
      <c r="G347" s="34" t="s">
        <v>274</v>
      </c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30</v>
      </c>
      <c r="C360" s="35" t="s">
        <v>66</v>
      </c>
      <c r="D360" s="69">
        <f>SUM(D346:D359)</f>
        <v>266.13</v>
      </c>
      <c r="E360" s="69">
        <f>SUM(E346:E359)</f>
        <v>0</v>
      </c>
      <c r="F360" s="69">
        <f>SUM(F346:F359)</f>
        <v>150</v>
      </c>
      <c r="G360" s="35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71" t="str">
        <f>'2018'!A38</f>
        <v>Gastos Curros</v>
      </c>
      <c r="C362" s="272"/>
      <c r="D362" s="272"/>
      <c r="E362" s="272"/>
      <c r="F362" s="272"/>
      <c r="G362" s="273"/>
    </row>
    <row r="363" spans="2:7" ht="15" customHeight="1" thickBot="1">
      <c r="B363" s="274"/>
      <c r="C363" s="275"/>
      <c r="D363" s="275"/>
      <c r="E363" s="275"/>
      <c r="F363" s="275"/>
      <c r="G363" s="276"/>
    </row>
    <row r="364" spans="2:7">
      <c r="B364" s="279" t="s">
        <v>10</v>
      </c>
      <c r="C364" s="278"/>
      <c r="D364" s="277" t="s">
        <v>11</v>
      </c>
      <c r="E364" s="277"/>
      <c r="F364" s="277"/>
      <c r="G364" s="278"/>
    </row>
    <row r="365" spans="2:7">
      <c r="B365" s="65" t="s">
        <v>32</v>
      </c>
      <c r="C365" s="73" t="s">
        <v>33</v>
      </c>
      <c r="D365" s="65" t="s">
        <v>68</v>
      </c>
      <c r="E365" s="66" t="s">
        <v>69</v>
      </c>
      <c r="F365" s="66" t="s">
        <v>32</v>
      </c>
      <c r="G365" s="73" t="s">
        <v>33</v>
      </c>
    </row>
    <row r="366" spans="2:7">
      <c r="B366" s="67">
        <v>30</v>
      </c>
      <c r="C366" s="37" t="s">
        <v>36</v>
      </c>
      <c r="D366" s="70"/>
      <c r="E366" s="71"/>
      <c r="F366" s="71">
        <f>3.4+4.5+3.8+3.4+3.4+3.5</f>
        <v>22</v>
      </c>
      <c r="G366" s="91" t="s">
        <v>91</v>
      </c>
    </row>
    <row r="367" spans="2:7">
      <c r="B367" s="68"/>
      <c r="C367" s="34"/>
      <c r="D367" s="70"/>
      <c r="E367" s="71"/>
      <c r="F367" s="71"/>
      <c r="G367" s="91" t="s">
        <v>92</v>
      </c>
    </row>
    <row r="368" spans="2:7">
      <c r="B368" s="68"/>
      <c r="C368" s="34"/>
      <c r="D368" s="70"/>
      <c r="E368" s="71">
        <v>12.99</v>
      </c>
      <c r="F368" s="71"/>
      <c r="G368" s="34" t="s">
        <v>272</v>
      </c>
    </row>
    <row r="369" spans="2:7">
      <c r="B369" s="68"/>
      <c r="C369" s="34"/>
      <c r="D369" s="70"/>
      <c r="E369" s="71"/>
      <c r="F369" s="71"/>
      <c r="G369" s="34"/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30</v>
      </c>
      <c r="C380" s="35" t="s">
        <v>66</v>
      </c>
      <c r="D380" s="69">
        <f>SUM(D366:D379)</f>
        <v>0</v>
      </c>
      <c r="E380" s="69">
        <f>SUM(E366:E379)</f>
        <v>12.99</v>
      </c>
      <c r="F380" s="69">
        <f>SUM(F366:F379)</f>
        <v>22</v>
      </c>
      <c r="G380" s="35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71" t="str">
        <f>'2018'!A39</f>
        <v>Dreamed Holidays</v>
      </c>
      <c r="C382" s="272"/>
      <c r="D382" s="272"/>
      <c r="E382" s="272"/>
      <c r="F382" s="272"/>
      <c r="G382" s="273"/>
    </row>
    <row r="383" spans="2:7" ht="15" customHeight="1" thickBot="1">
      <c r="B383" s="274"/>
      <c r="C383" s="275"/>
      <c r="D383" s="275"/>
      <c r="E383" s="275"/>
      <c r="F383" s="275"/>
      <c r="G383" s="276"/>
    </row>
    <row r="384" spans="2:7">
      <c r="B384" s="279" t="s">
        <v>10</v>
      </c>
      <c r="C384" s="278"/>
      <c r="D384" s="277" t="s">
        <v>11</v>
      </c>
      <c r="E384" s="277"/>
      <c r="F384" s="277"/>
      <c r="G384" s="278"/>
    </row>
    <row r="385" spans="2:7">
      <c r="B385" s="65" t="s">
        <v>32</v>
      </c>
      <c r="C385" s="73" t="s">
        <v>33</v>
      </c>
      <c r="D385" s="65" t="s">
        <v>68</v>
      </c>
      <c r="E385" s="66" t="s">
        <v>69</v>
      </c>
      <c r="F385" s="66" t="s">
        <v>32</v>
      </c>
      <c r="G385" s="73" t="s">
        <v>33</v>
      </c>
    </row>
    <row r="386" spans="2:7">
      <c r="B386" s="67">
        <v>10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10</v>
      </c>
      <c r="C400" s="35" t="s">
        <v>66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71" t="str">
        <f>'2018'!A40</f>
        <v>Financieros</v>
      </c>
      <c r="C402" s="272"/>
      <c r="D402" s="272"/>
      <c r="E402" s="272"/>
      <c r="F402" s="272"/>
      <c r="G402" s="273"/>
    </row>
    <row r="403" spans="2:7" ht="15" customHeight="1" thickBot="1">
      <c r="B403" s="274"/>
      <c r="C403" s="275"/>
      <c r="D403" s="275"/>
      <c r="E403" s="275"/>
      <c r="F403" s="275"/>
      <c r="G403" s="276"/>
    </row>
    <row r="404" spans="2:7">
      <c r="B404" s="279" t="s">
        <v>10</v>
      </c>
      <c r="C404" s="278"/>
      <c r="D404" s="277" t="s">
        <v>11</v>
      </c>
      <c r="E404" s="277"/>
      <c r="F404" s="277"/>
      <c r="G404" s="278"/>
    </row>
    <row r="405" spans="2:7">
      <c r="B405" s="65" t="s">
        <v>32</v>
      </c>
      <c r="C405" s="73" t="s">
        <v>33</v>
      </c>
      <c r="D405" s="65" t="s">
        <v>68</v>
      </c>
      <c r="E405" s="66" t="s">
        <v>69</v>
      </c>
      <c r="F405" s="66" t="s">
        <v>32</v>
      </c>
      <c r="G405" s="73" t="s">
        <v>33</v>
      </c>
    </row>
    <row r="406" spans="2:7">
      <c r="B406" s="67">
        <v>1.01</v>
      </c>
      <c r="C406" s="37" t="s">
        <v>209</v>
      </c>
      <c r="D406" s="70">
        <f>30.78+12.1</f>
        <v>42.88</v>
      </c>
      <c r="E406" s="71"/>
      <c r="F406" s="71"/>
      <c r="G406" s="34" t="s">
        <v>238</v>
      </c>
    </row>
    <row r="407" spans="2:7">
      <c r="B407" s="68">
        <f>2831.41-345</f>
        <v>2486.41</v>
      </c>
      <c r="C407" s="34" t="s">
        <v>214</v>
      </c>
      <c r="D407" s="70"/>
      <c r="E407" s="71"/>
      <c r="F407" s="71"/>
      <c r="G407" s="34"/>
    </row>
    <row r="408" spans="2:7">
      <c r="B408" s="68">
        <v>0.05</v>
      </c>
      <c r="C408" s="34" t="s">
        <v>73</v>
      </c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2487.4700000000003</v>
      </c>
      <c r="C420" s="35" t="s">
        <v>66</v>
      </c>
      <c r="D420" s="69">
        <f>SUM(D406:D419)</f>
        <v>42.88</v>
      </c>
      <c r="E420" s="69">
        <f>SUM(E406:E419)</f>
        <v>0</v>
      </c>
      <c r="F420" s="69">
        <f>SUM(F406:F419)</f>
        <v>0</v>
      </c>
      <c r="G420" s="35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71" t="str">
        <f>'2018'!A41</f>
        <v>Ahorros Colchón</v>
      </c>
      <c r="C422" s="272"/>
      <c r="D422" s="272"/>
      <c r="E422" s="272"/>
      <c r="F422" s="272"/>
      <c r="G422" s="273"/>
    </row>
    <row r="423" spans="2:7" ht="15" customHeight="1" thickBot="1">
      <c r="B423" s="274"/>
      <c r="C423" s="275"/>
      <c r="D423" s="275"/>
      <c r="E423" s="275"/>
      <c r="F423" s="275"/>
      <c r="G423" s="276"/>
    </row>
    <row r="424" spans="2:7">
      <c r="B424" s="279" t="s">
        <v>10</v>
      </c>
      <c r="C424" s="278"/>
      <c r="D424" s="277" t="s">
        <v>11</v>
      </c>
      <c r="E424" s="277"/>
      <c r="F424" s="277"/>
      <c r="G424" s="278"/>
    </row>
    <row r="425" spans="2:7">
      <c r="B425" s="65" t="s">
        <v>32</v>
      </c>
      <c r="C425" s="73" t="s">
        <v>33</v>
      </c>
      <c r="D425" s="65" t="s">
        <v>68</v>
      </c>
      <c r="E425" s="66" t="s">
        <v>69</v>
      </c>
      <c r="F425" s="66" t="s">
        <v>32</v>
      </c>
      <c r="G425" s="73" t="s">
        <v>33</v>
      </c>
    </row>
    <row r="426" spans="2:7">
      <c r="B426" s="67">
        <f>-636.14</f>
        <v>-636.14</v>
      </c>
      <c r="C426" s="37" t="s">
        <v>278</v>
      </c>
      <c r="D426" s="70"/>
      <c r="E426" s="71"/>
      <c r="F426" s="71"/>
      <c r="G426" s="34"/>
    </row>
    <row r="427" spans="2:7">
      <c r="B427" s="68"/>
      <c r="C427" s="34"/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-636.14</v>
      </c>
      <c r="C440" s="35" t="s">
        <v>66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71" t="str">
        <f>'2018'!A42</f>
        <v>Dinero Bloqueado</v>
      </c>
      <c r="C442" s="272"/>
      <c r="D442" s="272"/>
      <c r="E442" s="272"/>
      <c r="F442" s="272"/>
      <c r="G442" s="273"/>
    </row>
    <row r="443" spans="2:7" ht="15" customHeight="1" thickBot="1">
      <c r="B443" s="274"/>
      <c r="C443" s="275"/>
      <c r="D443" s="275"/>
      <c r="E443" s="275"/>
      <c r="F443" s="275"/>
      <c r="G443" s="276"/>
    </row>
    <row r="444" spans="2:7">
      <c r="B444" s="279" t="s">
        <v>10</v>
      </c>
      <c r="C444" s="278"/>
      <c r="D444" s="277" t="s">
        <v>11</v>
      </c>
      <c r="E444" s="277"/>
      <c r="F444" s="277"/>
      <c r="G444" s="278"/>
    </row>
    <row r="445" spans="2:7">
      <c r="B445" s="65" t="s">
        <v>32</v>
      </c>
      <c r="C445" s="73" t="s">
        <v>33</v>
      </c>
      <c r="D445" s="65" t="s">
        <v>68</v>
      </c>
      <c r="E445" s="66" t="s">
        <v>69</v>
      </c>
      <c r="F445" s="66" t="s">
        <v>32</v>
      </c>
      <c r="G445" s="73" t="s">
        <v>33</v>
      </c>
    </row>
    <row r="446" spans="2:7">
      <c r="B446" s="67">
        <v>1800.04</v>
      </c>
      <c r="C446" s="37" t="s">
        <v>265</v>
      </c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1800.04</v>
      </c>
      <c r="C460" s="35" t="s">
        <v>66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71" t="str">
        <f>'2018'!A43</f>
        <v>Cartama Finanazas</v>
      </c>
      <c r="C462" s="272"/>
      <c r="D462" s="272"/>
      <c r="E462" s="272"/>
      <c r="F462" s="272"/>
      <c r="G462" s="273"/>
    </row>
    <row r="463" spans="2:7" ht="15" customHeight="1" thickBot="1">
      <c r="B463" s="274"/>
      <c r="C463" s="275"/>
      <c r="D463" s="275"/>
      <c r="E463" s="275"/>
      <c r="F463" s="275"/>
      <c r="G463" s="276"/>
    </row>
    <row r="464" spans="2:7">
      <c r="B464" s="279" t="s">
        <v>10</v>
      </c>
      <c r="C464" s="278"/>
      <c r="D464" s="277" t="s">
        <v>11</v>
      </c>
      <c r="E464" s="277"/>
      <c r="F464" s="277"/>
      <c r="G464" s="278"/>
    </row>
    <row r="465" spans="2:7">
      <c r="B465" s="65" t="s">
        <v>32</v>
      </c>
      <c r="C465" s="73" t="s">
        <v>33</v>
      </c>
      <c r="D465" s="65" t="s">
        <v>68</v>
      </c>
      <c r="E465" s="66" t="s">
        <v>69</v>
      </c>
      <c r="F465" s="66" t="s">
        <v>32</v>
      </c>
      <c r="G465" s="73" t="s">
        <v>33</v>
      </c>
    </row>
    <row r="466" spans="2:7">
      <c r="B466" s="67"/>
      <c r="C466" s="37"/>
      <c r="D466" s="70"/>
      <c r="E466" s="71"/>
      <c r="F466" s="71"/>
      <c r="G466" s="34"/>
    </row>
    <row r="467" spans="2:7">
      <c r="B467" s="68"/>
      <c r="C467" s="34"/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0</v>
      </c>
      <c r="C480" s="35" t="s">
        <v>66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66</v>
      </c>
    </row>
    <row r="481" spans="2:7" ht="15.75" thickBot="1"/>
    <row r="482" spans="2:7" ht="14.45" customHeight="1">
      <c r="B482" s="271" t="str">
        <f>'2018'!A44</f>
        <v>NULO</v>
      </c>
      <c r="C482" s="272"/>
      <c r="D482" s="272"/>
      <c r="E482" s="272"/>
      <c r="F482" s="272"/>
      <c r="G482" s="273"/>
    </row>
    <row r="483" spans="2:7" ht="15" customHeight="1" thickBot="1">
      <c r="B483" s="274"/>
      <c r="C483" s="275"/>
      <c r="D483" s="275"/>
      <c r="E483" s="275"/>
      <c r="F483" s="275"/>
      <c r="G483" s="276"/>
    </row>
    <row r="484" spans="2:7">
      <c r="B484" s="279" t="s">
        <v>10</v>
      </c>
      <c r="C484" s="278"/>
      <c r="D484" s="277" t="s">
        <v>11</v>
      </c>
      <c r="E484" s="277"/>
      <c r="F484" s="277"/>
      <c r="G484" s="278"/>
    </row>
    <row r="485" spans="2:7">
      <c r="B485" s="65" t="s">
        <v>32</v>
      </c>
      <c r="C485" s="73" t="s">
        <v>33</v>
      </c>
      <c r="D485" s="65" t="s">
        <v>68</v>
      </c>
      <c r="E485" s="66" t="s">
        <v>69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66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71" t="str">
        <f>'2018'!A45</f>
        <v>OTROS</v>
      </c>
      <c r="C502" s="272"/>
      <c r="D502" s="272"/>
      <c r="E502" s="272"/>
      <c r="F502" s="272"/>
      <c r="G502" s="273"/>
    </row>
    <row r="503" spans="2:7" ht="15" customHeight="1" thickBot="1">
      <c r="B503" s="274"/>
      <c r="C503" s="275"/>
      <c r="D503" s="275"/>
      <c r="E503" s="275"/>
      <c r="F503" s="275"/>
      <c r="G503" s="276"/>
    </row>
    <row r="504" spans="2:7">
      <c r="B504" s="279" t="s">
        <v>10</v>
      </c>
      <c r="C504" s="278"/>
      <c r="D504" s="277" t="s">
        <v>11</v>
      </c>
      <c r="E504" s="277"/>
      <c r="F504" s="277"/>
      <c r="G504" s="278"/>
    </row>
    <row r="505" spans="2:7">
      <c r="B505" s="65" t="s">
        <v>32</v>
      </c>
      <c r="C505" s="73" t="s">
        <v>33</v>
      </c>
      <c r="D505" s="65" t="s">
        <v>68</v>
      </c>
      <c r="E505" s="66" t="s">
        <v>69</v>
      </c>
      <c r="F505" s="66" t="s">
        <v>32</v>
      </c>
      <c r="G505" s="73" t="s">
        <v>33</v>
      </c>
    </row>
    <row r="506" spans="2:7">
      <c r="B506" s="67">
        <v>10</v>
      </c>
      <c r="C506" s="37"/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>
        <f>SUM(B506:B519)</f>
        <v>10</v>
      </c>
      <c r="C520" s="35"/>
      <c r="D520" s="69"/>
      <c r="E520" s="69"/>
      <c r="F520" s="69"/>
      <c r="G520" s="35"/>
    </row>
  </sheetData>
  <mergeCells count="111">
    <mergeCell ref="K13:L13"/>
    <mergeCell ref="K14:L14"/>
    <mergeCell ref="K8:L8"/>
    <mergeCell ref="K9:L9"/>
    <mergeCell ref="K10:L10"/>
    <mergeCell ref="K11:L11"/>
    <mergeCell ref="K12:L12"/>
    <mergeCell ref="I2:L3"/>
    <mergeCell ref="K4:L4"/>
    <mergeCell ref="K5:L5"/>
    <mergeCell ref="K6:L6"/>
    <mergeCell ref="K7:L7"/>
    <mergeCell ref="K15:L15"/>
    <mergeCell ref="K16:L16"/>
    <mergeCell ref="K17:L17"/>
    <mergeCell ref="B102:G103"/>
    <mergeCell ref="B84:C84"/>
    <mergeCell ref="D44:G44"/>
    <mergeCell ref="K18:L18"/>
    <mergeCell ref="K19:L19"/>
    <mergeCell ref="B44:C44"/>
    <mergeCell ref="B62:G63"/>
    <mergeCell ref="I22:L23"/>
    <mergeCell ref="K24:L24"/>
    <mergeCell ref="K25:L25"/>
    <mergeCell ref="K26:L26"/>
    <mergeCell ref="K27:L27"/>
    <mergeCell ref="K28:L28"/>
    <mergeCell ref="K34:L34"/>
    <mergeCell ref="K35:L35"/>
    <mergeCell ref="K36:L36"/>
    <mergeCell ref="K37:L37"/>
    <mergeCell ref="K38:L38"/>
    <mergeCell ref="K29:L29"/>
    <mergeCell ref="K30:L30"/>
    <mergeCell ref="B2:G3"/>
    <mergeCell ref="B4:C4"/>
    <mergeCell ref="B164:C164"/>
    <mergeCell ref="B324:C324"/>
    <mergeCell ref="D4:G4"/>
    <mergeCell ref="D164:G164"/>
    <mergeCell ref="B162:G163"/>
    <mergeCell ref="B182:G183"/>
    <mergeCell ref="B22:G23"/>
    <mergeCell ref="D24:G24"/>
    <mergeCell ref="D184:G184"/>
    <mergeCell ref="B202:G203"/>
    <mergeCell ref="D204:G204"/>
    <mergeCell ref="D304:G304"/>
    <mergeCell ref="B42:G43"/>
    <mergeCell ref="B24:C24"/>
    <mergeCell ref="B122:G123"/>
    <mergeCell ref="B104:C104"/>
    <mergeCell ref="B304:C304"/>
    <mergeCell ref="B224:C224"/>
    <mergeCell ref="B144:C144"/>
    <mergeCell ref="B142:G143"/>
    <mergeCell ref="B322:G323"/>
    <mergeCell ref="B362:G363"/>
    <mergeCell ref="K31:L31"/>
    <mergeCell ref="K32:L32"/>
    <mergeCell ref="K33:L33"/>
    <mergeCell ref="D144:G144"/>
    <mergeCell ref="B184:C184"/>
    <mergeCell ref="B344:C344"/>
    <mergeCell ref="D244:G244"/>
    <mergeCell ref="B222:G223"/>
    <mergeCell ref="B342:G343"/>
    <mergeCell ref="D344:G344"/>
    <mergeCell ref="D324:G324"/>
    <mergeCell ref="D224:G224"/>
    <mergeCell ref="B262:G263"/>
    <mergeCell ref="D264:G264"/>
    <mergeCell ref="D484:G484"/>
    <mergeCell ref="B502:G503"/>
    <mergeCell ref="D504:G504"/>
    <mergeCell ref="B504:C504"/>
    <mergeCell ref="B484:C484"/>
    <mergeCell ref="B464:C464"/>
    <mergeCell ref="B82:G83"/>
    <mergeCell ref="B64:C64"/>
    <mergeCell ref="D64:G64"/>
    <mergeCell ref="D84:G84"/>
    <mergeCell ref="D104:G104"/>
    <mergeCell ref="B124:C124"/>
    <mergeCell ref="B284:C284"/>
    <mergeCell ref="B264:C264"/>
    <mergeCell ref="B424:C424"/>
    <mergeCell ref="B242:G243"/>
    <mergeCell ref="B244:C244"/>
    <mergeCell ref="B404:C404"/>
    <mergeCell ref="D124:G124"/>
    <mergeCell ref="D424:G424"/>
    <mergeCell ref="B282:G283"/>
    <mergeCell ref="D284:G284"/>
    <mergeCell ref="B302:G303"/>
    <mergeCell ref="B204:C204"/>
    <mergeCell ref="B462:G463"/>
    <mergeCell ref="D464:G464"/>
    <mergeCell ref="B482:G483"/>
    <mergeCell ref="B444:C444"/>
    <mergeCell ref="B442:G443"/>
    <mergeCell ref="D444:G444"/>
    <mergeCell ref="D364:G364"/>
    <mergeCell ref="B382:G383"/>
    <mergeCell ref="D384:G384"/>
    <mergeCell ref="B364:C364"/>
    <mergeCell ref="B384:C384"/>
    <mergeCell ref="B402:G403"/>
    <mergeCell ref="D404:G404"/>
    <mergeCell ref="B422:G423"/>
  </mergeCells>
  <hyperlinks>
    <hyperlink ref="I2" location="Trimestre!C39:F40" display="TELÉFONO" xr:uid="{00000000-0004-0000-0100-000000000000}"/>
    <hyperlink ref="I2:L3" location="'2018'!C4:F4" display="SALDO REAL" xr:uid="{00000000-0004-0000-0100-000001000000}"/>
    <hyperlink ref="I22" location="Trimestre!C39:F40" display="TELÉFONO" xr:uid="{00000000-0004-0000-0100-000002000000}"/>
    <hyperlink ref="I22:L23" location="'2018'!C7:F7" display="INGRESOS" xr:uid="{00000000-0004-0000-0100-000003000000}"/>
    <hyperlink ref="B2" location="Trimestre!C25:F26" display="HIPOTECA" xr:uid="{00000000-0004-0000-0100-000004000000}"/>
    <hyperlink ref="B2:G3" location="'2018'!C20:F20" display="'2018'!C20:F20" xr:uid="{00000000-0004-0000-0100-000005000000}"/>
    <hyperlink ref="B22" location="Trimestre!C25:F26" display="HIPOTECA" xr:uid="{00000000-0004-0000-0100-000006000000}"/>
    <hyperlink ref="B22:G23" location="'2018'!C21:F21" display="'2018'!C21:F21" xr:uid="{00000000-0004-0000-0100-000007000000}"/>
    <hyperlink ref="B42" location="Trimestre!C25:F26" display="HIPOTECA" xr:uid="{00000000-0004-0000-0100-000008000000}"/>
    <hyperlink ref="B42:G43" location="'2018'!C22:F22" display="'2018'!C22:F22" xr:uid="{00000000-0004-0000-0100-000009000000}"/>
    <hyperlink ref="B62" location="Trimestre!C25:F26" display="HIPOTECA" xr:uid="{00000000-0004-0000-0100-00000A000000}"/>
    <hyperlink ref="B62:G63" location="'2018'!C23:F23" display="'2018'!C23:F23" xr:uid="{00000000-0004-0000-0100-00000B000000}"/>
    <hyperlink ref="B82" location="Trimestre!C25:F26" display="HIPOTECA" xr:uid="{00000000-0004-0000-0100-00000C000000}"/>
    <hyperlink ref="B82:G83" location="'2018'!C24:F24" display="'2018'!C24:F24" xr:uid="{00000000-0004-0000-0100-00000D000000}"/>
    <hyperlink ref="B102" location="Trimestre!C25:F26" display="HIPOTECA" xr:uid="{00000000-0004-0000-0100-00000E000000}"/>
    <hyperlink ref="B102:G103" location="'2018'!C25:F25" display="'2018'!C25:F25" xr:uid="{00000000-0004-0000-0100-00000F000000}"/>
    <hyperlink ref="B122" location="Trimestre!C25:F26" display="HIPOTECA" xr:uid="{00000000-0004-0000-0100-000010000000}"/>
    <hyperlink ref="B122:G123" location="'2018'!C26:F26" display="'2018'!C26:F26" xr:uid="{00000000-0004-0000-0100-000011000000}"/>
    <hyperlink ref="B142" location="Trimestre!C25:F26" display="HIPOTECA" xr:uid="{00000000-0004-0000-0100-000012000000}"/>
    <hyperlink ref="B142:G143" location="'2018'!C27:F27" display="'2018'!C27:F27" xr:uid="{00000000-0004-0000-0100-000013000000}"/>
    <hyperlink ref="B162" location="Trimestre!C25:F26" display="HIPOTECA" xr:uid="{00000000-0004-0000-0100-000014000000}"/>
    <hyperlink ref="B162:G163" location="'2018'!C28:F28" display="'2018'!C28:F28" xr:uid="{00000000-0004-0000-0100-000015000000}"/>
    <hyperlink ref="B182" location="Trimestre!C25:F26" display="HIPOTECA" xr:uid="{00000000-0004-0000-0100-000016000000}"/>
    <hyperlink ref="B182:G183" location="'2018'!C29:F29" display="'2018'!C29:F29" xr:uid="{00000000-0004-0000-0100-000017000000}"/>
    <hyperlink ref="B202" location="Trimestre!C25:F26" display="HIPOTECA" xr:uid="{00000000-0004-0000-0100-000018000000}"/>
    <hyperlink ref="B202:G203" location="'2018'!C30:F30" display="'2018'!C30:F30" xr:uid="{00000000-0004-0000-0100-000019000000}"/>
    <hyperlink ref="B222" location="Trimestre!C25:F26" display="HIPOTECA" xr:uid="{00000000-0004-0000-0100-00001A000000}"/>
    <hyperlink ref="B222:G223" location="'2018'!C31:F31" display="'2018'!C31:F31" xr:uid="{00000000-0004-0000-0100-00001B000000}"/>
    <hyperlink ref="B242" location="Trimestre!C25:F26" display="HIPOTECA" xr:uid="{00000000-0004-0000-0100-00001C000000}"/>
    <hyperlink ref="B242:G243" location="'2018'!C32:F32" display="'2018'!C32:F32" xr:uid="{00000000-0004-0000-0100-00001D000000}"/>
    <hyperlink ref="B262" location="Trimestre!C25:F26" display="HIPOTECA" xr:uid="{00000000-0004-0000-0100-00001E000000}"/>
    <hyperlink ref="B262:G263" location="'2018'!C33:F33" display="'2018'!C33:F33" xr:uid="{00000000-0004-0000-0100-00001F000000}"/>
    <hyperlink ref="B282" location="Trimestre!C25:F26" display="HIPOTECA" xr:uid="{00000000-0004-0000-0100-000020000000}"/>
    <hyperlink ref="B282:G283" location="'2018'!C34:F34" display="'2018'!C34:F34" xr:uid="{00000000-0004-0000-0100-000021000000}"/>
    <hyperlink ref="B302" location="Trimestre!C25:F26" display="HIPOTECA" xr:uid="{00000000-0004-0000-0100-000022000000}"/>
    <hyperlink ref="B302:G303" location="'2018'!C35:F35" display="'2018'!C35:F35" xr:uid="{00000000-0004-0000-0100-000023000000}"/>
    <hyperlink ref="B322" location="Trimestre!C25:F26" display="HIPOTECA" xr:uid="{00000000-0004-0000-0100-000024000000}"/>
    <hyperlink ref="B322:G323" location="'2018'!C36:F36" display="'2018'!C36:F36" xr:uid="{00000000-0004-0000-0100-000025000000}"/>
    <hyperlink ref="B342" location="Trimestre!C25:F26" display="HIPOTECA" xr:uid="{00000000-0004-0000-0100-000026000000}"/>
    <hyperlink ref="B342:G343" location="'2018'!C37:F37" display="'2018'!C37:F37" xr:uid="{00000000-0004-0000-0100-000027000000}"/>
    <hyperlink ref="B362" location="Trimestre!C25:F26" display="HIPOTECA" xr:uid="{00000000-0004-0000-0100-000028000000}"/>
    <hyperlink ref="B362:G363" location="'2018'!C38:F38" display="'2018'!C38:F38" xr:uid="{00000000-0004-0000-0100-000029000000}"/>
    <hyperlink ref="B382" location="Trimestre!C25:F26" display="HIPOTECA" xr:uid="{00000000-0004-0000-0100-00002A000000}"/>
    <hyperlink ref="B382:G383" location="'2018'!C39:F39" display="'2018'!C39:F39" xr:uid="{00000000-0004-0000-0100-00002B000000}"/>
    <hyperlink ref="B402" location="Trimestre!C25:F26" display="HIPOTECA" xr:uid="{00000000-0004-0000-0100-00002C000000}"/>
    <hyperlink ref="B402:G403" location="'2018'!C40:F40" display="'2018'!C40:F40" xr:uid="{00000000-0004-0000-0100-00002D000000}"/>
    <hyperlink ref="B422" location="Trimestre!C25:F26" display="HIPOTECA" xr:uid="{00000000-0004-0000-0100-00002E000000}"/>
    <hyperlink ref="B422:G423" location="'2018'!C41:F41" display="'2018'!C41:F41" xr:uid="{00000000-0004-0000-0100-00002F000000}"/>
    <hyperlink ref="B442" location="Trimestre!C25:F26" display="HIPOTECA" xr:uid="{00000000-0004-0000-0100-000030000000}"/>
    <hyperlink ref="B442:G443" location="'2018'!C42:F42" display="'2018'!C42:F42" xr:uid="{00000000-0004-0000-0100-000031000000}"/>
    <hyperlink ref="B462" location="Trimestre!C25:F26" display="HIPOTECA" xr:uid="{00000000-0004-0000-0100-000032000000}"/>
    <hyperlink ref="B462:G463" location="'2018'!C43:F43" display="'2018'!C43:F43" xr:uid="{00000000-0004-0000-0100-000033000000}"/>
    <hyperlink ref="B482" location="Trimestre!C25:F26" display="HIPOTECA" xr:uid="{00000000-0004-0000-0100-000034000000}"/>
    <hyperlink ref="B482:G483" location="'2018'!C44:F44" display="'2018'!C44:F44" xr:uid="{00000000-0004-0000-0100-000035000000}"/>
    <hyperlink ref="B502" location="Trimestre!C25:F26" display="HIPOTECA" xr:uid="{00000000-0004-0000-0100-000036000000}"/>
    <hyperlink ref="B502:G503" location="'2018'!C45:F45" display="'2018'!C45:F45" xr:uid="{00000000-0004-0000-0100-000037000000}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520"/>
  <sheetViews>
    <sheetView topLeftCell="B2" workbookViewId="0">
      <selection activeCell="E19" sqref="E19"/>
    </sheetView>
  </sheetViews>
  <sheetFormatPr defaultColWidth="11.42578125" defaultRowHeight="15"/>
  <cols>
    <col min="1" max="1" width="11.42578125" style="175"/>
    <col min="2" max="2" width="10" style="175" customWidth="1"/>
    <col min="3" max="3" width="33.28515625" style="175" customWidth="1"/>
    <col min="4" max="6" width="10" style="175" customWidth="1"/>
    <col min="7" max="7" width="33.28515625" style="175" customWidth="1"/>
    <col min="8" max="9" width="11.42578125" style="175"/>
    <col min="10" max="10" width="31.28515625" style="175" customWidth="1"/>
    <col min="11" max="16384" width="11.42578125" style="175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71" t="str">
        <f>'2018'!A20</f>
        <v>Cártama Gastos</v>
      </c>
      <c r="C2" s="272"/>
      <c r="D2" s="272"/>
      <c r="E2" s="272"/>
      <c r="F2" s="272"/>
      <c r="G2" s="273"/>
      <c r="H2" s="1"/>
      <c r="I2" s="284" t="s">
        <v>4</v>
      </c>
      <c r="J2" s="272"/>
      <c r="K2" s="272"/>
      <c r="L2" s="273"/>
      <c r="M2" s="1"/>
      <c r="N2" s="1"/>
      <c r="R2" s="3"/>
    </row>
    <row r="3" spans="1:22" ht="16.5" thickBot="1">
      <c r="A3" s="1"/>
      <c r="B3" s="274"/>
      <c r="C3" s="275"/>
      <c r="D3" s="275"/>
      <c r="E3" s="275"/>
      <c r="F3" s="275"/>
      <c r="G3" s="276"/>
      <c r="H3" s="1"/>
      <c r="I3" s="274"/>
      <c r="J3" s="275"/>
      <c r="K3" s="275"/>
      <c r="L3" s="276"/>
      <c r="M3" s="1"/>
      <c r="N3" s="1"/>
      <c r="R3" s="3"/>
    </row>
    <row r="4" spans="1:22" ht="15.75">
      <c r="A4" s="1"/>
      <c r="B4" s="279" t="s">
        <v>10</v>
      </c>
      <c r="C4" s="278"/>
      <c r="D4" s="277" t="s">
        <v>11</v>
      </c>
      <c r="E4" s="277"/>
      <c r="F4" s="277"/>
      <c r="G4" s="278"/>
      <c r="H4" s="1"/>
      <c r="I4" s="32" t="s">
        <v>70</v>
      </c>
      <c r="J4" s="33" t="s">
        <v>71</v>
      </c>
      <c r="K4" s="285" t="s">
        <v>72</v>
      </c>
      <c r="L4" s="286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68</v>
      </c>
      <c r="E5" s="66" t="s">
        <v>69</v>
      </c>
      <c r="F5" s="66" t="s">
        <v>32</v>
      </c>
      <c r="G5" s="73" t="s">
        <v>33</v>
      </c>
      <c r="H5" s="1"/>
      <c r="I5" s="74" t="s">
        <v>73</v>
      </c>
      <c r="J5" s="3" t="s">
        <v>74</v>
      </c>
      <c r="K5" s="287">
        <v>1295.79</v>
      </c>
      <c r="L5" s="288"/>
      <c r="M5" s="117"/>
      <c r="N5" s="1"/>
      <c r="R5" s="3"/>
    </row>
    <row r="6" spans="1:22" ht="15.75">
      <c r="A6" s="1"/>
      <c r="B6" s="67">
        <v>401</v>
      </c>
      <c r="C6" s="37" t="s">
        <v>34</v>
      </c>
      <c r="D6" s="70"/>
      <c r="E6" s="71">
        <v>400.38</v>
      </c>
      <c r="F6" s="71"/>
      <c r="G6" s="34" t="s">
        <v>35</v>
      </c>
      <c r="H6" s="1"/>
      <c r="I6" s="75" t="s">
        <v>73</v>
      </c>
      <c r="J6" s="36" t="s">
        <v>75</v>
      </c>
      <c r="K6" s="280">
        <v>379.61</v>
      </c>
      <c r="L6" s="281"/>
      <c r="M6" s="1" t="s">
        <v>267</v>
      </c>
      <c r="N6" s="1"/>
      <c r="R6" s="3"/>
    </row>
    <row r="7" spans="1:22" ht="15.75">
      <c r="A7" s="1"/>
      <c r="B7" s="68">
        <v>56</v>
      </c>
      <c r="C7" s="34" t="s">
        <v>100</v>
      </c>
      <c r="D7" s="70"/>
      <c r="E7" s="71"/>
      <c r="F7" s="71"/>
      <c r="G7" s="34" t="s">
        <v>106</v>
      </c>
      <c r="H7" s="1"/>
      <c r="I7" s="75" t="s">
        <v>76</v>
      </c>
      <c r="J7" s="36" t="s">
        <v>77</v>
      </c>
      <c r="K7" s="280">
        <v>7271.78</v>
      </c>
      <c r="L7" s="281"/>
      <c r="M7" s="1"/>
      <c r="N7" s="1"/>
      <c r="R7" s="3"/>
    </row>
    <row r="8" spans="1:22" ht="15.75">
      <c r="A8" s="1"/>
      <c r="B8" s="68">
        <v>0</v>
      </c>
      <c r="C8" s="34" t="s">
        <v>38</v>
      </c>
      <c r="D8" s="70"/>
      <c r="E8" s="175">
        <v>119.41</v>
      </c>
      <c r="F8" s="71"/>
      <c r="G8" s="34" t="s">
        <v>38</v>
      </c>
      <c r="H8" s="1"/>
      <c r="I8" s="75" t="s">
        <v>76</v>
      </c>
      <c r="J8" s="36" t="s">
        <v>78</v>
      </c>
      <c r="K8" s="280">
        <v>9090.56</v>
      </c>
      <c r="L8" s="281"/>
      <c r="M8" s="1"/>
      <c r="N8" s="1"/>
      <c r="R8" s="3"/>
    </row>
    <row r="9" spans="1:22" ht="15.75">
      <c r="A9" s="1"/>
      <c r="B9" s="68">
        <v>0</v>
      </c>
      <c r="C9" s="34" t="s">
        <v>40</v>
      </c>
      <c r="D9" s="70"/>
      <c r="E9" s="71"/>
      <c r="F9" s="71"/>
      <c r="G9" s="34" t="s">
        <v>40</v>
      </c>
      <c r="H9" s="1"/>
      <c r="I9" s="75" t="s">
        <v>76</v>
      </c>
      <c r="J9" s="36" t="s">
        <v>268</v>
      </c>
      <c r="K9" s="280">
        <v>69.22</v>
      </c>
      <c r="L9" s="281"/>
      <c r="M9" s="1"/>
      <c r="N9" s="1"/>
      <c r="R9" s="3"/>
    </row>
    <row r="10" spans="1:22" ht="15.75">
      <c r="A10" s="1"/>
      <c r="B10" s="68">
        <v>12</v>
      </c>
      <c r="C10" s="34" t="s">
        <v>39</v>
      </c>
      <c r="D10" s="70"/>
      <c r="E10" s="71">
        <v>12</v>
      </c>
      <c r="F10" s="71"/>
      <c r="G10" s="34" t="s">
        <v>39</v>
      </c>
      <c r="H10" s="1"/>
      <c r="I10" s="75" t="s">
        <v>76</v>
      </c>
      <c r="J10" s="36" t="s">
        <v>115</v>
      </c>
      <c r="K10" s="280">
        <v>1800.04</v>
      </c>
      <c r="L10" s="281"/>
      <c r="M10" s="1" t="s">
        <v>266</v>
      </c>
      <c r="N10" s="1"/>
      <c r="R10" s="3"/>
    </row>
    <row r="11" spans="1:22" ht="15.75">
      <c r="A11" s="1"/>
      <c r="B11" s="68">
        <v>31</v>
      </c>
      <c r="C11" s="34" t="s">
        <v>37</v>
      </c>
      <c r="D11" s="70"/>
      <c r="E11" s="71">
        <v>30.24</v>
      </c>
      <c r="F11" s="71"/>
      <c r="G11" s="34" t="s">
        <v>37</v>
      </c>
      <c r="H11" s="1"/>
      <c r="I11" s="75" t="s">
        <v>93</v>
      </c>
      <c r="J11" s="36" t="s">
        <v>94</v>
      </c>
      <c r="K11" s="280">
        <f>290+20</f>
        <v>310</v>
      </c>
      <c r="L11" s="281"/>
      <c r="M11" s="1"/>
      <c r="N11" s="1"/>
      <c r="R11" s="3"/>
    </row>
    <row r="12" spans="1:22" ht="15.75">
      <c r="A12" s="1"/>
      <c r="B12" s="68">
        <v>120</v>
      </c>
      <c r="C12" s="34" t="s">
        <v>195</v>
      </c>
      <c r="D12" s="70"/>
      <c r="E12" s="71">
        <v>43.62</v>
      </c>
      <c r="F12" s="71"/>
      <c r="G12" s="34" t="s">
        <v>225</v>
      </c>
      <c r="H12" s="1"/>
      <c r="I12" s="75"/>
      <c r="J12" s="36"/>
      <c r="K12" s="280"/>
      <c r="L12" s="281"/>
      <c r="N12" s="1"/>
      <c r="R12" s="3"/>
    </row>
    <row r="13" spans="1:22" ht="15.75">
      <c r="A13" s="1"/>
      <c r="B13" s="68">
        <v>55</v>
      </c>
      <c r="C13" s="34" t="s">
        <v>196</v>
      </c>
      <c r="D13" s="70"/>
      <c r="E13" s="71"/>
      <c r="F13" s="71"/>
      <c r="G13" s="34"/>
      <c r="H13" s="1"/>
      <c r="I13" s="75"/>
      <c r="J13" s="36"/>
      <c r="K13" s="280"/>
      <c r="L13" s="281"/>
      <c r="M13" s="1"/>
      <c r="N13" s="1"/>
      <c r="R13" s="3"/>
    </row>
    <row r="14" spans="1:22" ht="15.75">
      <c r="A14" s="1"/>
      <c r="B14" s="68">
        <v>25</v>
      </c>
      <c r="C14" s="34" t="s">
        <v>207</v>
      </c>
      <c r="D14" s="70"/>
      <c r="E14" s="71"/>
      <c r="F14" s="71"/>
      <c r="G14" s="34"/>
      <c r="H14" s="1"/>
      <c r="I14" s="75"/>
      <c r="J14" s="36"/>
      <c r="K14" s="280"/>
      <c r="L14" s="281"/>
      <c r="M14" s="1"/>
      <c r="N14" s="1"/>
      <c r="R14" s="3"/>
    </row>
    <row r="15" spans="1:22" ht="15.75">
      <c r="A15" s="1"/>
      <c r="B15" s="68"/>
      <c r="C15" s="34"/>
      <c r="D15" s="70"/>
      <c r="E15" s="71"/>
      <c r="F15" s="71"/>
      <c r="G15" s="34"/>
      <c r="H15" s="1"/>
      <c r="I15" s="75"/>
      <c r="J15" s="36"/>
      <c r="K15" s="280"/>
      <c r="L15" s="281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75"/>
      <c r="J16" s="36"/>
      <c r="K16" s="280"/>
      <c r="L16" s="281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75"/>
      <c r="J17" s="36"/>
      <c r="K17" s="280"/>
      <c r="L17" s="281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76"/>
      <c r="J18" s="38"/>
      <c r="K18" s="282"/>
      <c r="L18" s="283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83</v>
      </c>
      <c r="J19" s="38"/>
      <c r="K19" s="282">
        <f>SUM(K5:K18)</f>
        <v>20217</v>
      </c>
      <c r="L19" s="283"/>
      <c r="M19" s="1"/>
      <c r="N19" s="1"/>
      <c r="R19" s="3"/>
    </row>
    <row r="20" spans="1:18" ht="16.5" thickBot="1">
      <c r="A20" s="1"/>
      <c r="B20" s="69">
        <f>SUM(B6:B19)</f>
        <v>700</v>
      </c>
      <c r="C20" s="35" t="s">
        <v>66</v>
      </c>
      <c r="D20" s="69">
        <f>SUM(D6:D19)</f>
        <v>0</v>
      </c>
      <c r="E20" s="69">
        <f>SUM(E6:E19)</f>
        <v>605.65</v>
      </c>
      <c r="F20" s="69">
        <f>SUM(F6:F19)</f>
        <v>0</v>
      </c>
      <c r="G20" s="35" t="s">
        <v>66</v>
      </c>
      <c r="H20" s="1"/>
      <c r="I20" s="175" t="s">
        <v>116</v>
      </c>
      <c r="L20" s="178">
        <f>K19-K10</f>
        <v>18416.96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71" t="str">
        <f>'2018'!A21</f>
        <v>Waterloo</v>
      </c>
      <c r="C22" s="272"/>
      <c r="D22" s="272"/>
      <c r="E22" s="272"/>
      <c r="F22" s="272"/>
      <c r="G22" s="273"/>
      <c r="H22" s="1"/>
      <c r="I22" s="284" t="s">
        <v>6</v>
      </c>
      <c r="J22" s="272"/>
      <c r="K22" s="272"/>
      <c r="L22" s="273"/>
      <c r="M22" s="1"/>
      <c r="R22" s="3"/>
    </row>
    <row r="23" spans="1:18" ht="16.149999999999999" customHeight="1" thickBot="1">
      <c r="A23" s="1"/>
      <c r="B23" s="274"/>
      <c r="C23" s="275"/>
      <c r="D23" s="275"/>
      <c r="E23" s="275"/>
      <c r="F23" s="275"/>
      <c r="G23" s="276"/>
      <c r="H23" s="1"/>
      <c r="I23" s="274"/>
      <c r="J23" s="275"/>
      <c r="K23" s="275"/>
      <c r="L23" s="276"/>
      <c r="M23" s="1"/>
      <c r="R23" s="3"/>
    </row>
    <row r="24" spans="1:18" ht="15.75">
      <c r="A24" s="1"/>
      <c r="B24" s="279" t="s">
        <v>10</v>
      </c>
      <c r="C24" s="278"/>
      <c r="D24" s="277" t="s">
        <v>11</v>
      </c>
      <c r="E24" s="277"/>
      <c r="F24" s="277"/>
      <c r="G24" s="278"/>
      <c r="H24" s="1"/>
      <c r="I24" s="124" t="s">
        <v>33</v>
      </c>
      <c r="J24" s="33" t="s">
        <v>133</v>
      </c>
      <c r="K24" s="285" t="s">
        <v>134</v>
      </c>
      <c r="L24" s="286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68</v>
      </c>
      <c r="E25" s="66" t="s">
        <v>69</v>
      </c>
      <c r="F25" s="66" t="s">
        <v>32</v>
      </c>
      <c r="G25" s="73" t="s">
        <v>33</v>
      </c>
      <c r="H25" s="1"/>
      <c r="I25" s="190">
        <v>2</v>
      </c>
      <c r="J25" s="36" t="s">
        <v>279</v>
      </c>
      <c r="K25" s="280">
        <v>176.46</v>
      </c>
      <c r="L25" s="281"/>
      <c r="M25" s="1"/>
      <c r="R25" s="3"/>
    </row>
    <row r="26" spans="1:18" ht="15.75">
      <c r="A26" s="1"/>
      <c r="B26" s="67">
        <v>900</v>
      </c>
      <c r="C26" s="79" t="s">
        <v>42</v>
      </c>
      <c r="D26" s="70">
        <v>900</v>
      </c>
      <c r="E26" s="71"/>
      <c r="F26" s="71"/>
      <c r="G26" s="34" t="s">
        <v>42</v>
      </c>
      <c r="H26" s="1"/>
      <c r="I26" s="190">
        <v>9</v>
      </c>
      <c r="J26" s="36" t="s">
        <v>280</v>
      </c>
      <c r="K26" s="280">
        <v>47.52</v>
      </c>
      <c r="L26" s="281"/>
      <c r="M26" s="1"/>
      <c r="R26" s="3"/>
    </row>
    <row r="27" spans="1:18" ht="15.75">
      <c r="A27" s="1"/>
      <c r="B27" s="68">
        <v>200</v>
      </c>
      <c r="C27" s="79" t="s">
        <v>44</v>
      </c>
      <c r="D27" s="70">
        <v>151.16999999999999</v>
      </c>
      <c r="E27" s="71"/>
      <c r="F27" s="71"/>
      <c r="G27" s="34" t="s">
        <v>44</v>
      </c>
      <c r="H27" s="1"/>
      <c r="I27" s="190">
        <v>6</v>
      </c>
      <c r="J27" s="36" t="s">
        <v>224</v>
      </c>
      <c r="K27" s="280">
        <v>93.93</v>
      </c>
      <c r="L27" s="281"/>
      <c r="M27" s="1"/>
      <c r="R27" s="3"/>
    </row>
    <row r="28" spans="1:18" ht="15.75">
      <c r="A28" s="1"/>
      <c r="B28" s="68">
        <v>40</v>
      </c>
      <c r="C28" s="79" t="s">
        <v>45</v>
      </c>
      <c r="D28" s="70"/>
      <c r="E28" s="71"/>
      <c r="F28" s="71"/>
      <c r="G28" s="34" t="s">
        <v>45</v>
      </c>
      <c r="H28" s="1"/>
      <c r="I28" s="190">
        <v>5</v>
      </c>
      <c r="J28" s="36" t="s">
        <v>310</v>
      </c>
      <c r="K28" s="280">
        <v>447.43</v>
      </c>
      <c r="L28" s="281"/>
      <c r="M28" s="1"/>
      <c r="R28" s="3"/>
    </row>
    <row r="29" spans="1:18" ht="15.75">
      <c r="A29" s="1"/>
      <c r="B29" s="68">
        <v>18</v>
      </c>
      <c r="C29" s="79" t="s">
        <v>41</v>
      </c>
      <c r="D29" s="70">
        <v>17.46</v>
      </c>
      <c r="E29" s="71"/>
      <c r="F29" s="71"/>
      <c r="G29" s="34" t="s">
        <v>41</v>
      </c>
      <c r="H29" s="1"/>
      <c r="I29" s="190">
        <v>1</v>
      </c>
      <c r="J29" s="36" t="s">
        <v>313</v>
      </c>
      <c r="K29" s="280">
        <v>1638.24</v>
      </c>
      <c r="L29" s="281"/>
      <c r="M29" s="1"/>
      <c r="R29" s="3"/>
    </row>
    <row r="30" spans="1:18" ht="15.75">
      <c r="A30" s="1"/>
      <c r="B30" s="68">
        <v>47.52</v>
      </c>
      <c r="C30" s="79" t="s">
        <v>281</v>
      </c>
      <c r="D30" s="70"/>
      <c r="E30" s="71"/>
      <c r="F30" s="71"/>
      <c r="G30" s="34"/>
      <c r="H30" s="1"/>
      <c r="I30" s="190"/>
      <c r="J30" s="36"/>
      <c r="K30" s="280"/>
      <c r="L30" s="281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90"/>
      <c r="J31" s="36"/>
      <c r="K31" s="280"/>
      <c r="L31" s="281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90"/>
      <c r="J32" s="36"/>
      <c r="K32" s="280"/>
      <c r="L32" s="281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90"/>
      <c r="J33" s="36"/>
      <c r="K33" s="280"/>
      <c r="L33" s="281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90"/>
      <c r="J34" s="36"/>
      <c r="K34" s="280"/>
      <c r="L34" s="281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90"/>
      <c r="J35" s="36"/>
      <c r="K35" s="280"/>
      <c r="L35" s="281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90"/>
      <c r="J36" s="36"/>
      <c r="K36" s="280"/>
      <c r="L36" s="281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90"/>
      <c r="J37" s="36"/>
      <c r="K37" s="280"/>
      <c r="L37" s="281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191"/>
      <c r="J38" s="38"/>
      <c r="K38" s="282"/>
      <c r="L38" s="283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1205.52</v>
      </c>
      <c r="C40" s="35" t="s">
        <v>66</v>
      </c>
      <c r="D40" s="69">
        <f>SUM(D26:D39)</f>
        <v>1068.6300000000001</v>
      </c>
      <c r="E40" s="69">
        <f>SUM(E26:E39)</f>
        <v>0</v>
      </c>
      <c r="F40" s="69">
        <f>SUM(F26:F39)</f>
        <v>0</v>
      </c>
      <c r="G40" s="35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71" t="str">
        <f>'2018'!A22</f>
        <v>Comida+Limpieza</v>
      </c>
      <c r="C42" s="272"/>
      <c r="D42" s="272"/>
      <c r="E42" s="272"/>
      <c r="F42" s="272"/>
      <c r="G42" s="273"/>
      <c r="H42" s="1"/>
      <c r="M42" s="1"/>
      <c r="R42" s="3"/>
    </row>
    <row r="43" spans="1:18" ht="16.149999999999999" customHeight="1" thickBot="1">
      <c r="A43" s="1"/>
      <c r="B43" s="274"/>
      <c r="C43" s="275"/>
      <c r="D43" s="275"/>
      <c r="E43" s="275"/>
      <c r="F43" s="275"/>
      <c r="G43" s="276"/>
      <c r="H43" s="1"/>
      <c r="M43" s="1"/>
      <c r="R43" s="3"/>
    </row>
    <row r="44" spans="1:18" ht="15.75">
      <c r="A44" s="1"/>
      <c r="B44" s="279" t="s">
        <v>10</v>
      </c>
      <c r="C44" s="278"/>
      <c r="D44" s="277" t="s">
        <v>11</v>
      </c>
      <c r="E44" s="277"/>
      <c r="F44" s="277"/>
      <c r="G44" s="278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68</v>
      </c>
      <c r="E45" s="66" t="s">
        <v>69</v>
      </c>
      <c r="F45" s="66" t="s">
        <v>32</v>
      </c>
      <c r="G45" s="73" t="s">
        <v>33</v>
      </c>
      <c r="H45" s="1"/>
      <c r="M45" s="1"/>
      <c r="R45" s="3"/>
    </row>
    <row r="46" spans="1:18" ht="15.75">
      <c r="A46" s="1"/>
      <c r="B46" s="67">
        <v>360</v>
      </c>
      <c r="C46" s="37"/>
      <c r="D46" s="70">
        <f>159.38+43.55</f>
        <v>202.93</v>
      </c>
      <c r="E46" s="71"/>
      <c r="F46" s="71"/>
      <c r="G46" s="90" t="s">
        <v>47</v>
      </c>
      <c r="H46" s="1"/>
      <c r="M46" s="1"/>
      <c r="R46" s="3"/>
    </row>
    <row r="47" spans="1:18" ht="15.75">
      <c r="A47" s="1"/>
      <c r="B47" s="68">
        <v>20</v>
      </c>
      <c r="C47" s="34" t="s">
        <v>110</v>
      </c>
      <c r="D47" s="70"/>
      <c r="E47" s="71"/>
      <c r="F47" s="71"/>
      <c r="G47" s="34" t="s">
        <v>48</v>
      </c>
      <c r="H47" s="1"/>
      <c r="M47" s="1"/>
      <c r="R47" s="3"/>
    </row>
    <row r="48" spans="1:18" ht="15.75">
      <c r="A48" s="1"/>
      <c r="B48" s="68">
        <v>20</v>
      </c>
      <c r="C48" s="34" t="s">
        <v>260</v>
      </c>
      <c r="D48" s="70">
        <f>19.12+24.23+26.6</f>
        <v>69.95</v>
      </c>
      <c r="E48" s="71"/>
      <c r="F48" s="71"/>
      <c r="G48" s="34" t="s">
        <v>84</v>
      </c>
      <c r="H48" s="1"/>
      <c r="M48" s="1"/>
      <c r="R48" s="3"/>
    </row>
    <row r="49" spans="1:18" ht="15.75">
      <c r="A49" s="1"/>
      <c r="B49" s="68"/>
      <c r="C49" s="34"/>
      <c r="D49" s="70">
        <v>6.86</v>
      </c>
      <c r="E49" s="71"/>
      <c r="F49" s="71"/>
      <c r="G49" s="34" t="s">
        <v>49</v>
      </c>
      <c r="H49" s="1"/>
      <c r="M49" s="1"/>
      <c r="R49" s="3"/>
    </row>
    <row r="50" spans="1:18" ht="15.75">
      <c r="A50" s="1"/>
      <c r="B50" s="68"/>
      <c r="C50" s="34"/>
      <c r="D50" s="70"/>
      <c r="E50" s="71"/>
      <c r="F50" s="71"/>
      <c r="G50" s="34" t="s">
        <v>85</v>
      </c>
      <c r="H50" s="1"/>
      <c r="M50" s="1"/>
      <c r="R50" s="3"/>
    </row>
    <row r="51" spans="1:18" ht="15.75">
      <c r="A51" s="1"/>
      <c r="B51" s="68"/>
      <c r="C51" s="34"/>
      <c r="D51" s="70">
        <f>17.79</f>
        <v>17.79</v>
      </c>
      <c r="E51" s="71"/>
      <c r="F51" s="71"/>
      <c r="G51" s="34" t="s">
        <v>86</v>
      </c>
      <c r="H51" s="1"/>
      <c r="M51" s="1"/>
      <c r="R51" s="3"/>
    </row>
    <row r="52" spans="1:18" ht="15.75">
      <c r="A52" s="1"/>
      <c r="B52" s="68"/>
      <c r="C52" s="34"/>
      <c r="D52" s="70"/>
      <c r="E52" s="71"/>
      <c r="F52" s="71"/>
      <c r="G52" s="34" t="s">
        <v>98</v>
      </c>
      <c r="H52" s="1"/>
      <c r="M52" s="1"/>
      <c r="R52" s="3"/>
    </row>
    <row r="53" spans="1:18" ht="15.75">
      <c r="A53" s="1"/>
      <c r="B53" s="68"/>
      <c r="C53" s="34"/>
      <c r="D53" s="70">
        <f>53.39+12.38</f>
        <v>65.77</v>
      </c>
      <c r="E53" s="71"/>
      <c r="F53" s="71"/>
      <c r="G53" s="34" t="s">
        <v>111</v>
      </c>
      <c r="H53" s="1"/>
      <c r="M53" s="1"/>
      <c r="R53" s="3"/>
    </row>
    <row r="54" spans="1:18" ht="15.75">
      <c r="A54" s="1"/>
      <c r="B54" s="68"/>
      <c r="C54" s="34"/>
      <c r="D54" s="70">
        <f>130.1-55</f>
        <v>75.099999999999994</v>
      </c>
      <c r="E54" s="71"/>
      <c r="F54" s="71"/>
      <c r="G54" s="34" t="s">
        <v>291</v>
      </c>
      <c r="H54" s="1"/>
      <c r="M54" s="1"/>
      <c r="R54" s="3"/>
    </row>
    <row r="55" spans="1:18" ht="15.75">
      <c r="A55" s="1"/>
      <c r="B55" s="68"/>
      <c r="C55" s="34"/>
      <c r="D55" s="70"/>
      <c r="E55" s="71"/>
      <c r="F55" s="71"/>
      <c r="G55" s="34"/>
      <c r="H55" s="1"/>
      <c r="M55" s="1"/>
      <c r="R55" s="3"/>
    </row>
    <row r="56" spans="1:18" ht="15.75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/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400</v>
      </c>
      <c r="C60" s="35" t="s">
        <v>66</v>
      </c>
      <c r="D60" s="69">
        <f>SUM(D46:D59)</f>
        <v>438.4</v>
      </c>
      <c r="E60" s="69">
        <f>SUM(E46:E59)</f>
        <v>0</v>
      </c>
      <c r="F60" s="69">
        <f>SUM(F46:F59)</f>
        <v>0</v>
      </c>
      <c r="G60" s="35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71" t="str">
        <f>'2018'!A23</f>
        <v>Ocio</v>
      </c>
      <c r="C62" s="272"/>
      <c r="D62" s="272"/>
      <c r="E62" s="272"/>
      <c r="F62" s="272"/>
      <c r="G62" s="273"/>
      <c r="H62" s="1"/>
      <c r="M62" s="1"/>
      <c r="R62" s="3"/>
    </row>
    <row r="63" spans="1:18" ht="16.149999999999999" customHeight="1" thickBot="1">
      <c r="A63" s="1"/>
      <c r="B63" s="274"/>
      <c r="C63" s="275"/>
      <c r="D63" s="275"/>
      <c r="E63" s="275"/>
      <c r="F63" s="275"/>
      <c r="G63" s="276"/>
      <c r="H63" s="1"/>
      <c r="M63" s="1"/>
      <c r="R63" s="3"/>
    </row>
    <row r="64" spans="1:18" ht="15.75">
      <c r="A64" s="1"/>
      <c r="B64" s="279" t="s">
        <v>10</v>
      </c>
      <c r="C64" s="278"/>
      <c r="D64" s="277" t="s">
        <v>11</v>
      </c>
      <c r="E64" s="277"/>
      <c r="F64" s="277"/>
      <c r="G64" s="278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68</v>
      </c>
      <c r="E65" s="66" t="s">
        <v>69</v>
      </c>
      <c r="F65" s="66" t="s">
        <v>32</v>
      </c>
      <c r="G65" s="73" t="s">
        <v>33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/>
      <c r="E66" s="71"/>
      <c r="F66" s="71">
        <f>23.5</f>
        <v>23.5</v>
      </c>
      <c r="G66" s="37" t="s">
        <v>282</v>
      </c>
      <c r="H66" s="1"/>
      <c r="M66" s="1"/>
      <c r="R66" s="3"/>
    </row>
    <row r="67" spans="1:18" ht="15.75">
      <c r="A67" s="1"/>
      <c r="B67" s="68"/>
      <c r="C67" s="34"/>
      <c r="D67" s="70"/>
      <c r="E67" s="71"/>
      <c r="F67" s="71">
        <f>16</f>
        <v>16</v>
      </c>
      <c r="G67" s="91" t="s">
        <v>283</v>
      </c>
      <c r="H67" s="1"/>
      <c r="M67" s="1"/>
      <c r="R67" s="3"/>
    </row>
    <row r="68" spans="1:18" ht="15.75">
      <c r="A68" s="1"/>
      <c r="B68" s="68"/>
      <c r="C68" s="34"/>
      <c r="D68" s="70">
        <f>23.85</f>
        <v>23.85</v>
      </c>
      <c r="E68" s="71"/>
      <c r="F68" s="71"/>
      <c r="G68" s="34" t="s">
        <v>208</v>
      </c>
      <c r="H68" s="1"/>
      <c r="M68" s="1"/>
      <c r="R68" s="3"/>
    </row>
    <row r="69" spans="1:18" ht="15.75">
      <c r="A69" s="1"/>
      <c r="B69" s="68"/>
      <c r="C69" s="34"/>
      <c r="D69" s="70"/>
      <c r="E69" s="71"/>
      <c r="F69" s="71">
        <v>5</v>
      </c>
      <c r="G69" s="34" t="s">
        <v>298</v>
      </c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>
        <v>28</v>
      </c>
      <c r="G70" s="34" t="s">
        <v>302</v>
      </c>
      <c r="H70" s="1"/>
      <c r="M70" s="1"/>
      <c r="R70" s="3"/>
    </row>
    <row r="71" spans="1:18" ht="15.75">
      <c r="A71" s="1"/>
      <c r="B71" s="68">
        <v>51</v>
      </c>
      <c r="C71" s="34" t="s">
        <v>307</v>
      </c>
      <c r="D71" s="70">
        <v>26</v>
      </c>
      <c r="E71" s="71"/>
      <c r="F71" s="71">
        <v>25</v>
      </c>
      <c r="G71" s="34" t="s">
        <v>306</v>
      </c>
      <c r="H71" s="1"/>
      <c r="M71" s="1"/>
      <c r="R71" s="3"/>
    </row>
    <row r="72" spans="1:18" ht="15.75">
      <c r="A72" s="1"/>
      <c r="B72" s="68"/>
      <c r="C72" s="34"/>
      <c r="D72" s="70"/>
      <c r="E72" s="71"/>
      <c r="F72" s="71"/>
      <c r="G72" s="34"/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201</v>
      </c>
      <c r="C80" s="35" t="s">
        <v>66</v>
      </c>
      <c r="D80" s="69">
        <f>SUM(D66:D79)</f>
        <v>49.85</v>
      </c>
      <c r="E80" s="69">
        <f>SUM(E66:E79)</f>
        <v>0</v>
      </c>
      <c r="F80" s="69">
        <f>SUM(F66:F79)</f>
        <v>97.5</v>
      </c>
      <c r="G80" s="35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71" t="str">
        <f>'2018'!A24</f>
        <v>Transportes</v>
      </c>
      <c r="C82" s="272"/>
      <c r="D82" s="272"/>
      <c r="E82" s="272"/>
      <c r="F82" s="272"/>
      <c r="G82" s="273"/>
      <c r="H82" s="1"/>
      <c r="M82" s="1"/>
      <c r="R82" s="3"/>
    </row>
    <row r="83" spans="1:18" ht="16.149999999999999" customHeight="1" thickBot="1">
      <c r="A83" s="1"/>
      <c r="B83" s="274"/>
      <c r="C83" s="275"/>
      <c r="D83" s="275"/>
      <c r="E83" s="275"/>
      <c r="F83" s="275"/>
      <c r="G83" s="276"/>
      <c r="H83" s="1"/>
      <c r="M83" s="1"/>
      <c r="R83" s="3"/>
    </row>
    <row r="84" spans="1:18" ht="15.75">
      <c r="A84" s="1"/>
      <c r="B84" s="279" t="s">
        <v>10</v>
      </c>
      <c r="C84" s="278"/>
      <c r="D84" s="277" t="s">
        <v>11</v>
      </c>
      <c r="E84" s="277"/>
      <c r="F84" s="277"/>
      <c r="G84" s="278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68</v>
      </c>
      <c r="E85" s="66" t="s">
        <v>69</v>
      </c>
      <c r="F85" s="66" t="s">
        <v>32</v>
      </c>
      <c r="G85" s="73" t="s">
        <v>33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>
        <f>51.13+35.12+43.83+52.84</f>
        <v>182.92</v>
      </c>
      <c r="E86" s="71"/>
      <c r="F86" s="71"/>
      <c r="G86" s="34" t="s">
        <v>52</v>
      </c>
      <c r="H86" s="1"/>
      <c r="M86" s="1"/>
      <c r="R86" s="3"/>
    </row>
    <row r="87" spans="1:18" ht="15.75">
      <c r="A87" s="1"/>
      <c r="B87" s="68"/>
      <c r="C87" s="34"/>
      <c r="D87" s="70"/>
      <c r="E87" s="71"/>
      <c r="F87" s="71"/>
      <c r="G87" s="34" t="s">
        <v>53</v>
      </c>
      <c r="H87" s="1"/>
      <c r="M87" s="1"/>
      <c r="R87" s="3"/>
    </row>
    <row r="88" spans="1:18" ht="15.75">
      <c r="A88" s="1"/>
      <c r="B88" s="68"/>
      <c r="C88" s="34"/>
      <c r="D88" s="70"/>
      <c r="E88" s="71"/>
      <c r="F88" s="71"/>
      <c r="G88" s="34" t="s">
        <v>54</v>
      </c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 t="s">
        <v>90</v>
      </c>
      <c r="H89" s="1"/>
      <c r="M89" s="1"/>
      <c r="R89" s="3"/>
    </row>
    <row r="90" spans="1:18" ht="15.75">
      <c r="A90" s="1"/>
      <c r="B90" s="68"/>
      <c r="C90" s="34"/>
      <c r="D90" s="70"/>
      <c r="E90" s="71"/>
      <c r="F90" s="71"/>
      <c r="G90" s="34" t="s">
        <v>204</v>
      </c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66</v>
      </c>
      <c r="D100" s="69">
        <f>SUM(D86:D99)</f>
        <v>182.92</v>
      </c>
      <c r="E100" s="69">
        <f>SUM(E86:E99)</f>
        <v>0</v>
      </c>
      <c r="F100" s="69">
        <f>SUM(F86:F99)</f>
        <v>0</v>
      </c>
      <c r="G100" s="35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71" t="str">
        <f>'2018'!A25</f>
        <v>Coche</v>
      </c>
      <c r="C102" s="272"/>
      <c r="D102" s="272"/>
      <c r="E102" s="272"/>
      <c r="F102" s="272"/>
      <c r="G102" s="273"/>
      <c r="H102" s="1"/>
      <c r="M102" s="1"/>
      <c r="R102" s="3"/>
    </row>
    <row r="103" spans="1:18" ht="16.149999999999999" customHeight="1" thickBot="1">
      <c r="A103" s="1"/>
      <c r="B103" s="274"/>
      <c r="C103" s="275"/>
      <c r="D103" s="275"/>
      <c r="E103" s="275"/>
      <c r="F103" s="275"/>
      <c r="G103" s="276"/>
      <c r="H103" s="1"/>
      <c r="M103" s="1"/>
      <c r="R103" s="3"/>
    </row>
    <row r="104" spans="1:18" ht="15.75">
      <c r="A104" s="1"/>
      <c r="B104" s="279" t="s">
        <v>10</v>
      </c>
      <c r="C104" s="278"/>
      <c r="D104" s="277" t="s">
        <v>11</v>
      </c>
      <c r="E104" s="277"/>
      <c r="F104" s="277"/>
      <c r="G104" s="278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68</v>
      </c>
      <c r="E105" s="66" t="s">
        <v>69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67">
        <v>260</v>
      </c>
      <c r="C106" s="36" t="s">
        <v>55</v>
      </c>
      <c r="D106" s="70">
        <v>258.47000000000003</v>
      </c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68">
        <v>71</v>
      </c>
      <c r="C107" s="36" t="s">
        <v>56</v>
      </c>
      <c r="D107" s="70">
        <v>70.349999999999994</v>
      </c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68">
        <v>69</v>
      </c>
      <c r="C108" s="36" t="s">
        <v>46</v>
      </c>
      <c r="D108" s="70"/>
      <c r="E108" s="71"/>
      <c r="F108" s="71"/>
      <c r="G108" s="94" t="s">
        <v>88</v>
      </c>
      <c r="H108" s="1"/>
      <c r="M108" s="1"/>
      <c r="R108" s="3"/>
    </row>
    <row r="109" spans="1:18" ht="15.75">
      <c r="A109" s="1"/>
      <c r="B109" s="68"/>
      <c r="C109" s="36"/>
      <c r="D109" s="70"/>
      <c r="E109" s="71"/>
      <c r="F109" s="71"/>
      <c r="G109" s="91"/>
      <c r="H109" s="1"/>
      <c r="M109" s="1"/>
      <c r="R109" s="3"/>
    </row>
    <row r="110" spans="1:18" ht="15.75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68"/>
      <c r="C111" s="79"/>
      <c r="D111" s="70"/>
      <c r="E111" s="71"/>
      <c r="F111" s="71"/>
      <c r="G111" s="94"/>
      <c r="H111" s="1"/>
      <c r="M111" s="1"/>
      <c r="R111" s="3"/>
    </row>
    <row r="112" spans="1:18" ht="15.75">
      <c r="A112" s="1"/>
      <c r="B112" s="68"/>
      <c r="C112" s="92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68"/>
      <c r="C113" s="93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68"/>
      <c r="C114" s="92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66</v>
      </c>
      <c r="D120" s="69">
        <f>SUM(D106:D119)</f>
        <v>328.82000000000005</v>
      </c>
      <c r="E120" s="69">
        <f>SUM(E106:E119)</f>
        <v>0</v>
      </c>
      <c r="F120" s="69">
        <f>SUM(F106:F119)</f>
        <v>0</v>
      </c>
      <c r="G120" s="35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71" t="str">
        <f>'2018'!A26</f>
        <v>Teléfono</v>
      </c>
      <c r="C122" s="272"/>
      <c r="D122" s="272"/>
      <c r="E122" s="272"/>
      <c r="F122" s="272"/>
      <c r="G122" s="273"/>
      <c r="H122" s="1"/>
      <c r="M122" s="1"/>
      <c r="R122" s="3"/>
    </row>
    <row r="123" spans="1:18" ht="16.149999999999999" customHeight="1" thickBot="1">
      <c r="A123" s="1"/>
      <c r="B123" s="274"/>
      <c r="C123" s="275"/>
      <c r="D123" s="275"/>
      <c r="E123" s="275"/>
      <c r="F123" s="275"/>
      <c r="G123" s="276"/>
      <c r="H123" s="1"/>
      <c r="M123" s="1"/>
      <c r="R123" s="3"/>
    </row>
    <row r="124" spans="1:18" ht="15.75">
      <c r="A124" s="1"/>
      <c r="B124" s="279" t="s">
        <v>10</v>
      </c>
      <c r="C124" s="278"/>
      <c r="D124" s="277" t="s">
        <v>11</v>
      </c>
      <c r="E124" s="277"/>
      <c r="F124" s="277"/>
      <c r="G124" s="278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68</v>
      </c>
      <c r="E125" s="66" t="s">
        <v>69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>
        <v>27.5</v>
      </c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f>22.5</f>
        <v>22.5</v>
      </c>
      <c r="C127" s="34" t="s">
        <v>58</v>
      </c>
      <c r="D127" s="70">
        <f>10+10</f>
        <v>20</v>
      </c>
      <c r="E127" s="71"/>
      <c r="F127" s="71"/>
      <c r="G127" s="34" t="s">
        <v>58</v>
      </c>
      <c r="H127" s="1"/>
      <c r="M127" s="1"/>
      <c r="R127" s="3"/>
    </row>
    <row r="128" spans="1:18" ht="15.75">
      <c r="A128" s="1"/>
      <c r="B128" s="68"/>
      <c r="C128" s="34"/>
      <c r="D128" s="70"/>
      <c r="E128" s="71"/>
      <c r="F128" s="71"/>
      <c r="G128" s="34"/>
      <c r="H128" s="1"/>
      <c r="M128" s="1"/>
      <c r="R128" s="3"/>
    </row>
    <row r="129" spans="1:18" ht="15.75">
      <c r="A129" s="1"/>
      <c r="B129" s="68"/>
      <c r="C129" s="34"/>
      <c r="D129" s="70"/>
      <c r="E129" s="71"/>
      <c r="F129" s="71"/>
      <c r="G129" s="34"/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50</v>
      </c>
      <c r="C140" s="35" t="s">
        <v>66</v>
      </c>
      <c r="D140" s="69">
        <f>SUM(D126:D139)</f>
        <v>47.5</v>
      </c>
      <c r="E140" s="69">
        <f>SUM(E126:E139)</f>
        <v>0</v>
      </c>
      <c r="F140" s="69">
        <f>SUM(F126:F139)</f>
        <v>0</v>
      </c>
      <c r="G140" s="35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71" t="str">
        <f>'2018'!A27</f>
        <v>Gatos</v>
      </c>
      <c r="C142" s="272"/>
      <c r="D142" s="272"/>
      <c r="E142" s="272"/>
      <c r="F142" s="272"/>
      <c r="G142" s="273"/>
      <c r="H142" s="1"/>
      <c r="M142" s="1"/>
      <c r="R142" s="3"/>
    </row>
    <row r="143" spans="1:18" ht="16.149999999999999" customHeight="1" thickBot="1">
      <c r="A143" s="1"/>
      <c r="B143" s="274"/>
      <c r="C143" s="275"/>
      <c r="D143" s="275"/>
      <c r="E143" s="275"/>
      <c r="F143" s="275"/>
      <c r="G143" s="276"/>
      <c r="H143" s="1"/>
      <c r="M143" s="1"/>
      <c r="R143" s="3"/>
    </row>
    <row r="144" spans="1:18" ht="15.75">
      <c r="A144" s="1"/>
      <c r="B144" s="279" t="s">
        <v>10</v>
      </c>
      <c r="C144" s="278"/>
      <c r="D144" s="277" t="s">
        <v>11</v>
      </c>
      <c r="E144" s="277"/>
      <c r="F144" s="277"/>
      <c r="G144" s="278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68</v>
      </c>
      <c r="E145" s="66" t="s">
        <v>69</v>
      </c>
      <c r="F145" s="66" t="s">
        <v>32</v>
      </c>
      <c r="G145" s="73" t="s">
        <v>33</v>
      </c>
      <c r="H145" s="1"/>
      <c r="M145" s="1"/>
      <c r="R145" s="3"/>
    </row>
    <row r="146" spans="1:22" ht="15.75">
      <c r="A146" s="1"/>
      <c r="B146" s="67">
        <v>60</v>
      </c>
      <c r="C146" s="37" t="s">
        <v>43</v>
      </c>
      <c r="D146" s="70"/>
      <c r="E146" s="71"/>
      <c r="F146" s="71"/>
      <c r="G146" s="34" t="s">
        <v>48</v>
      </c>
      <c r="H146" s="1"/>
      <c r="M146" s="1"/>
      <c r="R146" s="3"/>
    </row>
    <row r="147" spans="1:22" ht="15.75">
      <c r="A147" s="1"/>
      <c r="B147" s="68"/>
      <c r="C147" s="34"/>
      <c r="D147" s="70">
        <v>23.07</v>
      </c>
      <c r="E147" s="71"/>
      <c r="F147" s="71"/>
      <c r="G147" s="34" t="s">
        <v>61</v>
      </c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 t="s">
        <v>47</v>
      </c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60</v>
      </c>
      <c r="C160" s="35" t="s">
        <v>66</v>
      </c>
      <c r="D160" s="69">
        <f>SUM(D146:D159)</f>
        <v>23.07</v>
      </c>
      <c r="E160" s="69">
        <f>SUM(E146:E159)</f>
        <v>0</v>
      </c>
      <c r="F160" s="69">
        <f>SUM(F146:F159)</f>
        <v>0</v>
      </c>
      <c r="G160" s="35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71" t="str">
        <f>'2018'!A28</f>
        <v>Vacaciones</v>
      </c>
      <c r="C162" s="272"/>
      <c r="D162" s="272"/>
      <c r="E162" s="272"/>
      <c r="F162" s="272"/>
      <c r="G162" s="273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74"/>
      <c r="C163" s="275"/>
      <c r="D163" s="275"/>
      <c r="E163" s="275"/>
      <c r="F163" s="275"/>
      <c r="G163" s="27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79" t="s">
        <v>10</v>
      </c>
      <c r="C164" s="278"/>
      <c r="D164" s="277" t="s">
        <v>11</v>
      </c>
      <c r="E164" s="277"/>
      <c r="F164" s="277"/>
      <c r="G164" s="27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68</v>
      </c>
      <c r="E165" s="66" t="s">
        <v>69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/>
      <c r="E166" s="71">
        <f>447.43</f>
        <v>447.43</v>
      </c>
      <c r="F166" s="71"/>
      <c r="G166" s="34" t="s">
        <v>292</v>
      </c>
      <c r="H166" s="117">
        <f>626.6-E166</f>
        <v>179.17000000000002</v>
      </c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>
        <v>447.43</v>
      </c>
      <c r="C167" s="34" t="s">
        <v>309</v>
      </c>
      <c r="D167" s="70"/>
      <c r="E167" s="71"/>
      <c r="F167" s="71"/>
      <c r="G167" s="3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/>
      <c r="G168" s="3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647.43000000000006</v>
      </c>
      <c r="C180" s="35" t="s">
        <v>66</v>
      </c>
      <c r="D180" s="69">
        <f>SUM(D166:D179)</f>
        <v>0</v>
      </c>
      <c r="E180" s="69">
        <f>SUM(E166:E179)</f>
        <v>447.43</v>
      </c>
      <c r="F180" s="69">
        <f>SUM(F166:F179)</f>
        <v>0</v>
      </c>
      <c r="G180" s="35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71" t="str">
        <f>'2018'!A29</f>
        <v>Ropa</v>
      </c>
      <c r="C182" s="272"/>
      <c r="D182" s="272"/>
      <c r="E182" s="272"/>
      <c r="F182" s="272"/>
      <c r="G182" s="273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74"/>
      <c r="C183" s="275"/>
      <c r="D183" s="275"/>
      <c r="E183" s="275"/>
      <c r="F183" s="275"/>
      <c r="G183" s="27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79" t="s">
        <v>10</v>
      </c>
      <c r="C184" s="278"/>
      <c r="D184" s="277" t="s">
        <v>11</v>
      </c>
      <c r="E184" s="277"/>
      <c r="F184" s="277"/>
      <c r="G184" s="27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68</v>
      </c>
      <c r="E185" s="66" t="s">
        <v>69</v>
      </c>
      <c r="F185" s="66" t="s">
        <v>32</v>
      </c>
      <c r="G185" s="73" t="s">
        <v>33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50</v>
      </c>
      <c r="C186" s="37" t="s">
        <v>43</v>
      </c>
      <c r="D186" s="70">
        <f>88.32-D286</f>
        <v>58.319999999999993</v>
      </c>
      <c r="E186" s="71"/>
      <c r="F186" s="71"/>
      <c r="G186" s="34" t="s">
        <v>289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/>
      <c r="E187" s="71"/>
      <c r="F187" s="71"/>
      <c r="G187" s="34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/>
      <c r="E188" s="71"/>
      <c r="F188" s="71"/>
      <c r="G188" s="34"/>
    </row>
    <row r="189" spans="1:22">
      <c r="B189" s="68"/>
      <c r="C189" s="34"/>
      <c r="D189" s="70"/>
      <c r="E189" s="71"/>
      <c r="F189" s="71"/>
      <c r="G189" s="34"/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50</v>
      </c>
      <c r="C200" s="35" t="s">
        <v>66</v>
      </c>
      <c r="D200" s="69">
        <f>SUM(D186:D199)</f>
        <v>58.319999999999993</v>
      </c>
      <c r="E200" s="69">
        <f>SUM(E186:E199)</f>
        <v>0</v>
      </c>
      <c r="F200" s="69">
        <f>SUM(F186:F199)</f>
        <v>0</v>
      </c>
      <c r="G200" s="35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71" t="str">
        <f>'2018'!A30</f>
        <v>Belleza</v>
      </c>
      <c r="C202" s="272"/>
      <c r="D202" s="272"/>
      <c r="E202" s="272"/>
      <c r="F202" s="272"/>
      <c r="G202" s="273"/>
    </row>
    <row r="203" spans="2:7" ht="15" customHeight="1" thickBot="1">
      <c r="B203" s="274"/>
      <c r="C203" s="275"/>
      <c r="D203" s="275"/>
      <c r="E203" s="275"/>
      <c r="F203" s="275"/>
      <c r="G203" s="276"/>
    </row>
    <row r="204" spans="2:7">
      <c r="B204" s="279" t="s">
        <v>10</v>
      </c>
      <c r="C204" s="278"/>
      <c r="D204" s="277" t="s">
        <v>11</v>
      </c>
      <c r="E204" s="277"/>
      <c r="F204" s="277"/>
      <c r="G204" s="278"/>
    </row>
    <row r="205" spans="2:7">
      <c r="B205" s="65" t="s">
        <v>32</v>
      </c>
      <c r="C205" s="73" t="s">
        <v>33</v>
      </c>
      <c r="D205" s="65" t="s">
        <v>68</v>
      </c>
      <c r="E205" s="66" t="s">
        <v>69</v>
      </c>
      <c r="F205" s="66" t="s">
        <v>32</v>
      </c>
      <c r="G205" s="73" t="s">
        <v>33</v>
      </c>
    </row>
    <row r="206" spans="2:7">
      <c r="B206" s="67">
        <v>35</v>
      </c>
      <c r="C206" s="37"/>
      <c r="D206" s="70"/>
      <c r="E206" s="71"/>
      <c r="F206" s="71"/>
      <c r="G206" s="34" t="s">
        <v>96</v>
      </c>
    </row>
    <row r="207" spans="2:7">
      <c r="B207" s="68"/>
      <c r="C207" s="34"/>
      <c r="D207" s="70"/>
      <c r="E207" s="71"/>
      <c r="F207" s="71"/>
      <c r="G207" s="34"/>
    </row>
    <row r="208" spans="2:7">
      <c r="B208" s="68"/>
      <c r="C208" s="34"/>
      <c r="D208" s="70"/>
      <c r="E208" s="71"/>
      <c r="F208" s="71"/>
      <c r="G208" s="34"/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66</v>
      </c>
      <c r="D220" s="69">
        <f>SUM(D206:D219)</f>
        <v>0</v>
      </c>
      <c r="E220" s="69">
        <f>SUM(E206:E219)</f>
        <v>0</v>
      </c>
      <c r="F220" s="69">
        <f>SUM(F206:F219)</f>
        <v>0</v>
      </c>
      <c r="G220" s="35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71" t="str">
        <f>'2018'!A31</f>
        <v>Deportes</v>
      </c>
      <c r="C222" s="272"/>
      <c r="D222" s="272"/>
      <c r="E222" s="272"/>
      <c r="F222" s="272"/>
      <c r="G222" s="273"/>
    </row>
    <row r="223" spans="2:7" ht="15" customHeight="1" thickBot="1">
      <c r="B223" s="274"/>
      <c r="C223" s="275"/>
      <c r="D223" s="275"/>
      <c r="E223" s="275"/>
      <c r="F223" s="275"/>
      <c r="G223" s="276"/>
    </row>
    <row r="224" spans="2:7">
      <c r="B224" s="279" t="s">
        <v>10</v>
      </c>
      <c r="C224" s="278"/>
      <c r="D224" s="277" t="s">
        <v>11</v>
      </c>
      <c r="E224" s="277"/>
      <c r="F224" s="277"/>
      <c r="G224" s="278"/>
    </row>
    <row r="225" spans="2:7">
      <c r="B225" s="65" t="s">
        <v>32</v>
      </c>
      <c r="C225" s="73" t="s">
        <v>33</v>
      </c>
      <c r="D225" s="65" t="s">
        <v>68</v>
      </c>
      <c r="E225" s="66" t="s">
        <v>69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>
        <v>20</v>
      </c>
      <c r="E226" s="71"/>
      <c r="F226" s="71"/>
      <c r="G226" s="71" t="s">
        <v>50</v>
      </c>
    </row>
    <row r="227" spans="2:7">
      <c r="B227" s="68">
        <v>45</v>
      </c>
      <c r="C227" s="34" t="s">
        <v>102</v>
      </c>
      <c r="D227" s="70"/>
      <c r="E227" s="71"/>
      <c r="F227" s="71"/>
      <c r="G227" s="34"/>
    </row>
    <row r="228" spans="2:7">
      <c r="B228" s="68">
        <v>5</v>
      </c>
      <c r="C228" s="34" t="s">
        <v>46</v>
      </c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70</v>
      </c>
      <c r="C240" s="35" t="s">
        <v>66</v>
      </c>
      <c r="D240" s="69">
        <f>SUM(D226:D239)</f>
        <v>20</v>
      </c>
      <c r="E240" s="69">
        <f>SUM(E226:E239)</f>
        <v>0</v>
      </c>
      <c r="F240" s="69">
        <f>SUM(F226:F239)</f>
        <v>0</v>
      </c>
      <c r="G240" s="35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71" t="str">
        <f>'2018'!A32</f>
        <v>Hogar</v>
      </c>
      <c r="C242" s="272"/>
      <c r="D242" s="272"/>
      <c r="E242" s="272"/>
      <c r="F242" s="272"/>
      <c r="G242" s="273"/>
    </row>
    <row r="243" spans="2:7" ht="15" customHeight="1" thickBot="1">
      <c r="B243" s="274"/>
      <c r="C243" s="275"/>
      <c r="D243" s="275"/>
      <c r="E243" s="275"/>
      <c r="F243" s="275"/>
      <c r="G243" s="276"/>
    </row>
    <row r="244" spans="2:7" ht="15" customHeight="1">
      <c r="B244" s="279" t="s">
        <v>10</v>
      </c>
      <c r="C244" s="278"/>
      <c r="D244" s="277" t="s">
        <v>11</v>
      </c>
      <c r="E244" s="277"/>
      <c r="F244" s="277"/>
      <c r="G244" s="278"/>
    </row>
    <row r="245" spans="2:7" ht="15" customHeight="1">
      <c r="B245" s="65" t="s">
        <v>32</v>
      </c>
      <c r="C245" s="73" t="s">
        <v>33</v>
      </c>
      <c r="D245" s="65" t="s">
        <v>68</v>
      </c>
      <c r="E245" s="66" t="s">
        <v>69</v>
      </c>
      <c r="F245" s="66" t="s">
        <v>32</v>
      </c>
      <c r="G245" s="73" t="s">
        <v>33</v>
      </c>
    </row>
    <row r="246" spans="2:7" ht="15" customHeight="1">
      <c r="B246" s="68">
        <v>50</v>
      </c>
      <c r="C246" s="79"/>
      <c r="D246" s="70"/>
      <c r="E246" s="71"/>
      <c r="F246" s="71"/>
      <c r="G246" s="34" t="s">
        <v>47</v>
      </c>
    </row>
    <row r="247" spans="2:7" ht="15" customHeight="1">
      <c r="B247" s="68"/>
      <c r="C247" s="34"/>
      <c r="D247" s="70">
        <f>65.16</f>
        <v>65.16</v>
      </c>
      <c r="E247" s="71"/>
      <c r="F247" s="71"/>
      <c r="G247" s="34" t="s">
        <v>98</v>
      </c>
    </row>
    <row r="248" spans="2:7">
      <c r="B248" s="68"/>
      <c r="C248" s="34"/>
      <c r="D248" s="70"/>
      <c r="E248" s="71"/>
      <c r="F248" s="71"/>
      <c r="G248" s="34" t="s">
        <v>120</v>
      </c>
    </row>
    <row r="249" spans="2:7">
      <c r="B249" s="68"/>
      <c r="C249" s="34"/>
      <c r="D249" s="70"/>
      <c r="E249" s="71"/>
      <c r="F249" s="71"/>
      <c r="G249" s="34" t="s">
        <v>206</v>
      </c>
    </row>
    <row r="250" spans="2:7">
      <c r="B250" s="68"/>
      <c r="C250" s="34"/>
      <c r="D250" s="70"/>
      <c r="E250" s="71"/>
      <c r="F250" s="71"/>
      <c r="G250" s="34"/>
    </row>
    <row r="251" spans="2:7">
      <c r="B251" s="68"/>
      <c r="C251" s="34"/>
      <c r="D251" s="70"/>
      <c r="E251" s="71"/>
      <c r="F251" s="71"/>
      <c r="G251" s="34"/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50</v>
      </c>
      <c r="C260" s="35" t="s">
        <v>66</v>
      </c>
      <c r="D260" s="69">
        <f>SUM(D246:D259)</f>
        <v>65.16</v>
      </c>
      <c r="E260" s="69">
        <f>SUM(E246:E259)</f>
        <v>0</v>
      </c>
      <c r="F260" s="69">
        <f>SUM(F246:F259)</f>
        <v>0</v>
      </c>
      <c r="G260" s="35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71" t="str">
        <f>'2018'!A33</f>
        <v>Formación</v>
      </c>
      <c r="C262" s="272"/>
      <c r="D262" s="272"/>
      <c r="E262" s="272"/>
      <c r="F262" s="272"/>
      <c r="G262" s="273"/>
    </row>
    <row r="263" spans="2:7" ht="15" customHeight="1" thickBot="1">
      <c r="B263" s="274"/>
      <c r="C263" s="275"/>
      <c r="D263" s="275"/>
      <c r="E263" s="275"/>
      <c r="F263" s="275"/>
      <c r="G263" s="276"/>
    </row>
    <row r="264" spans="2:7">
      <c r="B264" s="279" t="s">
        <v>10</v>
      </c>
      <c r="C264" s="278"/>
      <c r="D264" s="277" t="s">
        <v>11</v>
      </c>
      <c r="E264" s="277"/>
      <c r="F264" s="277"/>
      <c r="G264" s="278"/>
    </row>
    <row r="265" spans="2:7">
      <c r="B265" s="65" t="s">
        <v>32</v>
      </c>
      <c r="C265" s="73" t="s">
        <v>33</v>
      </c>
      <c r="D265" s="65" t="s">
        <v>68</v>
      </c>
      <c r="E265" s="66" t="s">
        <v>69</v>
      </c>
      <c r="F265" s="66" t="s">
        <v>32</v>
      </c>
      <c r="G265" s="73" t="s">
        <v>33</v>
      </c>
    </row>
    <row r="266" spans="2:7">
      <c r="B266" s="67">
        <v>10</v>
      </c>
      <c r="C266" s="37"/>
      <c r="D266" s="70"/>
      <c r="E266" s="71"/>
      <c r="F266" s="71"/>
      <c r="G266" s="34"/>
    </row>
    <row r="267" spans="2:7">
      <c r="B267" s="68"/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8">
      <c r="B273" s="68"/>
      <c r="C273" s="34"/>
      <c r="D273" s="70"/>
      <c r="E273" s="71"/>
      <c r="F273" s="71"/>
      <c r="G273" s="34"/>
    </row>
    <row r="274" spans="2:8">
      <c r="B274" s="68"/>
      <c r="C274" s="34"/>
      <c r="D274" s="70"/>
      <c r="E274" s="71"/>
      <c r="F274" s="71"/>
      <c r="G274" s="34"/>
    </row>
    <row r="275" spans="2:8">
      <c r="B275" s="68"/>
      <c r="C275" s="34"/>
      <c r="D275" s="70"/>
      <c r="E275" s="71"/>
      <c r="F275" s="71"/>
      <c r="G275" s="34"/>
    </row>
    <row r="276" spans="2:8">
      <c r="B276" s="68"/>
      <c r="C276" s="34"/>
      <c r="D276" s="70"/>
      <c r="E276" s="71"/>
      <c r="F276" s="71"/>
      <c r="G276" s="34"/>
    </row>
    <row r="277" spans="2:8">
      <c r="B277" s="68"/>
      <c r="C277" s="34"/>
      <c r="D277" s="70"/>
      <c r="E277" s="71"/>
      <c r="F277" s="71"/>
      <c r="G277" s="34"/>
    </row>
    <row r="278" spans="2:8">
      <c r="B278" s="68"/>
      <c r="C278" s="34"/>
      <c r="D278" s="70"/>
      <c r="E278" s="71"/>
      <c r="F278" s="71"/>
      <c r="G278" s="34"/>
    </row>
    <row r="279" spans="2:8" ht="15.75" thickBot="1">
      <c r="B279" s="69"/>
      <c r="C279" s="35"/>
      <c r="D279" s="69"/>
      <c r="E279" s="72"/>
      <c r="F279" s="72"/>
      <c r="G279" s="35"/>
    </row>
    <row r="280" spans="2:8" ht="15.75" thickBot="1">
      <c r="B280" s="69">
        <f>SUM(B266:B279)</f>
        <v>10</v>
      </c>
      <c r="C280" s="35" t="s">
        <v>66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66</v>
      </c>
    </row>
    <row r="281" spans="2:8" ht="15.75" thickBot="1">
      <c r="B281" s="3"/>
      <c r="C281" s="3"/>
      <c r="D281" s="3"/>
      <c r="E281" s="3"/>
    </row>
    <row r="282" spans="2:8" ht="14.45" customHeight="1">
      <c r="B282" s="271" t="str">
        <f>'2018'!A34</f>
        <v>Regalos</v>
      </c>
      <c r="C282" s="272"/>
      <c r="D282" s="272"/>
      <c r="E282" s="272"/>
      <c r="F282" s="272"/>
      <c r="G282" s="273"/>
    </row>
    <row r="283" spans="2:8" ht="15" customHeight="1" thickBot="1">
      <c r="B283" s="274"/>
      <c r="C283" s="275"/>
      <c r="D283" s="275"/>
      <c r="E283" s="275"/>
      <c r="F283" s="275"/>
      <c r="G283" s="276"/>
    </row>
    <row r="284" spans="2:8">
      <c r="B284" s="279" t="s">
        <v>10</v>
      </c>
      <c r="C284" s="278"/>
      <c r="D284" s="277" t="s">
        <v>11</v>
      </c>
      <c r="E284" s="277"/>
      <c r="F284" s="277"/>
      <c r="G284" s="278"/>
    </row>
    <row r="285" spans="2:8">
      <c r="B285" s="65" t="s">
        <v>32</v>
      </c>
      <c r="C285" s="73" t="s">
        <v>33</v>
      </c>
      <c r="D285" s="65" t="s">
        <v>68</v>
      </c>
      <c r="E285" s="66" t="s">
        <v>69</v>
      </c>
      <c r="F285" s="66" t="s">
        <v>32</v>
      </c>
      <c r="G285" s="73" t="s">
        <v>33</v>
      </c>
    </row>
    <row r="286" spans="2:8">
      <c r="B286" s="67">
        <v>120</v>
      </c>
      <c r="C286" s="37" t="s">
        <v>36</v>
      </c>
      <c r="D286" s="70">
        <f>30</f>
        <v>30</v>
      </c>
      <c r="E286" s="71"/>
      <c r="F286" s="71"/>
      <c r="G286" s="34" t="s">
        <v>289</v>
      </c>
    </row>
    <row r="287" spans="2:8">
      <c r="B287" s="68"/>
      <c r="C287" s="34"/>
      <c r="D287" s="70">
        <v>54.1</v>
      </c>
      <c r="E287" s="71"/>
      <c r="F287" s="71"/>
      <c r="G287" s="34" t="s">
        <v>290</v>
      </c>
    </row>
    <row r="288" spans="2:8">
      <c r="B288" s="68"/>
      <c r="C288" s="34"/>
      <c r="D288" s="70">
        <f>0.9</f>
        <v>0.9</v>
      </c>
      <c r="E288" s="71"/>
      <c r="F288" s="71"/>
      <c r="G288" s="34" t="s">
        <v>241</v>
      </c>
      <c r="H288" s="175">
        <v>0.95</v>
      </c>
    </row>
    <row r="289" spans="2:7">
      <c r="B289" s="68"/>
      <c r="C289" s="34"/>
      <c r="D289" s="70"/>
      <c r="E289" s="71"/>
      <c r="F289" s="71"/>
      <c r="G289" s="34"/>
    </row>
    <row r="290" spans="2:7">
      <c r="B290" s="68"/>
      <c r="C290" s="34"/>
      <c r="D290" s="70"/>
      <c r="E290" s="71"/>
      <c r="F290" s="71"/>
      <c r="G290" s="34"/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120</v>
      </c>
      <c r="C300" s="35" t="s">
        <v>66</v>
      </c>
      <c r="D300" s="69">
        <f>SUM(D286:D299)</f>
        <v>85</v>
      </c>
      <c r="E300" s="69">
        <f>SUM(E286:E299)</f>
        <v>0</v>
      </c>
      <c r="F300" s="69">
        <f>SUM(F286:F299)</f>
        <v>0</v>
      </c>
      <c r="G300" s="35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71" t="str">
        <f>'2018'!A35</f>
        <v>Salud</v>
      </c>
      <c r="C302" s="272"/>
      <c r="D302" s="272"/>
      <c r="E302" s="272"/>
      <c r="F302" s="272"/>
      <c r="G302" s="273"/>
    </row>
    <row r="303" spans="2:7" ht="15" customHeight="1" thickBot="1">
      <c r="B303" s="274"/>
      <c r="C303" s="275"/>
      <c r="D303" s="275"/>
      <c r="E303" s="275"/>
      <c r="F303" s="275"/>
      <c r="G303" s="276"/>
    </row>
    <row r="304" spans="2:7">
      <c r="B304" s="279" t="s">
        <v>10</v>
      </c>
      <c r="C304" s="278"/>
      <c r="D304" s="277" t="s">
        <v>11</v>
      </c>
      <c r="E304" s="277"/>
      <c r="F304" s="277"/>
      <c r="G304" s="278"/>
    </row>
    <row r="305" spans="2:7">
      <c r="B305" s="65" t="s">
        <v>32</v>
      </c>
      <c r="C305" s="73" t="s">
        <v>33</v>
      </c>
      <c r="D305" s="65" t="s">
        <v>68</v>
      </c>
      <c r="E305" s="66" t="s">
        <v>69</v>
      </c>
      <c r="F305" s="66" t="s">
        <v>32</v>
      </c>
      <c r="G305" s="73" t="s">
        <v>33</v>
      </c>
    </row>
    <row r="306" spans="2:7">
      <c r="B306" s="67">
        <v>100</v>
      </c>
      <c r="C306" s="37" t="s">
        <v>60</v>
      </c>
      <c r="D306" s="70"/>
      <c r="E306" s="71"/>
      <c r="F306" s="71"/>
      <c r="G306" s="34" t="s">
        <v>101</v>
      </c>
    </row>
    <row r="307" spans="2:7">
      <c r="B307" s="119"/>
      <c r="C307" s="79"/>
      <c r="D307" s="70"/>
      <c r="E307" s="71"/>
      <c r="F307" s="71"/>
      <c r="G307" s="34" t="s">
        <v>97</v>
      </c>
    </row>
    <row r="308" spans="2:7">
      <c r="B308" s="119"/>
      <c r="C308" s="79"/>
      <c r="D308" s="70">
        <f>20.67</f>
        <v>20.67</v>
      </c>
      <c r="E308" s="71"/>
      <c r="F308" s="71"/>
      <c r="G308" s="34" t="s">
        <v>217</v>
      </c>
    </row>
    <row r="309" spans="2:7">
      <c r="B309" s="68"/>
      <c r="C309" s="34"/>
      <c r="D309" s="70"/>
      <c r="E309" s="71"/>
      <c r="F309" s="71">
        <f>38.12</f>
        <v>38.119999999999997</v>
      </c>
      <c r="G309" s="34" t="s">
        <v>240</v>
      </c>
    </row>
    <row r="310" spans="2:7">
      <c r="B310" s="68"/>
      <c r="C310" s="34"/>
      <c r="D310" s="70"/>
      <c r="E310" s="71"/>
      <c r="F310" s="71">
        <f>65</f>
        <v>65</v>
      </c>
      <c r="G310" s="34" t="s">
        <v>297</v>
      </c>
    </row>
    <row r="311" spans="2:7">
      <c r="B311" s="68"/>
      <c r="C311" s="34"/>
      <c r="D311" s="70">
        <v>40</v>
      </c>
      <c r="E311" s="71"/>
      <c r="F311" s="71"/>
      <c r="G311" s="34" t="s">
        <v>299</v>
      </c>
    </row>
    <row r="312" spans="2:7">
      <c r="B312" s="68"/>
      <c r="C312" s="34"/>
      <c r="D312" s="70">
        <v>57</v>
      </c>
      <c r="E312" s="71"/>
      <c r="F312" s="71"/>
      <c r="G312" s="34" t="s">
        <v>301</v>
      </c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66</v>
      </c>
      <c r="D320" s="69">
        <f>SUM(D306:D319)</f>
        <v>117.67</v>
      </c>
      <c r="E320" s="69">
        <f>SUM(E306:E319)</f>
        <v>0</v>
      </c>
      <c r="F320" s="69">
        <f>SUM(F306:F319)</f>
        <v>103.12</v>
      </c>
      <c r="G320" s="35" t="s">
        <v>66</v>
      </c>
    </row>
    <row r="321" spans="2:7" ht="15.75" thickBot="1"/>
    <row r="322" spans="2:7" ht="14.45" customHeight="1">
      <c r="B322" s="271" t="str">
        <f>'2018'!A36</f>
        <v>Martina</v>
      </c>
      <c r="C322" s="272"/>
      <c r="D322" s="272"/>
      <c r="E322" s="272"/>
      <c r="F322" s="272"/>
      <c r="G322" s="273"/>
    </row>
    <row r="323" spans="2:7" ht="15" customHeight="1" thickBot="1">
      <c r="B323" s="274"/>
      <c r="C323" s="275"/>
      <c r="D323" s="275"/>
      <c r="E323" s="275"/>
      <c r="F323" s="275"/>
      <c r="G323" s="276"/>
    </row>
    <row r="324" spans="2:7">
      <c r="B324" s="279" t="s">
        <v>10</v>
      </c>
      <c r="C324" s="278"/>
      <c r="D324" s="277" t="s">
        <v>11</v>
      </c>
      <c r="E324" s="277"/>
      <c r="F324" s="277"/>
      <c r="G324" s="278"/>
    </row>
    <row r="325" spans="2:7">
      <c r="B325" s="65" t="s">
        <v>32</v>
      </c>
      <c r="C325" s="73" t="s">
        <v>33</v>
      </c>
      <c r="D325" s="65" t="s">
        <v>68</v>
      </c>
      <c r="E325" s="66" t="s">
        <v>69</v>
      </c>
      <c r="F325" s="66" t="s">
        <v>32</v>
      </c>
      <c r="G325" s="73" t="s">
        <v>33</v>
      </c>
    </row>
    <row r="326" spans="2:7">
      <c r="B326" s="67">
        <v>50</v>
      </c>
      <c r="C326" s="37"/>
      <c r="D326" s="70">
        <v>600</v>
      </c>
      <c r="E326" s="71"/>
      <c r="F326" s="71"/>
      <c r="G326" s="34" t="s">
        <v>287</v>
      </c>
    </row>
    <row r="327" spans="2:7">
      <c r="B327" s="68"/>
      <c r="C327" s="34"/>
      <c r="D327" s="70"/>
      <c r="E327" s="71"/>
      <c r="F327" s="71"/>
      <c r="G327" s="34"/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50</v>
      </c>
      <c r="C340" s="35" t="s">
        <v>66</v>
      </c>
      <c r="D340" s="69">
        <f>SUM(D326:D339)</f>
        <v>600</v>
      </c>
      <c r="E340" s="69">
        <f>SUM(E326:E339)</f>
        <v>0</v>
      </c>
      <c r="F340" s="69">
        <f>SUM(F326:F339)</f>
        <v>0</v>
      </c>
      <c r="G340" s="35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71" t="str">
        <f>'2018'!A37</f>
        <v>Impuestos</v>
      </c>
      <c r="C342" s="272"/>
      <c r="D342" s="272"/>
      <c r="E342" s="272"/>
      <c r="F342" s="272"/>
      <c r="G342" s="273"/>
    </row>
    <row r="343" spans="2:7" ht="15" customHeight="1" thickBot="1">
      <c r="B343" s="274"/>
      <c r="C343" s="275"/>
      <c r="D343" s="275"/>
      <c r="E343" s="275"/>
      <c r="F343" s="275"/>
      <c r="G343" s="276"/>
    </row>
    <row r="344" spans="2:7">
      <c r="B344" s="279" t="s">
        <v>10</v>
      </c>
      <c r="C344" s="278"/>
      <c r="D344" s="277" t="s">
        <v>11</v>
      </c>
      <c r="E344" s="277"/>
      <c r="F344" s="277"/>
      <c r="G344" s="278"/>
    </row>
    <row r="345" spans="2:7">
      <c r="B345" s="65" t="s">
        <v>32</v>
      </c>
      <c r="C345" s="73" t="s">
        <v>33</v>
      </c>
      <c r="D345" s="65" t="s">
        <v>68</v>
      </c>
      <c r="E345" s="66" t="s">
        <v>69</v>
      </c>
      <c r="F345" s="66" t="s">
        <v>32</v>
      </c>
      <c r="G345" s="73" t="s">
        <v>33</v>
      </c>
    </row>
    <row r="346" spans="2:7">
      <c r="B346" s="67">
        <v>30</v>
      </c>
      <c r="C346" s="37" t="s">
        <v>119</v>
      </c>
      <c r="D346" s="70"/>
      <c r="E346" s="71"/>
      <c r="F346" s="71"/>
      <c r="G346" s="34"/>
    </row>
    <row r="347" spans="2:7">
      <c r="B347" s="68"/>
      <c r="C347" s="34"/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30</v>
      </c>
      <c r="C360" s="35" t="s">
        <v>66</v>
      </c>
      <c r="D360" s="69">
        <f>SUM(D346:D359)</f>
        <v>0</v>
      </c>
      <c r="E360" s="69">
        <f>SUM(E346:E359)</f>
        <v>0</v>
      </c>
      <c r="F360" s="69">
        <f>SUM(F346:F359)</f>
        <v>0</v>
      </c>
      <c r="G360" s="35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71" t="str">
        <f>'2018'!A38</f>
        <v>Gastos Curros</v>
      </c>
      <c r="C362" s="272"/>
      <c r="D362" s="272"/>
      <c r="E362" s="272"/>
      <c r="F362" s="272"/>
      <c r="G362" s="273"/>
    </row>
    <row r="363" spans="2:7" ht="15" customHeight="1" thickBot="1">
      <c r="B363" s="274"/>
      <c r="C363" s="275"/>
      <c r="D363" s="275"/>
      <c r="E363" s="275"/>
      <c r="F363" s="275"/>
      <c r="G363" s="276"/>
    </row>
    <row r="364" spans="2:7">
      <c r="B364" s="279" t="s">
        <v>10</v>
      </c>
      <c r="C364" s="278"/>
      <c r="D364" s="277" t="s">
        <v>11</v>
      </c>
      <c r="E364" s="277"/>
      <c r="F364" s="277"/>
      <c r="G364" s="278"/>
    </row>
    <row r="365" spans="2:7">
      <c r="B365" s="65" t="s">
        <v>32</v>
      </c>
      <c r="C365" s="73" t="s">
        <v>33</v>
      </c>
      <c r="D365" s="65" t="s">
        <v>68</v>
      </c>
      <c r="E365" s="66" t="s">
        <v>69</v>
      </c>
      <c r="F365" s="66" t="s">
        <v>32</v>
      </c>
      <c r="G365" s="73" t="s">
        <v>33</v>
      </c>
    </row>
    <row r="366" spans="2:7">
      <c r="B366" s="67">
        <v>50</v>
      </c>
      <c r="C366" s="37" t="s">
        <v>36</v>
      </c>
      <c r="D366" s="70"/>
      <c r="E366" s="71"/>
      <c r="F366" s="71">
        <f>4.45+3.4+4.45+4+4+3.5+3.4+3.5</f>
        <v>30.7</v>
      </c>
      <c r="G366" s="91" t="s">
        <v>91</v>
      </c>
    </row>
    <row r="367" spans="2:7">
      <c r="B367" s="68"/>
      <c r="C367" s="34"/>
      <c r="D367" s="70"/>
      <c r="E367" s="71"/>
      <c r="F367" s="71"/>
      <c r="G367" s="91" t="s">
        <v>92</v>
      </c>
    </row>
    <row r="368" spans="2:7">
      <c r="B368" s="68"/>
      <c r="C368" s="34"/>
      <c r="D368" s="70">
        <f>27.49+40.48</f>
        <v>67.97</v>
      </c>
      <c r="E368" s="71">
        <f>25.05</f>
        <v>25.05</v>
      </c>
      <c r="F368" s="71"/>
      <c r="G368" s="34" t="s">
        <v>296</v>
      </c>
    </row>
    <row r="369" spans="2:7">
      <c r="B369" s="68"/>
      <c r="C369" s="34"/>
      <c r="D369" s="70"/>
      <c r="E369" s="71"/>
      <c r="F369" s="71"/>
      <c r="G369" s="34"/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50</v>
      </c>
      <c r="C380" s="35" t="s">
        <v>66</v>
      </c>
      <c r="D380" s="69">
        <f>SUM(D366:D379)</f>
        <v>67.97</v>
      </c>
      <c r="E380" s="69">
        <f>SUM(E366:E379)</f>
        <v>25.05</v>
      </c>
      <c r="F380" s="69">
        <f>SUM(F366:F379)</f>
        <v>30.7</v>
      </c>
      <c r="G380" s="35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71" t="str">
        <f>'2018'!A39</f>
        <v>Dreamed Holidays</v>
      </c>
      <c r="C382" s="272"/>
      <c r="D382" s="272"/>
      <c r="E382" s="272"/>
      <c r="F382" s="272"/>
      <c r="G382" s="273"/>
    </row>
    <row r="383" spans="2:7" ht="15" customHeight="1" thickBot="1">
      <c r="B383" s="274"/>
      <c r="C383" s="275"/>
      <c r="D383" s="275"/>
      <c r="E383" s="275"/>
      <c r="F383" s="275"/>
      <c r="G383" s="276"/>
    </row>
    <row r="384" spans="2:7">
      <c r="B384" s="279" t="s">
        <v>10</v>
      </c>
      <c r="C384" s="278"/>
      <c r="D384" s="277" t="s">
        <v>11</v>
      </c>
      <c r="E384" s="277"/>
      <c r="F384" s="277"/>
      <c r="G384" s="278"/>
    </row>
    <row r="385" spans="2:7">
      <c r="B385" s="65" t="s">
        <v>32</v>
      </c>
      <c r="C385" s="73" t="s">
        <v>33</v>
      </c>
      <c r="D385" s="65" t="s">
        <v>68</v>
      </c>
      <c r="E385" s="66" t="s">
        <v>69</v>
      </c>
      <c r="F385" s="66" t="s">
        <v>32</v>
      </c>
      <c r="G385" s="73" t="s">
        <v>33</v>
      </c>
    </row>
    <row r="386" spans="2:7">
      <c r="B386" s="67">
        <v>10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10</v>
      </c>
      <c r="C400" s="35" t="s">
        <v>66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71" t="str">
        <f>'2018'!A40</f>
        <v>Financieros</v>
      </c>
      <c r="C402" s="272"/>
      <c r="D402" s="272"/>
      <c r="E402" s="272"/>
      <c r="F402" s="272"/>
      <c r="G402" s="273"/>
    </row>
    <row r="403" spans="2:7" ht="15" customHeight="1" thickBot="1">
      <c r="B403" s="274"/>
      <c r="C403" s="275"/>
      <c r="D403" s="275"/>
      <c r="E403" s="275"/>
      <c r="F403" s="275"/>
      <c r="G403" s="276"/>
    </row>
    <row r="404" spans="2:7">
      <c r="B404" s="279" t="s">
        <v>10</v>
      </c>
      <c r="C404" s="278"/>
      <c r="D404" s="277" t="s">
        <v>11</v>
      </c>
      <c r="E404" s="277"/>
      <c r="F404" s="277"/>
      <c r="G404" s="278"/>
    </row>
    <row r="405" spans="2:7">
      <c r="B405" s="65" t="s">
        <v>32</v>
      </c>
      <c r="C405" s="73" t="s">
        <v>33</v>
      </c>
      <c r="D405" s="65" t="s">
        <v>68</v>
      </c>
      <c r="E405" s="66" t="s">
        <v>69</v>
      </c>
      <c r="F405" s="66" t="s">
        <v>32</v>
      </c>
      <c r="G405" s="73" t="s">
        <v>33</v>
      </c>
    </row>
    <row r="406" spans="2:7">
      <c r="B406" s="67">
        <v>-5092.08</v>
      </c>
      <c r="C406" s="37" t="s">
        <v>311</v>
      </c>
      <c r="D406" s="70">
        <v>56.01</v>
      </c>
      <c r="E406" s="71"/>
      <c r="F406" s="71"/>
      <c r="G406" s="34" t="s">
        <v>303</v>
      </c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-5092.08</v>
      </c>
      <c r="C420" s="35" t="s">
        <v>66</v>
      </c>
      <c r="D420" s="69">
        <f>SUM(D406:D419)</f>
        <v>56.01</v>
      </c>
      <c r="E420" s="69">
        <f>SUM(E406:E419)</f>
        <v>0</v>
      </c>
      <c r="F420" s="69">
        <f>SUM(F406:F419)</f>
        <v>0</v>
      </c>
      <c r="G420" s="35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71" t="str">
        <f>'2018'!A41</f>
        <v>Ahorros Colchón</v>
      </c>
      <c r="C422" s="289"/>
      <c r="D422" s="289"/>
      <c r="E422" s="289"/>
      <c r="F422" s="289"/>
      <c r="G422" s="290"/>
    </row>
    <row r="423" spans="2:7" ht="15" customHeight="1" thickBot="1">
      <c r="B423" s="291"/>
      <c r="C423" s="292"/>
      <c r="D423" s="292"/>
      <c r="E423" s="292"/>
      <c r="F423" s="292"/>
      <c r="G423" s="293"/>
    </row>
    <row r="424" spans="2:7">
      <c r="B424" s="279" t="s">
        <v>10</v>
      </c>
      <c r="C424" s="278"/>
      <c r="D424" s="277" t="s">
        <v>11</v>
      </c>
      <c r="E424" s="277"/>
      <c r="F424" s="277"/>
      <c r="G424" s="278"/>
    </row>
    <row r="425" spans="2:7">
      <c r="B425" s="65" t="s">
        <v>32</v>
      </c>
      <c r="C425" s="73" t="s">
        <v>33</v>
      </c>
      <c r="D425" s="65" t="s">
        <v>68</v>
      </c>
      <c r="E425" s="66" t="s">
        <v>69</v>
      </c>
      <c r="F425" s="66" t="s">
        <v>32</v>
      </c>
      <c r="G425" s="73" t="s">
        <v>33</v>
      </c>
    </row>
    <row r="426" spans="2:7">
      <c r="B426" s="67">
        <v>1117.3900000000001</v>
      </c>
      <c r="C426" s="37" t="s">
        <v>307</v>
      </c>
      <c r="D426" s="70"/>
      <c r="E426" s="71"/>
      <c r="F426" s="71"/>
      <c r="G426" s="34"/>
    </row>
    <row r="427" spans="2:7">
      <c r="B427" s="68"/>
      <c r="C427" s="34"/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1117.3900000000001</v>
      </c>
      <c r="C440" s="35" t="s">
        <v>66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71" t="str">
        <f>'2018'!A42</f>
        <v>Dinero Bloqueado</v>
      </c>
      <c r="C442" s="289"/>
      <c r="D442" s="289"/>
      <c r="E442" s="289"/>
      <c r="F442" s="289"/>
      <c r="G442" s="290"/>
    </row>
    <row r="443" spans="2:7" ht="15" customHeight="1" thickBot="1">
      <c r="B443" s="291"/>
      <c r="C443" s="292"/>
      <c r="D443" s="292"/>
      <c r="E443" s="292"/>
      <c r="F443" s="292"/>
      <c r="G443" s="293"/>
    </row>
    <row r="444" spans="2:7">
      <c r="B444" s="279" t="s">
        <v>10</v>
      </c>
      <c r="C444" s="278"/>
      <c r="D444" s="277" t="s">
        <v>11</v>
      </c>
      <c r="E444" s="277"/>
      <c r="F444" s="277"/>
      <c r="G444" s="278"/>
    </row>
    <row r="445" spans="2:7">
      <c r="B445" s="65" t="s">
        <v>32</v>
      </c>
      <c r="C445" s="73" t="s">
        <v>33</v>
      </c>
      <c r="D445" s="65" t="s">
        <v>68</v>
      </c>
      <c r="E445" s="66" t="s">
        <v>69</v>
      </c>
      <c r="F445" s="66" t="s">
        <v>32</v>
      </c>
      <c r="G445" s="73" t="s">
        <v>33</v>
      </c>
    </row>
    <row r="446" spans="2:7">
      <c r="B446" s="67">
        <v>5092.08</v>
      </c>
      <c r="C446" s="37" t="s">
        <v>311</v>
      </c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5092.08</v>
      </c>
      <c r="C460" s="35" t="s">
        <v>66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71" t="str">
        <f>'2018'!A43</f>
        <v>Cartama Finanazas</v>
      </c>
      <c r="C462" s="289"/>
      <c r="D462" s="289"/>
      <c r="E462" s="289"/>
      <c r="F462" s="289"/>
      <c r="G462" s="290"/>
    </row>
    <row r="463" spans="2:7" ht="15" customHeight="1" thickBot="1">
      <c r="B463" s="291"/>
      <c r="C463" s="292"/>
      <c r="D463" s="292"/>
      <c r="E463" s="292"/>
      <c r="F463" s="292"/>
      <c r="G463" s="293"/>
    </row>
    <row r="464" spans="2:7">
      <c r="B464" s="279" t="s">
        <v>10</v>
      </c>
      <c r="C464" s="278"/>
      <c r="D464" s="277" t="s">
        <v>11</v>
      </c>
      <c r="E464" s="277"/>
      <c r="F464" s="277"/>
      <c r="G464" s="278"/>
    </row>
    <row r="465" spans="2:7">
      <c r="B465" s="65" t="s">
        <v>32</v>
      </c>
      <c r="C465" s="73" t="s">
        <v>33</v>
      </c>
      <c r="D465" s="65" t="s">
        <v>68</v>
      </c>
      <c r="E465" s="66" t="s">
        <v>69</v>
      </c>
      <c r="F465" s="66" t="s">
        <v>32</v>
      </c>
      <c r="G465" s="73" t="s">
        <v>33</v>
      </c>
    </row>
    <row r="466" spans="2:7">
      <c r="B466" s="67"/>
      <c r="C466" s="37"/>
      <c r="D466" s="70"/>
      <c r="E466" s="71"/>
      <c r="F466" s="71"/>
      <c r="G466" s="34"/>
    </row>
    <row r="467" spans="2:7">
      <c r="B467" s="68"/>
      <c r="C467" s="34"/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0</v>
      </c>
      <c r="C480" s="35" t="s">
        <v>66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66</v>
      </c>
    </row>
    <row r="481" spans="2:7" ht="15.75" thickBot="1"/>
    <row r="482" spans="2:7" ht="14.45" customHeight="1">
      <c r="B482" s="271" t="str">
        <f>'2018'!A44</f>
        <v>NULO</v>
      </c>
      <c r="C482" s="289"/>
      <c r="D482" s="289"/>
      <c r="E482" s="289"/>
      <c r="F482" s="289"/>
      <c r="G482" s="290"/>
    </row>
    <row r="483" spans="2:7" ht="15" customHeight="1" thickBot="1">
      <c r="B483" s="291"/>
      <c r="C483" s="292"/>
      <c r="D483" s="292"/>
      <c r="E483" s="292"/>
      <c r="F483" s="292"/>
      <c r="G483" s="293"/>
    </row>
    <row r="484" spans="2:7">
      <c r="B484" s="279" t="s">
        <v>10</v>
      </c>
      <c r="C484" s="278"/>
      <c r="D484" s="277" t="s">
        <v>11</v>
      </c>
      <c r="E484" s="277"/>
      <c r="F484" s="277"/>
      <c r="G484" s="278"/>
    </row>
    <row r="485" spans="2:7">
      <c r="B485" s="65" t="s">
        <v>32</v>
      </c>
      <c r="C485" s="73" t="s">
        <v>33</v>
      </c>
      <c r="D485" s="65" t="s">
        <v>68</v>
      </c>
      <c r="E485" s="66" t="s">
        <v>69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66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71" t="str">
        <f>'2018'!A45</f>
        <v>OTROS</v>
      </c>
      <c r="C502" s="289"/>
      <c r="D502" s="289"/>
      <c r="E502" s="289"/>
      <c r="F502" s="289"/>
      <c r="G502" s="290"/>
    </row>
    <row r="503" spans="2:7" ht="15" customHeight="1" thickBot="1">
      <c r="B503" s="291"/>
      <c r="C503" s="292"/>
      <c r="D503" s="292"/>
      <c r="E503" s="292"/>
      <c r="F503" s="292"/>
      <c r="G503" s="293"/>
    </row>
    <row r="504" spans="2:7">
      <c r="B504" s="279" t="s">
        <v>10</v>
      </c>
      <c r="C504" s="278"/>
      <c r="D504" s="277" t="s">
        <v>11</v>
      </c>
      <c r="E504" s="277"/>
      <c r="F504" s="277"/>
      <c r="G504" s="278"/>
    </row>
    <row r="505" spans="2:7">
      <c r="B505" s="65" t="s">
        <v>32</v>
      </c>
      <c r="C505" s="73" t="s">
        <v>33</v>
      </c>
      <c r="D505" s="65" t="s">
        <v>68</v>
      </c>
      <c r="E505" s="66" t="s">
        <v>69</v>
      </c>
      <c r="F505" s="66" t="s">
        <v>32</v>
      </c>
      <c r="G505" s="73" t="s">
        <v>33</v>
      </c>
    </row>
    <row r="506" spans="2:7">
      <c r="B506" s="67">
        <v>10</v>
      </c>
      <c r="C506" s="37"/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>
        <f>SUM(B506:B519)</f>
        <v>10</v>
      </c>
      <c r="C520" s="35" t="s">
        <v>66</v>
      </c>
      <c r="D520" s="69">
        <f>SUM(D506:D519)</f>
        <v>0</v>
      </c>
      <c r="E520" s="69">
        <f>SUM(E506:E519)</f>
        <v>0</v>
      </c>
      <c r="F520" s="69">
        <f>SUM(F506:F519)</f>
        <v>0</v>
      </c>
      <c r="G520" s="35" t="s">
        <v>66</v>
      </c>
    </row>
  </sheetData>
  <mergeCells count="111"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3:L13"/>
    <mergeCell ref="K14:L14"/>
    <mergeCell ref="K15:L15"/>
    <mergeCell ref="K16:L16"/>
    <mergeCell ref="K12:L12"/>
  </mergeCells>
  <hyperlinks>
    <hyperlink ref="I2" location="Trimestre!C39:F40" display="TELÉFONO" xr:uid="{00000000-0004-0000-0200-000000000000}"/>
    <hyperlink ref="I2:L3" location="'2018'!G4:J4" display="SALDO REAL" xr:uid="{00000000-0004-0000-0200-000001000000}"/>
    <hyperlink ref="I22" location="Trimestre!C39:F40" display="TELÉFONO" xr:uid="{00000000-0004-0000-0200-000002000000}"/>
    <hyperlink ref="I22:L23" location="'2018'!G7:J7" display="INGRESOS" xr:uid="{00000000-0004-0000-0200-000003000000}"/>
    <hyperlink ref="B2" location="Trimestre!C25:F26" display="HIPOTECA" xr:uid="{00000000-0004-0000-0200-000004000000}"/>
    <hyperlink ref="B2:G3" location="'2018'!G20:J20" display="'2018'!G20:J20" xr:uid="{00000000-0004-0000-0200-000005000000}"/>
    <hyperlink ref="B22" location="Trimestre!C25:F26" display="HIPOTECA" xr:uid="{00000000-0004-0000-0200-000006000000}"/>
    <hyperlink ref="B22:G23" location="'2018'!G21:J21" display="'2018'!G21:J21" xr:uid="{00000000-0004-0000-0200-000007000000}"/>
    <hyperlink ref="B42" location="Trimestre!C25:F26" display="HIPOTECA" xr:uid="{00000000-0004-0000-0200-000008000000}"/>
    <hyperlink ref="B42:G43" location="'2018'!G22:J22" display="'2018'!G22:J22" xr:uid="{00000000-0004-0000-0200-000009000000}"/>
    <hyperlink ref="B62" location="Trimestre!C25:F26" display="HIPOTECA" xr:uid="{00000000-0004-0000-0200-00000A000000}"/>
    <hyperlink ref="B62:G63" location="'2018'!G23:J23" display="'2018'!G23:J23" xr:uid="{00000000-0004-0000-0200-00000B000000}"/>
    <hyperlink ref="B82" location="Trimestre!C25:F26" display="HIPOTECA" xr:uid="{00000000-0004-0000-0200-00000C000000}"/>
    <hyperlink ref="B82:G83" location="'2018'!G24:J24" display="'2018'!G24:J24" xr:uid="{00000000-0004-0000-0200-00000D000000}"/>
    <hyperlink ref="B102" location="Trimestre!C25:F26" display="HIPOTECA" xr:uid="{00000000-0004-0000-0200-00000E000000}"/>
    <hyperlink ref="B102:G103" location="'2018'!G25:J25" display="'2018'!G25:J25" xr:uid="{00000000-0004-0000-0200-00000F000000}"/>
    <hyperlink ref="B122" location="Trimestre!C25:F26" display="HIPOTECA" xr:uid="{00000000-0004-0000-0200-000010000000}"/>
    <hyperlink ref="B122:G123" location="'2018'!G26:J26" display="'2018'!G26:J26" xr:uid="{00000000-0004-0000-0200-000011000000}"/>
    <hyperlink ref="B142" location="Trimestre!C25:F26" display="HIPOTECA" xr:uid="{00000000-0004-0000-0200-000012000000}"/>
    <hyperlink ref="B142:G143" location="'2018'!G27:J27" display="'2018'!G27:J27" xr:uid="{00000000-0004-0000-0200-000013000000}"/>
    <hyperlink ref="B162" location="Trimestre!C25:F26" display="HIPOTECA" xr:uid="{00000000-0004-0000-0200-000014000000}"/>
    <hyperlink ref="B162:G163" location="'2018'!G28:J28" display="'2018'!G28:J28" xr:uid="{00000000-0004-0000-0200-000015000000}"/>
    <hyperlink ref="B182" location="Trimestre!C25:F26" display="HIPOTECA" xr:uid="{00000000-0004-0000-0200-000016000000}"/>
    <hyperlink ref="B182:G183" location="'2018'!G29:J29" display="'2018'!G29:J29" xr:uid="{00000000-0004-0000-0200-000017000000}"/>
    <hyperlink ref="B202" location="Trimestre!C25:F26" display="HIPOTECA" xr:uid="{00000000-0004-0000-0200-000018000000}"/>
    <hyperlink ref="B202:G203" location="'2018'!G30:J30" display="'2018'!G30:J30" xr:uid="{00000000-0004-0000-0200-000019000000}"/>
    <hyperlink ref="B222" location="Trimestre!C25:F26" display="HIPOTECA" xr:uid="{00000000-0004-0000-0200-00001A000000}"/>
    <hyperlink ref="B222:G223" location="'2018'!G31:J31" display="'2018'!G31:J31" xr:uid="{00000000-0004-0000-0200-00001B000000}"/>
    <hyperlink ref="B242" location="Trimestre!C25:F26" display="HIPOTECA" xr:uid="{00000000-0004-0000-0200-00001C000000}"/>
    <hyperlink ref="B242:G243" location="'2018'!G32:J32" display="'2018'!G32:J32" xr:uid="{00000000-0004-0000-0200-00001D000000}"/>
    <hyperlink ref="B262" location="Trimestre!C25:F26" display="HIPOTECA" xr:uid="{00000000-0004-0000-0200-00001E000000}"/>
    <hyperlink ref="B262:G263" location="'2018'!G33:J33" display="'2018'!G33:J33" xr:uid="{00000000-0004-0000-0200-00001F000000}"/>
    <hyperlink ref="B282" location="Trimestre!C25:F26" display="HIPOTECA" xr:uid="{00000000-0004-0000-0200-000020000000}"/>
    <hyperlink ref="B282:G283" location="'2018'!G34:J34" display="'2018'!G34:J34" xr:uid="{00000000-0004-0000-0200-000021000000}"/>
    <hyperlink ref="B302" location="Trimestre!C25:F26" display="HIPOTECA" xr:uid="{00000000-0004-0000-0200-000022000000}"/>
    <hyperlink ref="B302:G303" location="'2018'!G35:J35" display="'2018'!G35:J35" xr:uid="{00000000-0004-0000-0200-000023000000}"/>
    <hyperlink ref="B322" location="Trimestre!C25:F26" display="HIPOTECA" xr:uid="{00000000-0004-0000-0200-000024000000}"/>
    <hyperlink ref="B322:G323" location="'2018'!G36:J36" display="'2018'!G36:J36" xr:uid="{00000000-0004-0000-0200-000025000000}"/>
    <hyperlink ref="B342" location="Trimestre!C25:F26" display="HIPOTECA" xr:uid="{00000000-0004-0000-0200-000026000000}"/>
    <hyperlink ref="B342:G343" location="'2018'!G37:J37" display="'2018'!G37:J37" xr:uid="{00000000-0004-0000-0200-000027000000}"/>
    <hyperlink ref="B362" location="Trimestre!C25:F26" display="HIPOTECA" xr:uid="{00000000-0004-0000-0200-000028000000}"/>
    <hyperlink ref="B362:G363" location="'2018'!G38:J38" display="'2018'!G38:J38" xr:uid="{00000000-0004-0000-0200-000029000000}"/>
    <hyperlink ref="B382" location="Trimestre!C25:F26" display="HIPOTECA" xr:uid="{00000000-0004-0000-0200-00002A000000}"/>
    <hyperlink ref="B382:G383" location="'2018'!G39:J39" display="'2018'!G39:J39" xr:uid="{00000000-0004-0000-0200-00002B000000}"/>
    <hyperlink ref="B402" location="Trimestre!C25:F26" display="HIPOTECA" xr:uid="{00000000-0004-0000-0200-00002C000000}"/>
    <hyperlink ref="B402:G403" location="'2018'!G40:J40" display="'2018'!G40:J40" xr:uid="{00000000-0004-0000-0200-00002D000000}"/>
    <hyperlink ref="B422" location="Trimestre!C25:F26" display="HIPOTECA" xr:uid="{00000000-0004-0000-0200-00002E000000}"/>
    <hyperlink ref="B422:G423" location="'2018'!G41:J41" display="'2018'!G41:J41" xr:uid="{00000000-0004-0000-0200-00002F000000}"/>
    <hyperlink ref="B442" location="Trimestre!C25:F26" display="HIPOTECA" xr:uid="{00000000-0004-0000-0200-000030000000}"/>
    <hyperlink ref="B442:G443" location="'2018'!G42:J42" display="'2018'!G42:J42" xr:uid="{00000000-0004-0000-0200-000031000000}"/>
    <hyperlink ref="B462" location="Trimestre!C25:F26" display="HIPOTECA" xr:uid="{00000000-0004-0000-0200-000032000000}"/>
    <hyperlink ref="B462:G463" location="'2018'!G43:J43" display="'2018'!G43:J43" xr:uid="{00000000-0004-0000-0200-000033000000}"/>
    <hyperlink ref="B482" location="Trimestre!C25:F26" display="HIPOTECA" xr:uid="{00000000-0004-0000-0200-000034000000}"/>
    <hyperlink ref="B482:G483" location="'2018'!G44:J44" display="'2018'!G44:J44" xr:uid="{00000000-0004-0000-0200-000035000000}"/>
    <hyperlink ref="B502" location="Trimestre!C25:F26" display="HIPOTECA" xr:uid="{00000000-0004-0000-0200-000036000000}"/>
    <hyperlink ref="B502:G503" location="'2018'!G45:J45" display="'2018'!G45:J45" xr:uid="{00000000-0004-0000-0200-000037000000}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520"/>
  <sheetViews>
    <sheetView workbookViewId="0">
      <selection activeCell="B2" sqref="B2:G3"/>
    </sheetView>
  </sheetViews>
  <sheetFormatPr defaultColWidth="11.42578125" defaultRowHeight="15"/>
  <cols>
    <col min="1" max="1" width="11.42578125" style="175"/>
    <col min="2" max="2" width="10" style="175" customWidth="1"/>
    <col min="3" max="3" width="33.28515625" style="175" customWidth="1"/>
    <col min="4" max="6" width="10" style="175" customWidth="1"/>
    <col min="7" max="7" width="33.28515625" style="175" customWidth="1"/>
    <col min="8" max="9" width="11.42578125" style="175"/>
    <col min="10" max="10" width="31.28515625" style="175" customWidth="1"/>
    <col min="11" max="16384" width="11.42578125" style="175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71" t="str">
        <f>'2018'!A20</f>
        <v>Cártama Gastos</v>
      </c>
      <c r="C2" s="272"/>
      <c r="D2" s="272"/>
      <c r="E2" s="272"/>
      <c r="F2" s="272"/>
      <c r="G2" s="273"/>
      <c r="H2" s="1"/>
      <c r="I2" s="284" t="s">
        <v>4</v>
      </c>
      <c r="J2" s="272"/>
      <c r="K2" s="272"/>
      <c r="L2" s="273"/>
      <c r="M2" s="1"/>
      <c r="N2" s="1"/>
      <c r="R2" s="3"/>
    </row>
    <row r="3" spans="1:22" ht="16.5" thickBot="1">
      <c r="A3" s="1"/>
      <c r="B3" s="274"/>
      <c r="C3" s="275"/>
      <c r="D3" s="275"/>
      <c r="E3" s="275"/>
      <c r="F3" s="275"/>
      <c r="G3" s="276"/>
      <c r="H3" s="1"/>
      <c r="I3" s="274"/>
      <c r="J3" s="275"/>
      <c r="K3" s="275"/>
      <c r="L3" s="276"/>
      <c r="M3" s="1"/>
      <c r="N3" s="1"/>
      <c r="R3" s="3"/>
    </row>
    <row r="4" spans="1:22" ht="15.75">
      <c r="A4" s="1"/>
      <c r="B4" s="279" t="s">
        <v>10</v>
      </c>
      <c r="C4" s="278"/>
      <c r="D4" s="277" t="s">
        <v>11</v>
      </c>
      <c r="E4" s="277"/>
      <c r="F4" s="277"/>
      <c r="G4" s="278"/>
      <c r="H4" s="1"/>
      <c r="I4" s="32" t="s">
        <v>70</v>
      </c>
      <c r="J4" s="33" t="s">
        <v>71</v>
      </c>
      <c r="K4" s="285" t="s">
        <v>72</v>
      </c>
      <c r="L4" s="286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68</v>
      </c>
      <c r="E5" s="66" t="s">
        <v>69</v>
      </c>
      <c r="F5" s="66" t="s">
        <v>32</v>
      </c>
      <c r="G5" s="73" t="s">
        <v>33</v>
      </c>
      <c r="H5" s="1"/>
      <c r="I5" s="74" t="s">
        <v>73</v>
      </c>
      <c r="J5" s="3" t="s">
        <v>74</v>
      </c>
      <c r="K5" s="287">
        <v>1852.76</v>
      </c>
      <c r="L5" s="288"/>
      <c r="M5" s="117"/>
      <c r="N5" s="1"/>
      <c r="R5" s="3"/>
    </row>
    <row r="6" spans="1:22" ht="15.75">
      <c r="A6" s="1"/>
      <c r="B6" s="67">
        <v>401</v>
      </c>
      <c r="C6" s="37" t="s">
        <v>34</v>
      </c>
      <c r="D6" s="70"/>
      <c r="E6" s="71">
        <v>400.38</v>
      </c>
      <c r="F6" s="71"/>
      <c r="G6" s="34" t="s">
        <v>35</v>
      </c>
      <c r="H6" s="1"/>
      <c r="I6" s="75" t="s">
        <v>73</v>
      </c>
      <c r="J6" s="36" t="s">
        <v>75</v>
      </c>
      <c r="K6" s="280">
        <v>335.99</v>
      </c>
      <c r="L6" s="281"/>
      <c r="M6" s="1" t="s">
        <v>267</v>
      </c>
      <c r="N6" s="1"/>
      <c r="R6" s="3"/>
    </row>
    <row r="7" spans="1:22" ht="15.75">
      <c r="A7" s="1"/>
      <c r="B7" s="68">
        <v>56</v>
      </c>
      <c r="C7" s="34" t="s">
        <v>100</v>
      </c>
      <c r="D7" s="70"/>
      <c r="E7" s="71">
        <f>310.53+141.02+247.94</f>
        <v>699.49</v>
      </c>
      <c r="F7" s="71"/>
      <c r="G7" s="34" t="s">
        <v>106</v>
      </c>
      <c r="H7" s="117">
        <f>B7*12</f>
        <v>672</v>
      </c>
      <c r="I7" s="75" t="s">
        <v>76</v>
      </c>
      <c r="J7" s="36" t="s">
        <v>77</v>
      </c>
      <c r="K7" s="280">
        <v>7882.01</v>
      </c>
      <c r="L7" s="281"/>
      <c r="M7" s="1"/>
      <c r="N7" s="1"/>
      <c r="R7" s="3"/>
    </row>
    <row r="8" spans="1:22" ht="15.75">
      <c r="A8" s="1"/>
      <c r="B8" s="68">
        <v>0</v>
      </c>
      <c r="C8" s="34" t="s">
        <v>38</v>
      </c>
      <c r="D8" s="70"/>
      <c r="F8" s="71"/>
      <c r="G8" s="34" t="s">
        <v>38</v>
      </c>
      <c r="H8" s="1"/>
      <c r="I8" s="75" t="s">
        <v>76</v>
      </c>
      <c r="J8" s="36" t="s">
        <v>78</v>
      </c>
      <c r="K8" s="280">
        <v>3390.56</v>
      </c>
      <c r="L8" s="281"/>
      <c r="M8" s="1"/>
      <c r="N8" s="1"/>
      <c r="R8" s="3"/>
    </row>
    <row r="9" spans="1:22" ht="15.75">
      <c r="A9" s="1"/>
      <c r="B9" s="68">
        <v>20.100000000000001</v>
      </c>
      <c r="C9" s="34" t="s">
        <v>40</v>
      </c>
      <c r="D9" s="70"/>
      <c r="E9" s="71">
        <v>20.100000000000001</v>
      </c>
      <c r="F9" s="71"/>
      <c r="G9" s="34" t="s">
        <v>40</v>
      </c>
      <c r="H9" s="1"/>
      <c r="I9" s="75" t="s">
        <v>76</v>
      </c>
      <c r="J9" s="36" t="s">
        <v>268</v>
      </c>
      <c r="K9" s="280">
        <v>621.13</v>
      </c>
      <c r="L9" s="281"/>
      <c r="M9" s="1"/>
      <c r="N9" s="1"/>
      <c r="R9" s="3"/>
    </row>
    <row r="10" spans="1:22" ht="15.75">
      <c r="A10" s="1"/>
      <c r="B10" s="68">
        <v>12</v>
      </c>
      <c r="C10" s="34" t="s">
        <v>39</v>
      </c>
      <c r="D10" s="70"/>
      <c r="E10" s="71">
        <v>12</v>
      </c>
      <c r="F10" s="71"/>
      <c r="G10" s="34" t="s">
        <v>39</v>
      </c>
      <c r="H10" s="1"/>
      <c r="I10" s="75" t="s">
        <v>76</v>
      </c>
      <c r="J10" s="36" t="s">
        <v>115</v>
      </c>
      <c r="K10" s="280">
        <v>1800.04</v>
      </c>
      <c r="L10" s="281"/>
      <c r="M10" s="1" t="s">
        <v>266</v>
      </c>
      <c r="N10" s="1"/>
      <c r="R10" s="3"/>
    </row>
    <row r="11" spans="1:22" ht="15.75">
      <c r="A11" s="1"/>
      <c r="B11" s="68">
        <v>31</v>
      </c>
      <c r="C11" s="34" t="s">
        <v>37</v>
      </c>
      <c r="D11" s="70"/>
      <c r="E11" s="71">
        <v>30.24</v>
      </c>
      <c r="F11" s="71"/>
      <c r="G11" s="34" t="s">
        <v>37</v>
      </c>
      <c r="H11" s="1"/>
      <c r="I11" s="75" t="s">
        <v>93</v>
      </c>
      <c r="J11" s="36" t="s">
        <v>94</v>
      </c>
      <c r="K11" s="280">
        <f>30+40+170</f>
        <v>240</v>
      </c>
      <c r="L11" s="281"/>
      <c r="M11" s="1"/>
      <c r="N11" s="1"/>
      <c r="R11" s="3"/>
    </row>
    <row r="12" spans="1:22" ht="15.75">
      <c r="A12" s="1"/>
      <c r="B12" s="68">
        <v>120</v>
      </c>
      <c r="C12" s="34" t="s">
        <v>195</v>
      </c>
      <c r="D12" s="70"/>
      <c r="E12" s="71">
        <v>43.62</v>
      </c>
      <c r="F12" s="71"/>
      <c r="G12" s="34" t="s">
        <v>225</v>
      </c>
      <c r="H12" s="1"/>
      <c r="I12" s="75" t="s">
        <v>304</v>
      </c>
      <c r="J12" s="36" t="s">
        <v>305</v>
      </c>
      <c r="K12" s="280">
        <v>5092.08</v>
      </c>
      <c r="L12" s="281"/>
      <c r="M12" s="178" t="s">
        <v>308</v>
      </c>
      <c r="N12" s="1"/>
      <c r="R12" s="3"/>
    </row>
    <row r="13" spans="1:22" ht="15.75">
      <c r="A13" s="1"/>
      <c r="B13" s="68">
        <v>55</v>
      </c>
      <c r="C13" s="34" t="s">
        <v>196</v>
      </c>
      <c r="D13" s="70"/>
      <c r="E13" s="71">
        <v>14.98</v>
      </c>
      <c r="F13" s="71"/>
      <c r="G13" s="34" t="s">
        <v>316</v>
      </c>
      <c r="H13" s="1"/>
      <c r="I13" s="75"/>
      <c r="J13" s="36"/>
      <c r="K13" s="280"/>
      <c r="L13" s="281"/>
      <c r="M13" s="1"/>
      <c r="N13" s="1"/>
      <c r="R13" s="3"/>
    </row>
    <row r="14" spans="1:22" ht="15.75">
      <c r="A14" s="1"/>
      <c r="B14" s="68">
        <v>25</v>
      </c>
      <c r="C14" s="34" t="s">
        <v>207</v>
      </c>
      <c r="D14" s="70"/>
      <c r="E14" s="71"/>
      <c r="F14" s="71"/>
      <c r="G14" s="34"/>
      <c r="H14" s="1"/>
      <c r="I14" s="75"/>
      <c r="J14" s="36"/>
      <c r="K14" s="280"/>
      <c r="L14" s="281"/>
      <c r="M14" s="1"/>
      <c r="N14" s="1"/>
      <c r="R14" s="3"/>
    </row>
    <row r="15" spans="1:22" ht="15.75">
      <c r="A15" s="1"/>
      <c r="B15" s="68"/>
      <c r="C15" s="34"/>
      <c r="D15" s="70"/>
      <c r="E15" s="71"/>
      <c r="F15" s="71"/>
      <c r="G15" s="34"/>
      <c r="H15" s="1"/>
      <c r="I15" s="75"/>
      <c r="J15" s="36"/>
      <c r="K15" s="280"/>
      <c r="L15" s="281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75"/>
      <c r="J16" s="36"/>
      <c r="K16" s="280"/>
      <c r="L16" s="281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75"/>
      <c r="J17" s="36"/>
      <c r="K17" s="280"/>
      <c r="L17" s="281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76"/>
      <c r="J18" s="38"/>
      <c r="K18" s="282"/>
      <c r="L18" s="283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83</v>
      </c>
      <c r="J19" s="38"/>
      <c r="K19" s="282">
        <f>SUM(K5:K18)</f>
        <v>21214.57</v>
      </c>
      <c r="L19" s="283"/>
      <c r="M19" s="1"/>
      <c r="N19" s="1"/>
      <c r="R19" s="3"/>
    </row>
    <row r="20" spans="1:18" ht="16.5" thickBot="1">
      <c r="A20" s="1"/>
      <c r="B20" s="69">
        <f>SUM(B6:B19)</f>
        <v>720.1</v>
      </c>
      <c r="C20" s="35" t="s">
        <v>66</v>
      </c>
      <c r="D20" s="69">
        <f>SUM(D6:D19)</f>
        <v>0</v>
      </c>
      <c r="E20" s="69">
        <f>SUM(E6:E19)</f>
        <v>1220.8099999999997</v>
      </c>
      <c r="F20" s="69">
        <f>SUM(F6:F19)</f>
        <v>0</v>
      </c>
      <c r="G20" s="35" t="s">
        <v>66</v>
      </c>
      <c r="H20" s="1"/>
      <c r="I20" s="175" t="s">
        <v>116</v>
      </c>
      <c r="L20" s="178">
        <f>K19-K10-K12</f>
        <v>14322.449999999999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71" t="str">
        <f>'2018'!A21</f>
        <v>Waterloo</v>
      </c>
      <c r="C22" s="272"/>
      <c r="D22" s="272"/>
      <c r="E22" s="272"/>
      <c r="F22" s="272"/>
      <c r="G22" s="273"/>
      <c r="H22" s="1"/>
      <c r="I22" s="284" t="s">
        <v>6</v>
      </c>
      <c r="J22" s="272"/>
      <c r="K22" s="272"/>
      <c r="L22" s="273"/>
      <c r="M22" s="1"/>
      <c r="R22" s="3"/>
    </row>
    <row r="23" spans="1:18" ht="16.149999999999999" customHeight="1" thickBot="1">
      <c r="A23" s="1"/>
      <c r="B23" s="274"/>
      <c r="C23" s="275"/>
      <c r="D23" s="275"/>
      <c r="E23" s="275"/>
      <c r="F23" s="275"/>
      <c r="G23" s="276"/>
      <c r="H23" s="1"/>
      <c r="I23" s="274"/>
      <c r="J23" s="275"/>
      <c r="K23" s="275"/>
      <c r="L23" s="276"/>
      <c r="M23" s="1"/>
      <c r="R23" s="3"/>
    </row>
    <row r="24" spans="1:18" ht="15.75">
      <c r="A24" s="1"/>
      <c r="B24" s="279" t="s">
        <v>10</v>
      </c>
      <c r="C24" s="278"/>
      <c r="D24" s="277" t="s">
        <v>11</v>
      </c>
      <c r="E24" s="277"/>
      <c r="F24" s="277"/>
      <c r="G24" s="278"/>
      <c r="H24" s="1"/>
      <c r="I24" s="124" t="s">
        <v>33</v>
      </c>
      <c r="J24" s="33" t="s">
        <v>133</v>
      </c>
      <c r="K24" s="285" t="s">
        <v>134</v>
      </c>
      <c r="L24" s="286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68</v>
      </c>
      <c r="E25" s="66" t="s">
        <v>69</v>
      </c>
      <c r="F25" s="66" t="s">
        <v>32</v>
      </c>
      <c r="G25" s="73" t="s">
        <v>33</v>
      </c>
      <c r="H25" s="1"/>
      <c r="I25" s="190">
        <v>2</v>
      </c>
      <c r="J25" s="36" t="s">
        <v>277</v>
      </c>
      <c r="K25" s="287">
        <v>259.36</v>
      </c>
      <c r="L25" s="288"/>
      <c r="M25" s="1"/>
      <c r="R25" s="3"/>
    </row>
    <row r="26" spans="1:18" ht="15.75">
      <c r="A26" s="1"/>
      <c r="B26" s="67">
        <v>900</v>
      </c>
      <c r="C26" s="79" t="s">
        <v>42</v>
      </c>
      <c r="D26" s="70">
        <v>900</v>
      </c>
      <c r="E26" s="71"/>
      <c r="F26" s="71"/>
      <c r="G26" s="34" t="s">
        <v>42</v>
      </c>
      <c r="H26" s="1"/>
      <c r="I26" s="190">
        <v>2</v>
      </c>
      <c r="J26" s="36" t="s">
        <v>325</v>
      </c>
      <c r="K26" s="280">
        <v>176.46</v>
      </c>
      <c r="L26" s="281"/>
      <c r="M26" s="1"/>
      <c r="R26" s="3"/>
    </row>
    <row r="27" spans="1:18" ht="15.75">
      <c r="A27" s="1"/>
      <c r="B27" s="68">
        <v>200</v>
      </c>
      <c r="C27" s="79" t="s">
        <v>44</v>
      </c>
      <c r="D27" s="70"/>
      <c r="E27" s="71"/>
      <c r="F27" s="71"/>
      <c r="G27" s="34" t="s">
        <v>44</v>
      </c>
      <c r="H27" s="1"/>
      <c r="I27" s="190"/>
      <c r="J27" s="36"/>
      <c r="K27" s="280"/>
      <c r="L27" s="281"/>
      <c r="M27" s="1"/>
      <c r="R27" s="3"/>
    </row>
    <row r="28" spans="1:18" ht="15.75">
      <c r="A28" s="1"/>
      <c r="B28" s="68">
        <v>40</v>
      </c>
      <c r="C28" s="79" t="s">
        <v>45</v>
      </c>
      <c r="D28" s="70"/>
      <c r="E28" s="71"/>
      <c r="F28" s="71"/>
      <c r="G28" s="34" t="s">
        <v>45</v>
      </c>
      <c r="H28" s="1"/>
      <c r="I28" s="190"/>
      <c r="J28" s="36"/>
      <c r="K28" s="280"/>
      <c r="L28" s="281"/>
      <c r="M28" s="1"/>
      <c r="R28" s="3"/>
    </row>
    <row r="29" spans="1:18" ht="15.75">
      <c r="A29" s="1"/>
      <c r="B29" s="68">
        <v>18</v>
      </c>
      <c r="C29" s="79" t="s">
        <v>41</v>
      </c>
      <c r="D29" s="70">
        <v>17.46</v>
      </c>
      <c r="E29" s="71"/>
      <c r="F29" s="71"/>
      <c r="G29" s="34" t="s">
        <v>41</v>
      </c>
      <c r="H29" s="1"/>
      <c r="I29" s="190"/>
      <c r="J29" s="36"/>
      <c r="K29" s="280"/>
      <c r="L29" s="281"/>
      <c r="M29" s="1"/>
      <c r="R29" s="3"/>
    </row>
    <row r="30" spans="1:18" ht="15.75">
      <c r="A30" s="1"/>
      <c r="B30" s="68"/>
      <c r="C30" s="79"/>
      <c r="D30" s="70"/>
      <c r="E30" s="71"/>
      <c r="F30" s="71"/>
      <c r="G30" s="34"/>
      <c r="H30" s="1"/>
      <c r="I30" s="190"/>
      <c r="J30" s="36"/>
      <c r="K30" s="280"/>
      <c r="L30" s="281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90"/>
      <c r="J31" s="36"/>
      <c r="K31" s="280"/>
      <c r="L31" s="281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90"/>
      <c r="J32" s="36"/>
      <c r="K32" s="280"/>
      <c r="L32" s="281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90"/>
      <c r="J33" s="36"/>
      <c r="K33" s="280"/>
      <c r="L33" s="281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90"/>
      <c r="J34" s="36"/>
      <c r="K34" s="280"/>
      <c r="L34" s="281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90"/>
      <c r="J35" s="36"/>
      <c r="K35" s="280"/>
      <c r="L35" s="281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90"/>
      <c r="J36" s="36"/>
      <c r="K36" s="280"/>
      <c r="L36" s="281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90"/>
      <c r="J37" s="36"/>
      <c r="K37" s="280"/>
      <c r="L37" s="281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191"/>
      <c r="J38" s="38"/>
      <c r="K38" s="282"/>
      <c r="L38" s="283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1158</v>
      </c>
      <c r="C40" s="35" t="s">
        <v>66</v>
      </c>
      <c r="D40" s="69">
        <f>SUM(D26:D39)</f>
        <v>917.46</v>
      </c>
      <c r="E40" s="69">
        <f>SUM(E26:E39)</f>
        <v>0</v>
      </c>
      <c r="F40" s="69">
        <f>SUM(F26:F39)</f>
        <v>0</v>
      </c>
      <c r="G40" s="35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71" t="str">
        <f>'2018'!A22</f>
        <v>Comida+Limpieza</v>
      </c>
      <c r="C42" s="272"/>
      <c r="D42" s="272"/>
      <c r="E42" s="272"/>
      <c r="F42" s="272"/>
      <c r="G42" s="273"/>
      <c r="H42" s="1"/>
      <c r="M42" s="1"/>
      <c r="R42" s="3"/>
    </row>
    <row r="43" spans="1:18" ht="16.149999999999999" customHeight="1" thickBot="1">
      <c r="A43" s="1"/>
      <c r="B43" s="274"/>
      <c r="C43" s="275"/>
      <c r="D43" s="275"/>
      <c r="E43" s="275"/>
      <c r="F43" s="275"/>
      <c r="G43" s="276"/>
      <c r="H43" s="1"/>
      <c r="M43" s="1"/>
      <c r="R43" s="3"/>
    </row>
    <row r="44" spans="1:18" ht="15.75">
      <c r="A44" s="1"/>
      <c r="B44" s="279" t="s">
        <v>10</v>
      </c>
      <c r="C44" s="278"/>
      <c r="D44" s="277" t="s">
        <v>11</v>
      </c>
      <c r="E44" s="277"/>
      <c r="F44" s="277"/>
      <c r="G44" s="278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68</v>
      </c>
      <c r="E45" s="66" t="s">
        <v>69</v>
      </c>
      <c r="F45" s="66" t="s">
        <v>32</v>
      </c>
      <c r="G45" s="73" t="s">
        <v>33</v>
      </c>
      <c r="H45" s="1"/>
      <c r="M45" s="1"/>
      <c r="R45" s="3"/>
    </row>
    <row r="46" spans="1:18" ht="15.75">
      <c r="A46" s="1"/>
      <c r="B46" s="67">
        <v>370</v>
      </c>
      <c r="C46" s="37"/>
      <c r="D46" s="70">
        <f>166.37-D186+15.91+19.01</f>
        <v>188.29</v>
      </c>
      <c r="E46" s="71"/>
      <c r="F46" s="71"/>
      <c r="G46" s="90" t="s">
        <v>47</v>
      </c>
      <c r="H46" s="1"/>
      <c r="M46" s="1"/>
      <c r="R46" s="3"/>
    </row>
    <row r="47" spans="1:18" ht="15.75">
      <c r="A47" s="1"/>
      <c r="B47" s="68">
        <v>20</v>
      </c>
      <c r="C47" s="34" t="s">
        <v>110</v>
      </c>
      <c r="D47" s="70">
        <f>97.66-D146</f>
        <v>52.93</v>
      </c>
      <c r="E47" s="71"/>
      <c r="F47" s="71"/>
      <c r="G47" s="34" t="s">
        <v>48</v>
      </c>
      <c r="H47" s="1"/>
      <c r="M47" s="1"/>
      <c r="R47" s="3"/>
    </row>
    <row r="48" spans="1:18" ht="15.75">
      <c r="A48" s="1"/>
      <c r="B48" s="68">
        <v>20</v>
      </c>
      <c r="C48" s="34" t="s">
        <v>260</v>
      </c>
      <c r="D48" s="70">
        <f>10.29+13.04+4.68+23.01+61.46</f>
        <v>112.47999999999999</v>
      </c>
      <c r="E48" s="71"/>
      <c r="F48" s="71"/>
      <c r="G48" s="34" t="s">
        <v>84</v>
      </c>
      <c r="H48" s="1"/>
      <c r="M48" s="1"/>
      <c r="R48" s="3"/>
    </row>
    <row r="49" spans="1:18" ht="15.75">
      <c r="A49" s="1"/>
      <c r="B49" s="68">
        <v>61.46</v>
      </c>
      <c r="C49" s="34" t="s">
        <v>18</v>
      </c>
      <c r="D49" s="70"/>
      <c r="E49" s="71"/>
      <c r="F49" s="71"/>
      <c r="G49" s="34" t="s">
        <v>49</v>
      </c>
      <c r="H49" s="1"/>
      <c r="M49" s="1"/>
      <c r="R49" s="3"/>
    </row>
    <row r="50" spans="1:18" ht="15.75">
      <c r="A50" s="1"/>
      <c r="B50" s="68"/>
      <c r="C50" s="34"/>
      <c r="D50" s="70"/>
      <c r="E50" s="71"/>
      <c r="F50" s="71"/>
      <c r="G50" s="34" t="s">
        <v>322</v>
      </c>
      <c r="H50" s="1"/>
      <c r="M50" s="1"/>
      <c r="R50" s="3"/>
    </row>
    <row r="51" spans="1:18" ht="15.75">
      <c r="A51" s="1"/>
      <c r="B51" s="68"/>
      <c r="C51" s="34"/>
      <c r="D51" s="70"/>
      <c r="E51" s="71"/>
      <c r="F51" s="71"/>
      <c r="G51" s="34" t="s">
        <v>86</v>
      </c>
      <c r="H51" s="1"/>
      <c r="M51" s="1"/>
      <c r="R51" s="3"/>
    </row>
    <row r="52" spans="1:18" ht="15.75">
      <c r="A52" s="1"/>
      <c r="B52" s="68"/>
      <c r="C52" s="34"/>
      <c r="D52" s="70"/>
      <c r="E52" s="71"/>
      <c r="F52" s="71"/>
      <c r="G52" s="34" t="s">
        <v>98</v>
      </c>
      <c r="H52" s="1"/>
      <c r="M52" s="1"/>
      <c r="R52" s="3"/>
    </row>
    <row r="53" spans="1:18" ht="15.75">
      <c r="A53" s="1"/>
      <c r="B53" s="68"/>
      <c r="C53" s="34"/>
      <c r="D53" s="70">
        <f>83.18-D250</f>
        <v>70</v>
      </c>
      <c r="E53" s="71"/>
      <c r="F53" s="71"/>
      <c r="G53" s="34" t="s">
        <v>111</v>
      </c>
      <c r="H53" s="1"/>
      <c r="M53" s="1"/>
      <c r="R53" s="3"/>
    </row>
    <row r="54" spans="1:18" ht="15.75">
      <c r="A54" s="1"/>
      <c r="B54" s="68"/>
      <c r="C54" s="34"/>
      <c r="D54" s="70"/>
      <c r="E54" s="71"/>
      <c r="F54" s="71"/>
      <c r="G54" s="34"/>
      <c r="H54" s="1"/>
      <c r="M54" s="1"/>
      <c r="R54" s="3"/>
    </row>
    <row r="55" spans="1:18" ht="15.75">
      <c r="A55" s="1"/>
      <c r="B55" s="68"/>
      <c r="C55" s="34"/>
      <c r="D55" s="70"/>
      <c r="E55" s="71"/>
      <c r="F55" s="71"/>
      <c r="G55" s="34"/>
      <c r="H55" s="1"/>
      <c r="M55" s="1"/>
      <c r="R55" s="3"/>
    </row>
    <row r="56" spans="1:18" ht="15.75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/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471.46</v>
      </c>
      <c r="C60" s="35" t="s">
        <v>66</v>
      </c>
      <c r="D60" s="69">
        <f>SUM(D46:D59)</f>
        <v>423.7</v>
      </c>
      <c r="E60" s="69">
        <f>SUM(E46:E59)</f>
        <v>0</v>
      </c>
      <c r="F60" s="69">
        <f>SUM(F46:F59)</f>
        <v>0</v>
      </c>
      <c r="G60" s="35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71" t="str">
        <f>'2018'!A23</f>
        <v>Ocio</v>
      </c>
      <c r="C62" s="272"/>
      <c r="D62" s="272"/>
      <c r="E62" s="272"/>
      <c r="F62" s="272"/>
      <c r="G62" s="273"/>
      <c r="H62" s="1"/>
      <c r="M62" s="1"/>
      <c r="R62" s="3"/>
    </row>
    <row r="63" spans="1:18" ht="16.149999999999999" customHeight="1" thickBot="1">
      <c r="A63" s="1"/>
      <c r="B63" s="274"/>
      <c r="C63" s="275"/>
      <c r="D63" s="275"/>
      <c r="E63" s="275"/>
      <c r="F63" s="275"/>
      <c r="G63" s="276"/>
      <c r="H63" s="1"/>
      <c r="M63" s="1"/>
      <c r="R63" s="3"/>
    </row>
    <row r="64" spans="1:18" ht="15.75">
      <c r="A64" s="1"/>
      <c r="B64" s="279" t="s">
        <v>10</v>
      </c>
      <c r="C64" s="278"/>
      <c r="D64" s="277" t="s">
        <v>11</v>
      </c>
      <c r="E64" s="277"/>
      <c r="F64" s="277"/>
      <c r="G64" s="278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68</v>
      </c>
      <c r="E65" s="66" t="s">
        <v>69</v>
      </c>
      <c r="F65" s="66" t="s">
        <v>32</v>
      </c>
      <c r="G65" s="73" t="s">
        <v>33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>
        <f>31.35+31.35+30.4</f>
        <v>93.1</v>
      </c>
      <c r="E66" s="71"/>
      <c r="F66" s="71"/>
      <c r="G66" s="37" t="s">
        <v>208</v>
      </c>
      <c r="H66" s="1"/>
      <c r="M66" s="1"/>
      <c r="R66" s="3"/>
    </row>
    <row r="67" spans="1:18" ht="15.75">
      <c r="A67" s="1"/>
      <c r="B67" s="68">
        <v>-61.46</v>
      </c>
      <c r="C67" s="34"/>
      <c r="D67" s="70"/>
      <c r="E67" s="71"/>
      <c r="F67" s="71">
        <f>20+7.15</f>
        <v>27.15</v>
      </c>
      <c r="G67" s="91" t="s">
        <v>314</v>
      </c>
      <c r="H67" s="1"/>
      <c r="M67" s="1"/>
      <c r="R67" s="3"/>
    </row>
    <row r="68" spans="1:18" ht="15.75">
      <c r="A68" s="1"/>
      <c r="B68" s="68"/>
      <c r="C68" s="34"/>
      <c r="D68" s="70">
        <v>19.8</v>
      </c>
      <c r="E68" s="71"/>
      <c r="F68" s="71"/>
      <c r="G68" s="34" t="s">
        <v>324</v>
      </c>
      <c r="H68" s="1"/>
      <c r="M68" s="1"/>
      <c r="R68" s="3"/>
    </row>
    <row r="69" spans="1:18" ht="15.75">
      <c r="A69" s="1"/>
      <c r="B69" s="68"/>
      <c r="C69" s="34"/>
      <c r="D69" s="70"/>
      <c r="E69" s="71"/>
      <c r="F69" s="71">
        <f>40</f>
        <v>40</v>
      </c>
      <c r="G69" s="34" t="s">
        <v>327</v>
      </c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/>
      <c r="G70" s="34"/>
      <c r="H70" s="1"/>
      <c r="M70" s="1"/>
      <c r="R70" s="3"/>
    </row>
    <row r="71" spans="1:18" ht="15.75">
      <c r="A71" s="1"/>
      <c r="B71" s="68"/>
      <c r="C71" s="34"/>
      <c r="D71" s="70"/>
      <c r="E71" s="71"/>
      <c r="F71" s="71"/>
      <c r="G71" s="34"/>
      <c r="H71" s="1"/>
      <c r="M71" s="1"/>
      <c r="R71" s="3"/>
    </row>
    <row r="72" spans="1:18" ht="15.75">
      <c r="A72" s="1"/>
      <c r="B72" s="68"/>
      <c r="C72" s="34"/>
      <c r="D72" s="70"/>
      <c r="E72" s="71"/>
      <c r="F72" s="71"/>
      <c r="G72" s="34"/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88.539999999999992</v>
      </c>
      <c r="C80" s="35" t="s">
        <v>66</v>
      </c>
      <c r="D80" s="69">
        <f>SUM(D66:D79)</f>
        <v>112.89999999999999</v>
      </c>
      <c r="E80" s="69">
        <f>SUM(E66:E79)</f>
        <v>0</v>
      </c>
      <c r="F80" s="69">
        <f>SUM(F66:F79)</f>
        <v>67.150000000000006</v>
      </c>
      <c r="G80" s="35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71" t="str">
        <f>'2018'!A24</f>
        <v>Transportes</v>
      </c>
      <c r="C82" s="272"/>
      <c r="D82" s="272"/>
      <c r="E82" s="272"/>
      <c r="F82" s="272"/>
      <c r="G82" s="273"/>
      <c r="H82" s="1"/>
      <c r="M82" s="1"/>
      <c r="R82" s="3"/>
    </row>
    <row r="83" spans="1:18" ht="16.149999999999999" customHeight="1" thickBot="1">
      <c r="A83" s="1"/>
      <c r="B83" s="274"/>
      <c r="C83" s="275"/>
      <c r="D83" s="275"/>
      <c r="E83" s="275"/>
      <c r="F83" s="275"/>
      <c r="G83" s="276"/>
      <c r="H83" s="1"/>
      <c r="M83" s="1"/>
      <c r="R83" s="3"/>
    </row>
    <row r="84" spans="1:18" ht="15.75">
      <c r="A84" s="1"/>
      <c r="B84" s="279" t="s">
        <v>10</v>
      </c>
      <c r="C84" s="278"/>
      <c r="D84" s="277" t="s">
        <v>11</v>
      </c>
      <c r="E84" s="277"/>
      <c r="F84" s="277"/>
      <c r="G84" s="278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68</v>
      </c>
      <c r="E85" s="66" t="s">
        <v>69</v>
      </c>
      <c r="F85" s="66" t="s">
        <v>32</v>
      </c>
      <c r="G85" s="73" t="s">
        <v>33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>
        <f>37.09+51.1+44.82</f>
        <v>133.01</v>
      </c>
      <c r="E86" s="71"/>
      <c r="F86" s="71"/>
      <c r="G86" s="34" t="s">
        <v>52</v>
      </c>
      <c r="H86" s="1"/>
      <c r="M86" s="1"/>
      <c r="R86" s="3"/>
    </row>
    <row r="87" spans="1:18" ht="15.75">
      <c r="A87" s="1"/>
      <c r="B87" s="68"/>
      <c r="C87" s="34"/>
      <c r="D87" s="70"/>
      <c r="E87" s="71"/>
      <c r="F87" s="71"/>
      <c r="G87" s="34" t="s">
        <v>53</v>
      </c>
      <c r="H87" s="1"/>
      <c r="M87" s="1"/>
      <c r="R87" s="3"/>
    </row>
    <row r="88" spans="1:18" ht="15.75">
      <c r="A88" s="1"/>
      <c r="B88" s="68"/>
      <c r="C88" s="34"/>
      <c r="D88" s="70"/>
      <c r="E88" s="71"/>
      <c r="F88" s="71"/>
      <c r="G88" s="34" t="s">
        <v>54</v>
      </c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 t="s">
        <v>90</v>
      </c>
      <c r="H89" s="1"/>
      <c r="M89" s="1"/>
      <c r="R89" s="3"/>
    </row>
    <row r="90" spans="1:18" ht="15.75">
      <c r="A90" s="1"/>
      <c r="B90" s="68"/>
      <c r="C90" s="34"/>
      <c r="D90" s="70"/>
      <c r="E90" s="71">
        <v>5</v>
      </c>
      <c r="F90" s="71">
        <f>2+2</f>
        <v>4</v>
      </c>
      <c r="G90" s="34" t="s">
        <v>204</v>
      </c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66</v>
      </c>
      <c r="D100" s="69">
        <f>SUM(D86:D99)</f>
        <v>133.01</v>
      </c>
      <c r="E100" s="69">
        <f>SUM(E86:E99)</f>
        <v>5</v>
      </c>
      <c r="F100" s="69">
        <f>SUM(F86:F99)</f>
        <v>4</v>
      </c>
      <c r="G100" s="35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71" t="str">
        <f>'2018'!A25</f>
        <v>Coche</v>
      </c>
      <c r="C102" s="272"/>
      <c r="D102" s="272"/>
      <c r="E102" s="272"/>
      <c r="F102" s="272"/>
      <c r="G102" s="273"/>
      <c r="H102" s="1"/>
      <c r="M102" s="1"/>
      <c r="R102" s="3"/>
    </row>
    <row r="103" spans="1:18" ht="16.149999999999999" customHeight="1" thickBot="1">
      <c r="A103" s="1"/>
      <c r="B103" s="274"/>
      <c r="C103" s="275"/>
      <c r="D103" s="275"/>
      <c r="E103" s="275"/>
      <c r="F103" s="275"/>
      <c r="G103" s="276"/>
      <c r="H103" s="1"/>
      <c r="M103" s="1"/>
      <c r="R103" s="3"/>
    </row>
    <row r="104" spans="1:18" ht="15.75">
      <c r="A104" s="1"/>
      <c r="B104" s="279" t="s">
        <v>10</v>
      </c>
      <c r="C104" s="278"/>
      <c r="D104" s="277" t="s">
        <v>11</v>
      </c>
      <c r="E104" s="277"/>
      <c r="F104" s="277"/>
      <c r="G104" s="278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68</v>
      </c>
      <c r="E105" s="66" t="s">
        <v>69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67">
        <v>260</v>
      </c>
      <c r="C106" s="36" t="s">
        <v>55</v>
      </c>
      <c r="D106" s="70">
        <v>258.47000000000003</v>
      </c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68">
        <v>71</v>
      </c>
      <c r="C107" s="36" t="s">
        <v>56</v>
      </c>
      <c r="D107" s="70">
        <v>70.349999999999994</v>
      </c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68">
        <v>69</v>
      </c>
      <c r="C108" s="36" t="s">
        <v>46</v>
      </c>
      <c r="D108" s="70"/>
      <c r="E108" s="71"/>
      <c r="F108" s="71"/>
      <c r="G108" s="94" t="s">
        <v>88</v>
      </c>
      <c r="H108" s="1"/>
      <c r="M108" s="1"/>
      <c r="R108" s="3"/>
    </row>
    <row r="109" spans="1:18" ht="15.75">
      <c r="A109" s="1"/>
      <c r="B109" s="68"/>
      <c r="C109" s="36"/>
      <c r="D109" s="70"/>
      <c r="E109" s="71"/>
      <c r="F109" s="71"/>
      <c r="G109" s="91"/>
      <c r="H109" s="1"/>
      <c r="M109" s="1"/>
      <c r="R109" s="3"/>
    </row>
    <row r="110" spans="1:18" ht="15.75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68"/>
      <c r="C111" s="79"/>
      <c r="D111" s="70"/>
      <c r="E111" s="71"/>
      <c r="F111" s="71"/>
      <c r="G111" s="94"/>
      <c r="H111" s="1"/>
      <c r="M111" s="1"/>
      <c r="R111" s="3"/>
    </row>
    <row r="112" spans="1:18" ht="15.75">
      <c r="A112" s="1"/>
      <c r="B112" s="68"/>
      <c r="C112" s="92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68"/>
      <c r="C113" s="93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68"/>
      <c r="C114" s="92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66</v>
      </c>
      <c r="D120" s="69">
        <f>SUM(D106:D119)</f>
        <v>328.82000000000005</v>
      </c>
      <c r="E120" s="69">
        <f>SUM(E106:E119)</f>
        <v>0</v>
      </c>
      <c r="F120" s="69">
        <f>SUM(F106:F119)</f>
        <v>0</v>
      </c>
      <c r="G120" s="35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71" t="str">
        <f>'2018'!A26</f>
        <v>Teléfono</v>
      </c>
      <c r="C122" s="272"/>
      <c r="D122" s="272"/>
      <c r="E122" s="272"/>
      <c r="F122" s="272"/>
      <c r="G122" s="273"/>
      <c r="H122" s="1"/>
      <c r="M122" s="1"/>
      <c r="R122" s="3"/>
    </row>
    <row r="123" spans="1:18" ht="16.149999999999999" customHeight="1" thickBot="1">
      <c r="A123" s="1"/>
      <c r="B123" s="274"/>
      <c r="C123" s="275"/>
      <c r="D123" s="275"/>
      <c r="E123" s="275"/>
      <c r="F123" s="275"/>
      <c r="G123" s="276"/>
      <c r="H123" s="1"/>
      <c r="M123" s="1"/>
      <c r="R123" s="3"/>
    </row>
    <row r="124" spans="1:18" ht="15.75">
      <c r="A124" s="1"/>
      <c r="B124" s="279" t="s">
        <v>10</v>
      </c>
      <c r="C124" s="278"/>
      <c r="D124" s="277" t="s">
        <v>11</v>
      </c>
      <c r="E124" s="277"/>
      <c r="F124" s="277"/>
      <c r="G124" s="278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68</v>
      </c>
      <c r="E125" s="66" t="s">
        <v>69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>
        <v>27.5</v>
      </c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v>10</v>
      </c>
      <c r="C127" s="34" t="s">
        <v>58</v>
      </c>
      <c r="D127" s="70">
        <f>15</f>
        <v>15</v>
      </c>
      <c r="E127" s="71"/>
      <c r="F127" s="71"/>
      <c r="G127" s="34" t="s">
        <v>58</v>
      </c>
      <c r="H127" s="1"/>
      <c r="M127" s="1"/>
      <c r="R127" s="3"/>
    </row>
    <row r="128" spans="1:18" ht="15.75">
      <c r="A128" s="1"/>
      <c r="B128" s="68"/>
      <c r="C128" s="34"/>
      <c r="D128" s="70"/>
      <c r="E128" s="71"/>
      <c r="F128" s="71"/>
      <c r="G128" s="34"/>
      <c r="H128" s="1"/>
      <c r="M128" s="1"/>
      <c r="R128" s="3"/>
    </row>
    <row r="129" spans="1:18" ht="15.75">
      <c r="A129" s="1"/>
      <c r="B129" s="68"/>
      <c r="C129" s="34"/>
      <c r="D129" s="70"/>
      <c r="E129" s="71"/>
      <c r="F129" s="71"/>
      <c r="G129" s="34"/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37.5</v>
      </c>
      <c r="C140" s="35" t="s">
        <v>66</v>
      </c>
      <c r="D140" s="69">
        <f>SUM(D126:D139)</f>
        <v>42.5</v>
      </c>
      <c r="E140" s="69">
        <f>SUM(E126:E139)</f>
        <v>0</v>
      </c>
      <c r="F140" s="69">
        <f>SUM(F126:F139)</f>
        <v>0</v>
      </c>
      <c r="G140" s="35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71" t="str">
        <f>'2018'!A27</f>
        <v>Gatos</v>
      </c>
      <c r="C142" s="272"/>
      <c r="D142" s="272"/>
      <c r="E142" s="272"/>
      <c r="F142" s="272"/>
      <c r="G142" s="273"/>
      <c r="H142" s="1"/>
      <c r="M142" s="1"/>
      <c r="R142" s="3"/>
    </row>
    <row r="143" spans="1:18" ht="16.149999999999999" customHeight="1" thickBot="1">
      <c r="A143" s="1"/>
      <c r="B143" s="274"/>
      <c r="C143" s="275"/>
      <c r="D143" s="275"/>
      <c r="E143" s="275"/>
      <c r="F143" s="275"/>
      <c r="G143" s="276"/>
      <c r="H143" s="1"/>
      <c r="M143" s="1"/>
      <c r="R143" s="3"/>
    </row>
    <row r="144" spans="1:18" ht="15.75">
      <c r="A144" s="1"/>
      <c r="B144" s="279" t="s">
        <v>10</v>
      </c>
      <c r="C144" s="278"/>
      <c r="D144" s="277" t="s">
        <v>11</v>
      </c>
      <c r="E144" s="277"/>
      <c r="F144" s="277"/>
      <c r="G144" s="278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68</v>
      </c>
      <c r="E145" s="66" t="s">
        <v>69</v>
      </c>
      <c r="F145" s="66" t="s">
        <v>32</v>
      </c>
      <c r="G145" s="73" t="s">
        <v>33</v>
      </c>
      <c r="H145" s="1"/>
      <c r="M145" s="1"/>
      <c r="R145" s="3"/>
    </row>
    <row r="146" spans="1:22" ht="15.75">
      <c r="A146" s="1"/>
      <c r="B146" s="67">
        <v>60</v>
      </c>
      <c r="C146" s="37" t="s">
        <v>43</v>
      </c>
      <c r="D146" s="70">
        <v>44.73</v>
      </c>
      <c r="E146" s="71"/>
      <c r="F146" s="71"/>
      <c r="G146" s="34" t="s">
        <v>48</v>
      </c>
      <c r="H146" s="1"/>
      <c r="M146" s="1"/>
      <c r="R146" s="3"/>
    </row>
    <row r="147" spans="1:22" ht="15.75">
      <c r="A147" s="1"/>
      <c r="B147" s="68"/>
      <c r="C147" s="34"/>
      <c r="D147" s="70"/>
      <c r="E147" s="71"/>
      <c r="F147" s="71"/>
      <c r="G147" s="34" t="s">
        <v>61</v>
      </c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 t="s">
        <v>47</v>
      </c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60</v>
      </c>
      <c r="C160" s="35" t="s">
        <v>66</v>
      </c>
      <c r="D160" s="69">
        <f>SUM(D146:D159)</f>
        <v>44.73</v>
      </c>
      <c r="E160" s="69">
        <f>SUM(E146:E159)</f>
        <v>0</v>
      </c>
      <c r="F160" s="69">
        <f>SUM(F146:F159)</f>
        <v>0</v>
      </c>
      <c r="G160" s="35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71" t="str">
        <f>'2018'!A28</f>
        <v>Vacaciones</v>
      </c>
      <c r="C162" s="272"/>
      <c r="D162" s="272"/>
      <c r="E162" s="272"/>
      <c r="F162" s="272"/>
      <c r="G162" s="273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74"/>
      <c r="C163" s="275"/>
      <c r="D163" s="275"/>
      <c r="E163" s="275"/>
      <c r="F163" s="275"/>
      <c r="G163" s="27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79" t="s">
        <v>10</v>
      </c>
      <c r="C164" s="278"/>
      <c r="D164" s="277" t="s">
        <v>11</v>
      </c>
      <c r="E164" s="277"/>
      <c r="F164" s="277"/>
      <c r="G164" s="27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68</v>
      </c>
      <c r="E165" s="66" t="s">
        <v>69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/>
      <c r="E166" s="71">
        <f>25</f>
        <v>25</v>
      </c>
      <c r="F166" s="71"/>
      <c r="G166" s="34" t="s">
        <v>318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/>
      <c r="C167" s="34"/>
      <c r="D167" s="70">
        <f>25</f>
        <v>25</v>
      </c>
      <c r="E167" s="71"/>
      <c r="F167" s="71"/>
      <c r="G167" s="34" t="s">
        <v>328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>
        <v>90</v>
      </c>
      <c r="G168" s="34" t="s">
        <v>333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200</v>
      </c>
      <c r="C180" s="35" t="s">
        <v>66</v>
      </c>
      <c r="D180" s="69">
        <f>SUM(D166:D179)</f>
        <v>25</v>
      </c>
      <c r="E180" s="69">
        <f>SUM(E166:E179)</f>
        <v>25</v>
      </c>
      <c r="F180" s="69">
        <f>SUM(F166:F179)</f>
        <v>90</v>
      </c>
      <c r="G180" s="35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71" t="str">
        <f>'2018'!A29</f>
        <v>Ropa</v>
      </c>
      <c r="C182" s="272"/>
      <c r="D182" s="272"/>
      <c r="E182" s="272"/>
      <c r="F182" s="272"/>
      <c r="G182" s="273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74"/>
      <c r="C183" s="275"/>
      <c r="D183" s="275"/>
      <c r="E183" s="275"/>
      <c r="F183" s="275"/>
      <c r="G183" s="27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79" t="s">
        <v>10</v>
      </c>
      <c r="C184" s="278"/>
      <c r="D184" s="277" t="s">
        <v>11</v>
      </c>
      <c r="E184" s="277"/>
      <c r="F184" s="277"/>
      <c r="G184" s="27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68</v>
      </c>
      <c r="E185" s="66" t="s">
        <v>69</v>
      </c>
      <c r="F185" s="66" t="s">
        <v>32</v>
      </c>
      <c r="G185" s="73" t="s">
        <v>33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50</v>
      </c>
      <c r="C186" s="37" t="s">
        <v>43</v>
      </c>
      <c r="D186" s="70">
        <f>5+7+1</f>
        <v>13</v>
      </c>
      <c r="E186" s="71"/>
      <c r="F186" s="71"/>
      <c r="G186" s="34" t="s">
        <v>47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>
        <f>29.95+41.8</f>
        <v>71.75</v>
      </c>
      <c r="E187" s="71"/>
      <c r="F187" s="71"/>
      <c r="G187" s="34" t="s">
        <v>236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>
        <f>69.42-D288</f>
        <v>39.42</v>
      </c>
      <c r="E188" s="71"/>
      <c r="F188" s="71"/>
      <c r="G188" s="34" t="s">
        <v>289</v>
      </c>
    </row>
    <row r="189" spans="1:22">
      <c r="B189" s="68"/>
      <c r="C189" s="34"/>
      <c r="D189" s="70"/>
      <c r="E189" s="71"/>
      <c r="F189" s="71">
        <v>20</v>
      </c>
      <c r="G189" s="34" t="s">
        <v>332</v>
      </c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50</v>
      </c>
      <c r="C200" s="35" t="s">
        <v>66</v>
      </c>
      <c r="D200" s="69">
        <f>SUM(D186:D199)</f>
        <v>124.17</v>
      </c>
      <c r="E200" s="69">
        <f>SUM(E186:E199)</f>
        <v>0</v>
      </c>
      <c r="F200" s="69">
        <f>SUM(F186:F199)</f>
        <v>20</v>
      </c>
      <c r="G200" s="35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71" t="str">
        <f>'2018'!A30</f>
        <v>Belleza</v>
      </c>
      <c r="C202" s="272"/>
      <c r="D202" s="272"/>
      <c r="E202" s="272"/>
      <c r="F202" s="272"/>
      <c r="G202" s="273"/>
    </row>
    <row r="203" spans="2:7" ht="15" customHeight="1" thickBot="1">
      <c r="B203" s="274"/>
      <c r="C203" s="275"/>
      <c r="D203" s="275"/>
      <c r="E203" s="275"/>
      <c r="F203" s="275"/>
      <c r="G203" s="276"/>
    </row>
    <row r="204" spans="2:7">
      <c r="B204" s="279" t="s">
        <v>10</v>
      </c>
      <c r="C204" s="278"/>
      <c r="D204" s="277" t="s">
        <v>11</v>
      </c>
      <c r="E204" s="277"/>
      <c r="F204" s="277"/>
      <c r="G204" s="278"/>
    </row>
    <row r="205" spans="2:7">
      <c r="B205" s="65" t="s">
        <v>32</v>
      </c>
      <c r="C205" s="73" t="s">
        <v>33</v>
      </c>
      <c r="D205" s="65" t="s">
        <v>68</v>
      </c>
      <c r="E205" s="66" t="s">
        <v>69</v>
      </c>
      <c r="F205" s="66" t="s">
        <v>32</v>
      </c>
      <c r="G205" s="73" t="s">
        <v>33</v>
      </c>
    </row>
    <row r="206" spans="2:7">
      <c r="B206" s="67">
        <v>35</v>
      </c>
      <c r="C206" s="37"/>
      <c r="D206" s="70"/>
      <c r="E206" s="71"/>
      <c r="F206" s="71"/>
      <c r="G206" s="34"/>
    </row>
    <row r="207" spans="2:7">
      <c r="B207" s="68"/>
      <c r="C207" s="34"/>
      <c r="D207" s="70"/>
      <c r="E207" s="71"/>
      <c r="F207" s="71">
        <v>40</v>
      </c>
      <c r="G207" s="34" t="s">
        <v>333</v>
      </c>
    </row>
    <row r="208" spans="2:7">
      <c r="B208" s="68"/>
      <c r="C208" s="34"/>
      <c r="D208" s="70"/>
      <c r="E208" s="71"/>
      <c r="F208" s="71"/>
      <c r="G208" s="34"/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66</v>
      </c>
      <c r="D220" s="69">
        <f>SUM(D206:D219)</f>
        <v>0</v>
      </c>
      <c r="E220" s="69">
        <f>SUM(E206:E219)</f>
        <v>0</v>
      </c>
      <c r="F220" s="69">
        <f>SUM(F206:F219)</f>
        <v>40</v>
      </c>
      <c r="G220" s="35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71" t="str">
        <f>'2018'!A31</f>
        <v>Deportes</v>
      </c>
      <c r="C222" s="272"/>
      <c r="D222" s="272"/>
      <c r="E222" s="272"/>
      <c r="F222" s="272"/>
      <c r="G222" s="273"/>
    </row>
    <row r="223" spans="2:7" ht="15" customHeight="1" thickBot="1">
      <c r="B223" s="274"/>
      <c r="C223" s="275"/>
      <c r="D223" s="275"/>
      <c r="E223" s="275"/>
      <c r="F223" s="275"/>
      <c r="G223" s="276"/>
    </row>
    <row r="224" spans="2:7">
      <c r="B224" s="279" t="s">
        <v>10</v>
      </c>
      <c r="C224" s="278"/>
      <c r="D224" s="277" t="s">
        <v>11</v>
      </c>
      <c r="E224" s="277"/>
      <c r="F224" s="277"/>
      <c r="G224" s="278"/>
    </row>
    <row r="225" spans="2:7">
      <c r="B225" s="65" t="s">
        <v>32</v>
      </c>
      <c r="C225" s="73" t="s">
        <v>33</v>
      </c>
      <c r="D225" s="65" t="s">
        <v>68</v>
      </c>
      <c r="E225" s="66" t="s">
        <v>69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>
        <v>20</v>
      </c>
      <c r="E226" s="71"/>
      <c r="F226" s="71"/>
      <c r="G226" s="71" t="s">
        <v>50</v>
      </c>
    </row>
    <row r="227" spans="2:7">
      <c r="B227" s="68">
        <v>60</v>
      </c>
      <c r="C227" s="34" t="s">
        <v>102</v>
      </c>
      <c r="D227" s="70"/>
      <c r="E227" s="71"/>
      <c r="F227" s="71">
        <v>180</v>
      </c>
      <c r="G227" s="34" t="s">
        <v>320</v>
      </c>
    </row>
    <row r="228" spans="2:7">
      <c r="B228" s="68">
        <v>5</v>
      </c>
      <c r="C228" s="34" t="s">
        <v>46</v>
      </c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85</v>
      </c>
      <c r="C240" s="35" t="s">
        <v>66</v>
      </c>
      <c r="D240" s="69">
        <f>SUM(D226:D239)</f>
        <v>20</v>
      </c>
      <c r="E240" s="69">
        <f>SUM(E226:E239)</f>
        <v>0</v>
      </c>
      <c r="F240" s="69">
        <f>SUM(F226:F239)</f>
        <v>180</v>
      </c>
      <c r="G240" s="35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71" t="str">
        <f>'2018'!A32</f>
        <v>Hogar</v>
      </c>
      <c r="C242" s="272"/>
      <c r="D242" s="272"/>
      <c r="E242" s="272"/>
      <c r="F242" s="272"/>
      <c r="G242" s="273"/>
    </row>
    <row r="243" spans="2:7" ht="15" customHeight="1" thickBot="1">
      <c r="B243" s="274"/>
      <c r="C243" s="275"/>
      <c r="D243" s="275"/>
      <c r="E243" s="275"/>
      <c r="F243" s="275"/>
      <c r="G243" s="276"/>
    </row>
    <row r="244" spans="2:7" ht="15" customHeight="1">
      <c r="B244" s="279" t="s">
        <v>10</v>
      </c>
      <c r="C244" s="278"/>
      <c r="D244" s="277" t="s">
        <v>11</v>
      </c>
      <c r="E244" s="277"/>
      <c r="F244" s="277"/>
      <c r="G244" s="278"/>
    </row>
    <row r="245" spans="2:7" ht="15" customHeight="1">
      <c r="B245" s="65" t="s">
        <v>32</v>
      </c>
      <c r="C245" s="73" t="s">
        <v>33</v>
      </c>
      <c r="D245" s="65" t="s">
        <v>68</v>
      </c>
      <c r="E245" s="66" t="s">
        <v>69</v>
      </c>
      <c r="F245" s="66" t="s">
        <v>32</v>
      </c>
      <c r="G245" s="73" t="s">
        <v>33</v>
      </c>
    </row>
    <row r="246" spans="2:7" ht="15" customHeight="1">
      <c r="B246" s="68">
        <v>70</v>
      </c>
      <c r="C246" s="79"/>
      <c r="D246" s="70"/>
      <c r="E246" s="71"/>
      <c r="F246" s="71"/>
      <c r="G246" s="34" t="s">
        <v>47</v>
      </c>
    </row>
    <row r="247" spans="2:7" ht="15" customHeight="1">
      <c r="B247" s="68"/>
      <c r="C247" s="34"/>
      <c r="D247" s="70">
        <f>48.34-D287-D167</f>
        <v>13.340000000000003</v>
      </c>
      <c r="E247" s="71"/>
      <c r="F247" s="71"/>
      <c r="G247" s="34" t="s">
        <v>98</v>
      </c>
    </row>
    <row r="248" spans="2:7">
      <c r="B248" s="68"/>
      <c r="C248" s="34"/>
      <c r="D248" s="70"/>
      <c r="E248" s="71"/>
      <c r="F248" s="71"/>
      <c r="G248" s="34" t="s">
        <v>120</v>
      </c>
    </row>
    <row r="249" spans="2:7">
      <c r="B249" s="68"/>
      <c r="C249" s="34"/>
      <c r="D249" s="70"/>
      <c r="E249" s="71"/>
      <c r="F249" s="71"/>
      <c r="G249" s="34" t="s">
        <v>206</v>
      </c>
    </row>
    <row r="250" spans="2:7">
      <c r="B250" s="68"/>
      <c r="C250" s="34"/>
      <c r="D250" s="70">
        <f>13.18</f>
        <v>13.18</v>
      </c>
      <c r="E250" s="71"/>
      <c r="F250" s="71"/>
      <c r="G250" s="34" t="s">
        <v>111</v>
      </c>
    </row>
    <row r="251" spans="2:7">
      <c r="B251" s="68"/>
      <c r="C251" s="34"/>
      <c r="D251" s="70"/>
      <c r="E251" s="71"/>
      <c r="F251" s="71"/>
      <c r="G251" s="34"/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70</v>
      </c>
      <c r="C260" s="35" t="s">
        <v>66</v>
      </c>
      <c r="D260" s="69">
        <f>SUM(D246:D259)</f>
        <v>26.520000000000003</v>
      </c>
      <c r="E260" s="69">
        <f>SUM(E246:E259)</f>
        <v>0</v>
      </c>
      <c r="F260" s="69">
        <f>SUM(F246:F259)</f>
        <v>0</v>
      </c>
      <c r="G260" s="35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71" t="str">
        <f>'2018'!A33</f>
        <v>Formación</v>
      </c>
      <c r="C262" s="272"/>
      <c r="D262" s="272"/>
      <c r="E262" s="272"/>
      <c r="F262" s="272"/>
      <c r="G262" s="273"/>
    </row>
    <row r="263" spans="2:7" ht="15" customHeight="1" thickBot="1">
      <c r="B263" s="274"/>
      <c r="C263" s="275"/>
      <c r="D263" s="275"/>
      <c r="E263" s="275"/>
      <c r="F263" s="275"/>
      <c r="G263" s="276"/>
    </row>
    <row r="264" spans="2:7">
      <c r="B264" s="279" t="s">
        <v>10</v>
      </c>
      <c r="C264" s="278"/>
      <c r="D264" s="277" t="s">
        <v>11</v>
      </c>
      <c r="E264" s="277"/>
      <c r="F264" s="277"/>
      <c r="G264" s="278"/>
    </row>
    <row r="265" spans="2:7">
      <c r="B265" s="65" t="s">
        <v>32</v>
      </c>
      <c r="C265" s="73" t="s">
        <v>33</v>
      </c>
      <c r="D265" s="65" t="s">
        <v>68</v>
      </c>
      <c r="E265" s="66" t="s">
        <v>69</v>
      </c>
      <c r="F265" s="66" t="s">
        <v>32</v>
      </c>
      <c r="G265" s="73" t="s">
        <v>33</v>
      </c>
    </row>
    <row r="266" spans="2:7">
      <c r="B266" s="67">
        <v>20</v>
      </c>
      <c r="C266" s="37"/>
      <c r="D266" s="70"/>
      <c r="E266" s="71">
        <v>19.04</v>
      </c>
      <c r="F266" s="71"/>
      <c r="G266" s="34" t="s">
        <v>321</v>
      </c>
    </row>
    <row r="267" spans="2:7">
      <c r="B267" s="68"/>
      <c r="C267" s="34"/>
      <c r="D267" s="70">
        <f>12.5</f>
        <v>12.5</v>
      </c>
      <c r="E267" s="71"/>
      <c r="F267" s="71"/>
      <c r="G267" s="34" t="s">
        <v>323</v>
      </c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7">
      <c r="B273" s="68"/>
      <c r="C273" s="34"/>
      <c r="D273" s="70"/>
      <c r="E273" s="71"/>
      <c r="F273" s="71"/>
      <c r="G273" s="34"/>
    </row>
    <row r="274" spans="2:7">
      <c r="B274" s="68"/>
      <c r="C274" s="34"/>
      <c r="D274" s="70"/>
      <c r="E274" s="71"/>
      <c r="F274" s="71"/>
      <c r="G274" s="34"/>
    </row>
    <row r="275" spans="2:7">
      <c r="B275" s="68"/>
      <c r="C275" s="34"/>
      <c r="D275" s="70"/>
      <c r="E275" s="71"/>
      <c r="F275" s="71"/>
      <c r="G275" s="34"/>
    </row>
    <row r="276" spans="2:7">
      <c r="B276" s="68"/>
      <c r="C276" s="34"/>
      <c r="D276" s="70"/>
      <c r="E276" s="71"/>
      <c r="F276" s="71"/>
      <c r="G276" s="34"/>
    </row>
    <row r="277" spans="2:7">
      <c r="B277" s="68"/>
      <c r="C277" s="34"/>
      <c r="D277" s="70"/>
      <c r="E277" s="71"/>
      <c r="F277" s="71"/>
      <c r="G277" s="34"/>
    </row>
    <row r="278" spans="2:7">
      <c r="B278" s="68"/>
      <c r="C278" s="34"/>
      <c r="D278" s="70"/>
      <c r="E278" s="71"/>
      <c r="F278" s="71"/>
      <c r="G278" s="34"/>
    </row>
    <row r="279" spans="2:7" ht="15.75" thickBot="1">
      <c r="B279" s="69"/>
      <c r="C279" s="35"/>
      <c r="D279" s="69"/>
      <c r="E279" s="72"/>
      <c r="F279" s="72"/>
      <c r="G279" s="35"/>
    </row>
    <row r="280" spans="2:7" ht="15.75" thickBot="1">
      <c r="B280" s="69">
        <f>SUM(B266:B279)</f>
        <v>20</v>
      </c>
      <c r="C280" s="35" t="s">
        <v>66</v>
      </c>
      <c r="D280" s="69">
        <f>SUM(D266:D279)</f>
        <v>12.5</v>
      </c>
      <c r="E280" s="69">
        <f>SUM(E266:E279)</f>
        <v>19.04</v>
      </c>
      <c r="F280" s="69">
        <f>SUM(F266:F279)</f>
        <v>0</v>
      </c>
      <c r="G280" s="35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271" t="str">
        <f>'2018'!A34</f>
        <v>Regalos</v>
      </c>
      <c r="C282" s="272"/>
      <c r="D282" s="272"/>
      <c r="E282" s="272"/>
      <c r="F282" s="272"/>
      <c r="G282" s="273"/>
    </row>
    <row r="283" spans="2:7" ht="15" customHeight="1" thickBot="1">
      <c r="B283" s="274"/>
      <c r="C283" s="275"/>
      <c r="D283" s="275"/>
      <c r="E283" s="275"/>
      <c r="F283" s="275"/>
      <c r="G283" s="276"/>
    </row>
    <row r="284" spans="2:7">
      <c r="B284" s="279" t="s">
        <v>10</v>
      </c>
      <c r="C284" s="278"/>
      <c r="D284" s="277" t="s">
        <v>11</v>
      </c>
      <c r="E284" s="277"/>
      <c r="F284" s="277"/>
      <c r="G284" s="278"/>
    </row>
    <row r="285" spans="2:7">
      <c r="B285" s="65" t="s">
        <v>32</v>
      </c>
      <c r="C285" s="73" t="s">
        <v>33</v>
      </c>
      <c r="D285" s="65" t="s">
        <v>68</v>
      </c>
      <c r="E285" s="66" t="s">
        <v>69</v>
      </c>
      <c r="F285" s="66" t="s">
        <v>32</v>
      </c>
      <c r="G285" s="73" t="s">
        <v>33</v>
      </c>
    </row>
    <row r="286" spans="2:7">
      <c r="B286" s="67">
        <v>120</v>
      </c>
      <c r="C286" s="37" t="s">
        <v>36</v>
      </c>
      <c r="D286" s="70"/>
      <c r="E286" s="71">
        <v>35.090000000000003</v>
      </c>
      <c r="F286" s="71"/>
      <c r="G286" s="34" t="s">
        <v>317</v>
      </c>
    </row>
    <row r="287" spans="2:7">
      <c r="B287" s="68"/>
      <c r="C287" s="34"/>
      <c r="D287" s="70">
        <v>10</v>
      </c>
      <c r="E287" s="71"/>
      <c r="F287" s="71"/>
      <c r="G287" s="34" t="s">
        <v>98</v>
      </c>
    </row>
    <row r="288" spans="2:7">
      <c r="B288" s="68"/>
      <c r="C288" s="34"/>
      <c r="D288" s="70">
        <v>30</v>
      </c>
      <c r="E288" s="71"/>
      <c r="F288" s="71"/>
      <c r="G288" s="34" t="s">
        <v>289</v>
      </c>
    </row>
    <row r="289" spans="2:7">
      <c r="B289" s="68"/>
      <c r="C289" s="34"/>
      <c r="D289" s="70"/>
      <c r="E289" s="71"/>
      <c r="F289" s="71"/>
      <c r="G289" s="34"/>
    </row>
    <row r="290" spans="2:7">
      <c r="B290" s="68"/>
      <c r="C290" s="34"/>
      <c r="D290" s="70"/>
      <c r="E290" s="71"/>
      <c r="F290" s="71"/>
      <c r="G290" s="34"/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120</v>
      </c>
      <c r="C300" s="35" t="s">
        <v>66</v>
      </c>
      <c r="D300" s="69">
        <f>SUM(D286:D299)</f>
        <v>40</v>
      </c>
      <c r="E300" s="69">
        <f>SUM(E286:E299)</f>
        <v>35.090000000000003</v>
      </c>
      <c r="F300" s="69">
        <f>SUM(F286:F299)</f>
        <v>0</v>
      </c>
      <c r="G300" s="35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71" t="str">
        <f>'2018'!A35</f>
        <v>Salud</v>
      </c>
      <c r="C302" s="272"/>
      <c r="D302" s="272"/>
      <c r="E302" s="272"/>
      <c r="F302" s="272"/>
      <c r="G302" s="273"/>
    </row>
    <row r="303" spans="2:7" ht="15" customHeight="1" thickBot="1">
      <c r="B303" s="274"/>
      <c r="C303" s="275"/>
      <c r="D303" s="275"/>
      <c r="E303" s="275"/>
      <c r="F303" s="275"/>
      <c r="G303" s="276"/>
    </row>
    <row r="304" spans="2:7">
      <c r="B304" s="279" t="s">
        <v>10</v>
      </c>
      <c r="C304" s="278"/>
      <c r="D304" s="277" t="s">
        <v>11</v>
      </c>
      <c r="E304" s="277"/>
      <c r="F304" s="277"/>
      <c r="G304" s="278"/>
    </row>
    <row r="305" spans="2:7">
      <c r="B305" s="65" t="s">
        <v>32</v>
      </c>
      <c r="C305" s="73" t="s">
        <v>33</v>
      </c>
      <c r="D305" s="65" t="s">
        <v>68</v>
      </c>
      <c r="E305" s="66" t="s">
        <v>69</v>
      </c>
      <c r="F305" s="66" t="s">
        <v>32</v>
      </c>
      <c r="G305" s="73" t="s">
        <v>33</v>
      </c>
    </row>
    <row r="306" spans="2:7">
      <c r="B306" s="67">
        <v>100</v>
      </c>
      <c r="C306" s="37" t="s">
        <v>60</v>
      </c>
      <c r="D306" s="70"/>
      <c r="E306" s="71"/>
      <c r="F306" s="71"/>
      <c r="G306" s="34" t="s">
        <v>101</v>
      </c>
    </row>
    <row r="307" spans="2:7">
      <c r="B307" s="119"/>
      <c r="C307" s="79"/>
      <c r="D307" s="70">
        <f>161.13</f>
        <v>161.13</v>
      </c>
      <c r="E307" s="71"/>
      <c r="F307" s="71"/>
      <c r="G307" s="34" t="s">
        <v>97</v>
      </c>
    </row>
    <row r="308" spans="2:7">
      <c r="B308" s="119"/>
      <c r="C308" s="79"/>
      <c r="D308" s="70">
        <f>68.66+13.86</f>
        <v>82.52</v>
      </c>
      <c r="E308" s="71"/>
      <c r="F308" s="71"/>
      <c r="G308" s="34" t="s">
        <v>217</v>
      </c>
    </row>
    <row r="309" spans="2:7">
      <c r="B309" s="68"/>
      <c r="C309" s="34"/>
      <c r="D309" s="70"/>
      <c r="E309" s="71"/>
      <c r="F309" s="71"/>
      <c r="G309" s="34"/>
    </row>
    <row r="310" spans="2:7">
      <c r="B310" s="68"/>
      <c r="C310" s="34"/>
      <c r="D310" s="70"/>
      <c r="E310" s="71"/>
      <c r="F310" s="71"/>
      <c r="G310" s="34"/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66</v>
      </c>
      <c r="D320" s="69">
        <f>SUM(D306:D319)</f>
        <v>243.64999999999998</v>
      </c>
      <c r="E320" s="69">
        <f>SUM(E306:E319)</f>
        <v>0</v>
      </c>
      <c r="F320" s="69">
        <f>SUM(F306:F319)</f>
        <v>0</v>
      </c>
      <c r="G320" s="35" t="s">
        <v>66</v>
      </c>
    </row>
    <row r="321" spans="2:7" ht="15.75" thickBot="1"/>
    <row r="322" spans="2:7" ht="14.45" customHeight="1">
      <c r="B322" s="271" t="str">
        <f>'2018'!A36</f>
        <v>Martina</v>
      </c>
      <c r="C322" s="272"/>
      <c r="D322" s="272"/>
      <c r="E322" s="272"/>
      <c r="F322" s="272"/>
      <c r="G322" s="273"/>
    </row>
    <row r="323" spans="2:7" ht="15" customHeight="1" thickBot="1">
      <c r="B323" s="274"/>
      <c r="C323" s="275"/>
      <c r="D323" s="275"/>
      <c r="E323" s="275"/>
      <c r="F323" s="275"/>
      <c r="G323" s="276"/>
    </row>
    <row r="324" spans="2:7">
      <c r="B324" s="279" t="s">
        <v>10</v>
      </c>
      <c r="C324" s="278"/>
      <c r="D324" s="277" t="s">
        <v>11</v>
      </c>
      <c r="E324" s="277"/>
      <c r="F324" s="277"/>
      <c r="G324" s="278"/>
    </row>
    <row r="325" spans="2:7">
      <c r="B325" s="65" t="s">
        <v>32</v>
      </c>
      <c r="C325" s="73" t="s">
        <v>33</v>
      </c>
      <c r="D325" s="65" t="s">
        <v>68</v>
      </c>
      <c r="E325" s="66" t="s">
        <v>69</v>
      </c>
      <c r="F325" s="66" t="s">
        <v>32</v>
      </c>
      <c r="G325" s="73" t="s">
        <v>33</v>
      </c>
    </row>
    <row r="326" spans="2:7">
      <c r="B326" s="67">
        <v>30</v>
      </c>
      <c r="C326" s="37"/>
      <c r="D326" s="70"/>
      <c r="E326" s="71">
        <f>88.25</f>
        <v>88.25</v>
      </c>
      <c r="F326" s="71"/>
      <c r="G326" s="34" t="s">
        <v>319</v>
      </c>
    </row>
    <row r="327" spans="2:7">
      <c r="B327" s="68"/>
      <c r="C327" s="34"/>
      <c r="D327" s="70"/>
      <c r="E327" s="71"/>
      <c r="F327" s="71"/>
      <c r="G327" s="34"/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30</v>
      </c>
      <c r="C340" s="35" t="s">
        <v>66</v>
      </c>
      <c r="D340" s="69">
        <f>SUM(D326:D339)</f>
        <v>0</v>
      </c>
      <c r="E340" s="69">
        <f>SUM(E326:E339)</f>
        <v>88.25</v>
      </c>
      <c r="F340" s="69">
        <f>SUM(F326:F339)</f>
        <v>0</v>
      </c>
      <c r="G340" s="35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71" t="str">
        <f>'2018'!A37</f>
        <v>Impuestos</v>
      </c>
      <c r="C342" s="272"/>
      <c r="D342" s="272"/>
      <c r="E342" s="272"/>
      <c r="F342" s="272"/>
      <c r="G342" s="273"/>
    </row>
    <row r="343" spans="2:7" ht="15" customHeight="1" thickBot="1">
      <c r="B343" s="274"/>
      <c r="C343" s="275"/>
      <c r="D343" s="275"/>
      <c r="E343" s="275"/>
      <c r="F343" s="275"/>
      <c r="G343" s="276"/>
    </row>
    <row r="344" spans="2:7">
      <c r="B344" s="279" t="s">
        <v>10</v>
      </c>
      <c r="C344" s="278"/>
      <c r="D344" s="277" t="s">
        <v>11</v>
      </c>
      <c r="E344" s="277"/>
      <c r="F344" s="277"/>
      <c r="G344" s="278"/>
    </row>
    <row r="345" spans="2:7">
      <c r="B345" s="65" t="s">
        <v>32</v>
      </c>
      <c r="C345" s="73" t="s">
        <v>33</v>
      </c>
      <c r="D345" s="65" t="s">
        <v>68</v>
      </c>
      <c r="E345" s="66" t="s">
        <v>69</v>
      </c>
      <c r="F345" s="66" t="s">
        <v>32</v>
      </c>
      <c r="G345" s="73" t="s">
        <v>33</v>
      </c>
    </row>
    <row r="346" spans="2:7">
      <c r="B346" s="67">
        <v>30</v>
      </c>
      <c r="C346" s="37" t="s">
        <v>119</v>
      </c>
      <c r="D346" s="70"/>
      <c r="E346" s="71"/>
      <c r="F346" s="71"/>
      <c r="G346" s="34"/>
    </row>
    <row r="347" spans="2:7">
      <c r="B347" s="68"/>
      <c r="C347" s="34"/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30</v>
      </c>
      <c r="C360" s="35" t="s">
        <v>66</v>
      </c>
      <c r="D360" s="69">
        <f>SUM(D346:D359)</f>
        <v>0</v>
      </c>
      <c r="E360" s="69">
        <f>SUM(E346:E359)</f>
        <v>0</v>
      </c>
      <c r="F360" s="69">
        <f>SUM(F346:F359)</f>
        <v>0</v>
      </c>
      <c r="G360" s="35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71" t="str">
        <f>'2018'!A38</f>
        <v>Gastos Curros</v>
      </c>
      <c r="C362" s="272"/>
      <c r="D362" s="272"/>
      <c r="E362" s="272"/>
      <c r="F362" s="272"/>
      <c r="G362" s="273"/>
    </row>
    <row r="363" spans="2:7" ht="15" customHeight="1" thickBot="1">
      <c r="B363" s="274"/>
      <c r="C363" s="275"/>
      <c r="D363" s="275"/>
      <c r="E363" s="275"/>
      <c r="F363" s="275"/>
      <c r="G363" s="276"/>
    </row>
    <row r="364" spans="2:7">
      <c r="B364" s="279" t="s">
        <v>10</v>
      </c>
      <c r="C364" s="278"/>
      <c r="D364" s="277" t="s">
        <v>11</v>
      </c>
      <c r="E364" s="277"/>
      <c r="F364" s="277"/>
      <c r="G364" s="278"/>
    </row>
    <row r="365" spans="2:7">
      <c r="B365" s="65" t="s">
        <v>32</v>
      </c>
      <c r="C365" s="73" t="s">
        <v>33</v>
      </c>
      <c r="D365" s="65" t="s">
        <v>68</v>
      </c>
      <c r="E365" s="66" t="s">
        <v>69</v>
      </c>
      <c r="F365" s="66" t="s">
        <v>32</v>
      </c>
      <c r="G365" s="73" t="s">
        <v>33</v>
      </c>
    </row>
    <row r="366" spans="2:7">
      <c r="B366" s="67">
        <v>40</v>
      </c>
      <c r="C366" s="37" t="s">
        <v>36</v>
      </c>
      <c r="D366" s="70"/>
      <c r="E366" s="71"/>
      <c r="F366" s="71">
        <f>4+4.45+4+3.4+4.5+3.5+4.45</f>
        <v>28.3</v>
      </c>
      <c r="G366" s="91" t="s">
        <v>91</v>
      </c>
    </row>
    <row r="367" spans="2:7">
      <c r="B367" s="68"/>
      <c r="C367" s="34"/>
      <c r="D367" s="70"/>
      <c r="E367" s="71"/>
      <c r="F367" s="71"/>
      <c r="G367" s="91" t="s">
        <v>92</v>
      </c>
    </row>
    <row r="368" spans="2:7">
      <c r="B368" s="68"/>
      <c r="C368" s="34"/>
      <c r="D368" s="70"/>
      <c r="E368" s="71"/>
      <c r="F368" s="71"/>
      <c r="G368" s="34"/>
    </row>
    <row r="369" spans="2:7">
      <c r="B369" s="68"/>
      <c r="C369" s="34"/>
      <c r="D369" s="70"/>
      <c r="E369" s="71"/>
      <c r="F369" s="71"/>
      <c r="G369" s="34"/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40</v>
      </c>
      <c r="C380" s="35" t="s">
        <v>66</v>
      </c>
      <c r="D380" s="69">
        <f>SUM(D366:D379)</f>
        <v>0</v>
      </c>
      <c r="E380" s="69">
        <f>SUM(E366:E379)</f>
        <v>0</v>
      </c>
      <c r="F380" s="69">
        <f>SUM(F366:F379)</f>
        <v>28.3</v>
      </c>
      <c r="G380" s="35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71" t="str">
        <f>'2018'!A39</f>
        <v>Dreamed Holidays</v>
      </c>
      <c r="C382" s="272"/>
      <c r="D382" s="272"/>
      <c r="E382" s="272"/>
      <c r="F382" s="272"/>
      <c r="G382" s="273"/>
    </row>
    <row r="383" spans="2:7" ht="15" customHeight="1" thickBot="1">
      <c r="B383" s="274"/>
      <c r="C383" s="275"/>
      <c r="D383" s="275"/>
      <c r="E383" s="275"/>
      <c r="F383" s="275"/>
      <c r="G383" s="276"/>
    </row>
    <row r="384" spans="2:7">
      <c r="B384" s="279" t="s">
        <v>10</v>
      </c>
      <c r="C384" s="278"/>
      <c r="D384" s="277" t="s">
        <v>11</v>
      </c>
      <c r="E384" s="277"/>
      <c r="F384" s="277"/>
      <c r="G384" s="278"/>
    </row>
    <row r="385" spans="2:7">
      <c r="B385" s="65" t="s">
        <v>32</v>
      </c>
      <c r="C385" s="73" t="s">
        <v>33</v>
      </c>
      <c r="D385" s="65" t="s">
        <v>68</v>
      </c>
      <c r="E385" s="66" t="s">
        <v>69</v>
      </c>
      <c r="F385" s="66" t="s">
        <v>32</v>
      </c>
      <c r="G385" s="73" t="s">
        <v>33</v>
      </c>
    </row>
    <row r="386" spans="2:7">
      <c r="B386" s="67">
        <v>10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10</v>
      </c>
      <c r="C400" s="35" t="s">
        <v>66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71" t="str">
        <f>'2018'!A40</f>
        <v>Financieros</v>
      </c>
      <c r="C402" s="272"/>
      <c r="D402" s="272"/>
      <c r="E402" s="272"/>
      <c r="F402" s="272"/>
      <c r="G402" s="273"/>
    </row>
    <row r="403" spans="2:7" ht="15" customHeight="1" thickBot="1">
      <c r="B403" s="274"/>
      <c r="C403" s="275"/>
      <c r="D403" s="275"/>
      <c r="E403" s="275"/>
      <c r="F403" s="275"/>
      <c r="G403" s="276"/>
    </row>
    <row r="404" spans="2:7">
      <c r="B404" s="279" t="s">
        <v>10</v>
      </c>
      <c r="C404" s="278"/>
      <c r="D404" s="277" t="s">
        <v>11</v>
      </c>
      <c r="E404" s="277"/>
      <c r="F404" s="277"/>
      <c r="G404" s="278"/>
    </row>
    <row r="405" spans="2:7">
      <c r="B405" s="65" t="s">
        <v>32</v>
      </c>
      <c r="C405" s="73" t="s">
        <v>33</v>
      </c>
      <c r="D405" s="65" t="s">
        <v>68</v>
      </c>
      <c r="E405" s="66" t="s">
        <v>69</v>
      </c>
      <c r="F405" s="66" t="s">
        <v>32</v>
      </c>
      <c r="G405" s="73" t="s">
        <v>33</v>
      </c>
    </row>
    <row r="406" spans="2:7">
      <c r="B406" s="67"/>
      <c r="C406" s="37"/>
      <c r="D406" s="70"/>
      <c r="E406" s="71"/>
      <c r="F406" s="71"/>
      <c r="G406" s="34"/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0</v>
      </c>
      <c r="C420" s="35" t="s">
        <v>66</v>
      </c>
      <c r="D420" s="69">
        <f>SUM(D406:D419)</f>
        <v>0</v>
      </c>
      <c r="E420" s="69">
        <f>SUM(E406:E419)</f>
        <v>0</v>
      </c>
      <c r="F420" s="69">
        <f>SUM(F406:F419)</f>
        <v>0</v>
      </c>
      <c r="G420" s="35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71" t="str">
        <f>'2018'!A41</f>
        <v>Ahorros Colchón</v>
      </c>
      <c r="C422" s="289"/>
      <c r="D422" s="289"/>
      <c r="E422" s="289"/>
      <c r="F422" s="289"/>
      <c r="G422" s="290"/>
    </row>
    <row r="423" spans="2:7" ht="15" customHeight="1" thickBot="1">
      <c r="B423" s="291"/>
      <c r="C423" s="292"/>
      <c r="D423" s="292"/>
      <c r="E423" s="292"/>
      <c r="F423" s="292"/>
      <c r="G423" s="293"/>
    </row>
    <row r="424" spans="2:7">
      <c r="B424" s="279" t="s">
        <v>10</v>
      </c>
      <c r="C424" s="278"/>
      <c r="D424" s="277" t="s">
        <v>11</v>
      </c>
      <c r="E424" s="277"/>
      <c r="F424" s="277"/>
      <c r="G424" s="278"/>
    </row>
    <row r="425" spans="2:7">
      <c r="B425" s="65" t="s">
        <v>32</v>
      </c>
      <c r="C425" s="73" t="s">
        <v>33</v>
      </c>
      <c r="D425" s="65" t="s">
        <v>68</v>
      </c>
      <c r="E425" s="66" t="s">
        <v>69</v>
      </c>
      <c r="F425" s="66" t="s">
        <v>32</v>
      </c>
      <c r="G425" s="73" t="s">
        <v>33</v>
      </c>
    </row>
    <row r="426" spans="2:7">
      <c r="B426" s="67">
        <v>-59.16</v>
      </c>
      <c r="C426" s="37" t="s">
        <v>335</v>
      </c>
      <c r="D426" s="70"/>
      <c r="E426" s="71"/>
      <c r="F426" s="71"/>
      <c r="G426" s="34"/>
    </row>
    <row r="427" spans="2:7">
      <c r="B427" s="68"/>
      <c r="C427" s="34"/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-59.16</v>
      </c>
      <c r="C440" s="35" t="s">
        <v>66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71" t="str">
        <f>'2018'!A42</f>
        <v>Dinero Bloqueado</v>
      </c>
      <c r="C442" s="289"/>
      <c r="D442" s="289"/>
      <c r="E442" s="289"/>
      <c r="F442" s="289"/>
      <c r="G442" s="290"/>
    </row>
    <row r="443" spans="2:7" ht="15" customHeight="1" thickBot="1">
      <c r="B443" s="291"/>
      <c r="C443" s="292"/>
      <c r="D443" s="292"/>
      <c r="E443" s="292"/>
      <c r="F443" s="292"/>
      <c r="G443" s="293"/>
    </row>
    <row r="444" spans="2:7">
      <c r="B444" s="279" t="s">
        <v>10</v>
      </c>
      <c r="C444" s="278"/>
      <c r="D444" s="277" t="s">
        <v>11</v>
      </c>
      <c r="E444" s="277"/>
      <c r="F444" s="277"/>
      <c r="G444" s="278"/>
    </row>
    <row r="445" spans="2:7">
      <c r="B445" s="65" t="s">
        <v>32</v>
      </c>
      <c r="C445" s="73" t="s">
        <v>33</v>
      </c>
      <c r="D445" s="65" t="s">
        <v>68</v>
      </c>
      <c r="E445" s="66" t="s">
        <v>69</v>
      </c>
      <c r="F445" s="66" t="s">
        <v>32</v>
      </c>
      <c r="G445" s="73" t="s">
        <v>33</v>
      </c>
    </row>
    <row r="446" spans="2:7">
      <c r="B446" s="67"/>
      <c r="C446" s="37"/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0</v>
      </c>
      <c r="C460" s="35" t="s">
        <v>66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71" t="str">
        <f>'2018'!A43</f>
        <v>Cartama Finanazas</v>
      </c>
      <c r="C462" s="289"/>
      <c r="D462" s="289"/>
      <c r="E462" s="289"/>
      <c r="F462" s="289"/>
      <c r="G462" s="290"/>
    </row>
    <row r="463" spans="2:7" ht="15" customHeight="1" thickBot="1">
      <c r="B463" s="291"/>
      <c r="C463" s="292"/>
      <c r="D463" s="292"/>
      <c r="E463" s="292"/>
      <c r="F463" s="292"/>
      <c r="G463" s="293"/>
    </row>
    <row r="464" spans="2:7">
      <c r="B464" s="279" t="s">
        <v>10</v>
      </c>
      <c r="C464" s="278"/>
      <c r="D464" s="277" t="s">
        <v>11</v>
      </c>
      <c r="E464" s="277"/>
      <c r="F464" s="277"/>
      <c r="G464" s="278"/>
    </row>
    <row r="465" spans="2:7">
      <c r="B465" s="65" t="s">
        <v>32</v>
      </c>
      <c r="C465" s="73" t="s">
        <v>33</v>
      </c>
      <c r="D465" s="65" t="s">
        <v>68</v>
      </c>
      <c r="E465" s="66" t="s">
        <v>69</v>
      </c>
      <c r="F465" s="66" t="s">
        <v>32</v>
      </c>
      <c r="G465" s="73" t="s">
        <v>33</v>
      </c>
    </row>
    <row r="466" spans="2:7">
      <c r="B466" s="67"/>
      <c r="C466" s="37"/>
      <c r="D466" s="70"/>
      <c r="E466" s="71"/>
      <c r="F466" s="71"/>
      <c r="G466" s="34"/>
    </row>
    <row r="467" spans="2:7">
      <c r="B467" s="68"/>
      <c r="C467" s="34"/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0</v>
      </c>
      <c r="C480" s="35" t="s">
        <v>66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66</v>
      </c>
    </row>
    <row r="481" spans="2:7" ht="15.75" thickBot="1"/>
    <row r="482" spans="2:7" ht="14.45" customHeight="1">
      <c r="B482" s="271" t="str">
        <f>'2018'!A44</f>
        <v>NULO</v>
      </c>
      <c r="C482" s="289"/>
      <c r="D482" s="289"/>
      <c r="E482" s="289"/>
      <c r="F482" s="289"/>
      <c r="G482" s="290"/>
    </row>
    <row r="483" spans="2:7" ht="15" customHeight="1" thickBot="1">
      <c r="B483" s="291"/>
      <c r="C483" s="292"/>
      <c r="D483" s="292"/>
      <c r="E483" s="292"/>
      <c r="F483" s="292"/>
      <c r="G483" s="293"/>
    </row>
    <row r="484" spans="2:7">
      <c r="B484" s="279" t="s">
        <v>10</v>
      </c>
      <c r="C484" s="278"/>
      <c r="D484" s="277" t="s">
        <v>11</v>
      </c>
      <c r="E484" s="277"/>
      <c r="F484" s="277"/>
      <c r="G484" s="278"/>
    </row>
    <row r="485" spans="2:7">
      <c r="B485" s="65" t="s">
        <v>32</v>
      </c>
      <c r="C485" s="73" t="s">
        <v>33</v>
      </c>
      <c r="D485" s="65" t="s">
        <v>68</v>
      </c>
      <c r="E485" s="66" t="s">
        <v>69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66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71" t="str">
        <f>'2018'!A45</f>
        <v>OTROS</v>
      </c>
      <c r="C502" s="289"/>
      <c r="D502" s="289"/>
      <c r="E502" s="289"/>
      <c r="F502" s="289"/>
      <c r="G502" s="290"/>
    </row>
    <row r="503" spans="2:7" ht="15" customHeight="1" thickBot="1">
      <c r="B503" s="291"/>
      <c r="C503" s="292"/>
      <c r="D503" s="292"/>
      <c r="E503" s="292"/>
      <c r="F503" s="292"/>
      <c r="G503" s="293"/>
    </row>
    <row r="504" spans="2:7">
      <c r="B504" s="279" t="s">
        <v>10</v>
      </c>
      <c r="C504" s="278"/>
      <c r="D504" s="277" t="s">
        <v>11</v>
      </c>
      <c r="E504" s="277"/>
      <c r="F504" s="277"/>
      <c r="G504" s="278"/>
    </row>
    <row r="505" spans="2:7">
      <c r="B505" s="65" t="s">
        <v>32</v>
      </c>
      <c r="C505" s="73" t="s">
        <v>33</v>
      </c>
      <c r="D505" s="65" t="s">
        <v>68</v>
      </c>
      <c r="E505" s="66" t="s">
        <v>69</v>
      </c>
      <c r="F505" s="66" t="s">
        <v>32</v>
      </c>
      <c r="G505" s="73" t="s">
        <v>33</v>
      </c>
    </row>
    <row r="506" spans="2:7">
      <c r="B506" s="67">
        <v>10</v>
      </c>
      <c r="C506" s="37"/>
      <c r="D506" s="70"/>
      <c r="E506" s="71"/>
      <c r="F506" s="71">
        <v>3.5</v>
      </c>
      <c r="G506" s="34" t="s">
        <v>331</v>
      </c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>
        <f>SUM(B506:B519)</f>
        <v>10</v>
      </c>
      <c r="C520" s="35" t="s">
        <v>66</v>
      </c>
      <c r="D520" s="69">
        <f>SUM(D506:D519)</f>
        <v>0</v>
      </c>
      <c r="E520" s="69">
        <f>SUM(E506:E519)</f>
        <v>0</v>
      </c>
      <c r="F520" s="69">
        <f>SUM(F506:F519)</f>
        <v>3.5</v>
      </c>
      <c r="G520" s="35" t="s">
        <v>66</v>
      </c>
    </row>
  </sheetData>
  <mergeCells count="111"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300-000000000000}"/>
    <hyperlink ref="I2:L3" location="'2018'!K4:N4" display="SALDO REAL" xr:uid="{00000000-0004-0000-0300-000001000000}"/>
    <hyperlink ref="I22" location="Trimestre!C39:F40" display="TELÉFONO" xr:uid="{00000000-0004-0000-0300-000002000000}"/>
    <hyperlink ref="I22:L23" location="'2018'!K7:N7" display="INGRESOS" xr:uid="{00000000-0004-0000-0300-000003000000}"/>
    <hyperlink ref="B2" location="Trimestre!C25:F26" display="HIPOTECA" xr:uid="{00000000-0004-0000-0300-000004000000}"/>
    <hyperlink ref="B2:G3" location="'2018'!K20:N20" display="'2018'!K20:N20" xr:uid="{00000000-0004-0000-0300-000005000000}"/>
    <hyperlink ref="B22" location="Trimestre!C25:F26" display="HIPOTECA" xr:uid="{00000000-0004-0000-0300-000006000000}"/>
    <hyperlink ref="B22:G23" location="'2018'!K21:N21" display="'2018'!K21:N21" xr:uid="{00000000-0004-0000-0300-000007000000}"/>
    <hyperlink ref="B42" location="Trimestre!C25:F26" display="HIPOTECA" xr:uid="{00000000-0004-0000-0300-000008000000}"/>
    <hyperlink ref="B42:G43" location="'2018'!K22:N22" display="'2018'!K22:N22" xr:uid="{00000000-0004-0000-0300-000009000000}"/>
    <hyperlink ref="B62" location="Trimestre!C25:F26" display="HIPOTECA" xr:uid="{00000000-0004-0000-0300-00000A000000}"/>
    <hyperlink ref="B62:G63" location="'2018'!K23:N23" display="'2018'!K23:N23" xr:uid="{00000000-0004-0000-0300-00000B000000}"/>
    <hyperlink ref="B82" location="Trimestre!C25:F26" display="HIPOTECA" xr:uid="{00000000-0004-0000-0300-00000C000000}"/>
    <hyperlink ref="B82:G83" location="'2018'!K24:N24" display="'2018'!K24:N24" xr:uid="{00000000-0004-0000-0300-00000D000000}"/>
    <hyperlink ref="B102" location="Trimestre!C25:F26" display="HIPOTECA" xr:uid="{00000000-0004-0000-0300-00000E000000}"/>
    <hyperlink ref="B102:G103" location="'2018'!K25:N25" display="'2018'!K25:N25" xr:uid="{00000000-0004-0000-0300-00000F000000}"/>
    <hyperlink ref="B122" location="Trimestre!C25:F26" display="HIPOTECA" xr:uid="{00000000-0004-0000-0300-000010000000}"/>
    <hyperlink ref="B122:G123" location="'2018'!K26:N26" display="'2018'!K26:N26" xr:uid="{00000000-0004-0000-0300-000011000000}"/>
    <hyperlink ref="B142" location="Trimestre!C25:F26" display="HIPOTECA" xr:uid="{00000000-0004-0000-0300-000012000000}"/>
    <hyperlink ref="B142:G143" location="'2018'!K27:N27" display="'2018'!K27:N27" xr:uid="{00000000-0004-0000-0300-000013000000}"/>
    <hyperlink ref="B162" location="Trimestre!C25:F26" display="HIPOTECA" xr:uid="{00000000-0004-0000-0300-000014000000}"/>
    <hyperlink ref="B162:G163" location="'2018'!K28:N28" display="'2018'!K28:N28" xr:uid="{00000000-0004-0000-0300-000015000000}"/>
    <hyperlink ref="B182" location="Trimestre!C25:F26" display="HIPOTECA" xr:uid="{00000000-0004-0000-0300-000016000000}"/>
    <hyperlink ref="B182:G183" location="'2018'!K29:N29" display="'2018'!K29:N29" xr:uid="{00000000-0004-0000-0300-000017000000}"/>
    <hyperlink ref="B202" location="Trimestre!C25:F26" display="HIPOTECA" xr:uid="{00000000-0004-0000-0300-000018000000}"/>
    <hyperlink ref="B202:G203" location="'2018'!K30:N30" display="'2018'!K30:N30" xr:uid="{00000000-0004-0000-0300-000019000000}"/>
    <hyperlink ref="B222" location="Trimestre!C25:F26" display="HIPOTECA" xr:uid="{00000000-0004-0000-0300-00001A000000}"/>
    <hyperlink ref="B222:G223" location="'2018'!K31:N31" display="'2018'!K31:N31" xr:uid="{00000000-0004-0000-0300-00001B000000}"/>
    <hyperlink ref="B242" location="Trimestre!C25:F26" display="HIPOTECA" xr:uid="{00000000-0004-0000-0300-00001C000000}"/>
    <hyperlink ref="B242:G243" location="'2018'!K32:N32" display="'2018'!K32:N32" xr:uid="{00000000-0004-0000-0300-00001D000000}"/>
    <hyperlink ref="B262" location="Trimestre!C25:F26" display="HIPOTECA" xr:uid="{00000000-0004-0000-0300-00001E000000}"/>
    <hyperlink ref="B262:G263" location="'2018'!K33:N33" display="'2018'!K33:N33" xr:uid="{00000000-0004-0000-0300-00001F000000}"/>
    <hyperlink ref="B282" location="Trimestre!C25:F26" display="HIPOTECA" xr:uid="{00000000-0004-0000-0300-000020000000}"/>
    <hyperlink ref="B282:G283" location="'2018'!K34:N34" display="'2018'!K34:N34" xr:uid="{00000000-0004-0000-0300-000021000000}"/>
    <hyperlink ref="B302" location="Trimestre!C25:F26" display="HIPOTECA" xr:uid="{00000000-0004-0000-0300-000022000000}"/>
    <hyperlink ref="B302:G303" location="'2018'!K35:N35" display="'2018'!K35:N35" xr:uid="{00000000-0004-0000-0300-000023000000}"/>
    <hyperlink ref="B322" location="Trimestre!C25:F26" display="HIPOTECA" xr:uid="{00000000-0004-0000-0300-000024000000}"/>
    <hyperlink ref="B322:G323" location="'2018'!K36:N36" display="'2018'!K36:N36" xr:uid="{00000000-0004-0000-0300-000025000000}"/>
    <hyperlink ref="B342" location="Trimestre!C25:F26" display="HIPOTECA" xr:uid="{00000000-0004-0000-0300-000026000000}"/>
    <hyperlink ref="B342:G343" location="'2018'!K37:N37" display="'2018'!K37:N37" xr:uid="{00000000-0004-0000-0300-000027000000}"/>
    <hyperlink ref="B362" location="Trimestre!C25:F26" display="HIPOTECA" xr:uid="{00000000-0004-0000-0300-000028000000}"/>
    <hyperlink ref="B362:G363" location="'2018'!K38:N38" display="'2018'!K38:N38" xr:uid="{00000000-0004-0000-0300-000029000000}"/>
    <hyperlink ref="B382" location="Trimestre!C25:F26" display="HIPOTECA" xr:uid="{00000000-0004-0000-0300-00002A000000}"/>
    <hyperlink ref="B382:G383" location="'2018'!K39:N39" display="'2018'!K39:N39" xr:uid="{00000000-0004-0000-0300-00002B000000}"/>
    <hyperlink ref="B402" location="Trimestre!C25:F26" display="HIPOTECA" xr:uid="{00000000-0004-0000-0300-00002C000000}"/>
    <hyperlink ref="B402:G403" location="'2018'!K40:N40" display="'2018'!K40:N40" xr:uid="{00000000-0004-0000-0300-00002D000000}"/>
    <hyperlink ref="B422" location="Trimestre!C25:F26" display="HIPOTECA" xr:uid="{00000000-0004-0000-0300-00002E000000}"/>
    <hyperlink ref="B422:G423" location="'2018'!K41:N41" display="'2018'!K41:N41" xr:uid="{00000000-0004-0000-0300-00002F000000}"/>
    <hyperlink ref="B442" location="Trimestre!C25:F26" display="HIPOTECA" xr:uid="{00000000-0004-0000-0300-000030000000}"/>
    <hyperlink ref="B442:G443" location="'2018'!K42:N42" display="'2018'!K42:N42" xr:uid="{00000000-0004-0000-0300-000031000000}"/>
    <hyperlink ref="B462" location="Trimestre!C25:F26" display="HIPOTECA" xr:uid="{00000000-0004-0000-0300-000032000000}"/>
    <hyperlink ref="B462:G463" location="'2018'!K43:N43" display="'2018'!K43:N43" xr:uid="{00000000-0004-0000-0300-000033000000}"/>
    <hyperlink ref="B482" location="Trimestre!C25:F26" display="HIPOTECA" xr:uid="{00000000-0004-0000-0300-000034000000}"/>
    <hyperlink ref="B482:G483" location="'2018'!K44:N44" display="'2018'!K44:N44" xr:uid="{00000000-0004-0000-0300-000035000000}"/>
    <hyperlink ref="B502" location="Trimestre!C25:F26" display="HIPOTECA" xr:uid="{00000000-0004-0000-0300-000036000000}"/>
    <hyperlink ref="B502:G503" location="'2018'!K45:N45" display="'2018'!K45:N45" xr:uid="{00000000-0004-0000-0300-000037000000}"/>
  </hyperlinks>
  <pageMargins left="0.7" right="0.7" top="0.75" bottom="0.75" header="0.3" footer="0.3"/>
  <pageSetup paperSize="9"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520"/>
  <sheetViews>
    <sheetView topLeftCell="B1" workbookViewId="0">
      <selection activeCell="G13" sqref="G13"/>
    </sheetView>
  </sheetViews>
  <sheetFormatPr defaultColWidth="11.42578125" defaultRowHeight="15"/>
  <cols>
    <col min="1" max="1" width="11.42578125" style="175"/>
    <col min="2" max="2" width="10" style="175" customWidth="1"/>
    <col min="3" max="3" width="33.28515625" style="175" customWidth="1"/>
    <col min="4" max="6" width="10" style="175" customWidth="1"/>
    <col min="7" max="7" width="33.28515625" style="175" customWidth="1"/>
    <col min="8" max="9" width="11.42578125" style="175"/>
    <col min="10" max="10" width="31.28515625" style="175" customWidth="1"/>
    <col min="11" max="16384" width="11.42578125" style="175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71" t="str">
        <f>'2018'!A20</f>
        <v>Cártama Gastos</v>
      </c>
      <c r="C2" s="272"/>
      <c r="D2" s="272"/>
      <c r="E2" s="272"/>
      <c r="F2" s="272"/>
      <c r="G2" s="273"/>
      <c r="H2" s="1"/>
      <c r="I2" s="284" t="s">
        <v>4</v>
      </c>
      <c r="J2" s="272"/>
      <c r="K2" s="272"/>
      <c r="L2" s="273"/>
      <c r="M2" s="1"/>
      <c r="N2" s="1"/>
      <c r="R2" s="3"/>
    </row>
    <row r="3" spans="1:22" ht="16.5" thickBot="1">
      <c r="A3" s="1"/>
      <c r="B3" s="274"/>
      <c r="C3" s="275"/>
      <c r="D3" s="275"/>
      <c r="E3" s="275"/>
      <c r="F3" s="275"/>
      <c r="G3" s="276"/>
      <c r="H3" s="1"/>
      <c r="I3" s="274"/>
      <c r="J3" s="275"/>
      <c r="K3" s="275"/>
      <c r="L3" s="276"/>
      <c r="M3" s="1"/>
      <c r="N3" s="1"/>
      <c r="R3" s="3"/>
    </row>
    <row r="4" spans="1:22" ht="15.75">
      <c r="A4" s="1"/>
      <c r="B4" s="279" t="s">
        <v>10</v>
      </c>
      <c r="C4" s="278"/>
      <c r="D4" s="277" t="s">
        <v>11</v>
      </c>
      <c r="E4" s="277"/>
      <c r="F4" s="277"/>
      <c r="G4" s="278"/>
      <c r="H4" s="1"/>
      <c r="I4" s="32" t="s">
        <v>70</v>
      </c>
      <c r="J4" s="33" t="s">
        <v>71</v>
      </c>
      <c r="K4" s="285" t="s">
        <v>72</v>
      </c>
      <c r="L4" s="286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68</v>
      </c>
      <c r="E5" s="66" t="s">
        <v>69</v>
      </c>
      <c r="F5" s="66" t="s">
        <v>32</v>
      </c>
      <c r="G5" s="73" t="s">
        <v>33</v>
      </c>
      <c r="H5" s="1"/>
      <c r="I5" s="74" t="s">
        <v>73</v>
      </c>
      <c r="J5" s="3" t="s">
        <v>74</v>
      </c>
      <c r="K5" s="287">
        <v>1117.3699999999999</v>
      </c>
      <c r="L5" s="288"/>
      <c r="M5" s="117"/>
      <c r="N5" s="1"/>
      <c r="R5" s="3"/>
    </row>
    <row r="6" spans="1:22" ht="15.75">
      <c r="A6" s="1"/>
      <c r="B6" s="67">
        <v>399</v>
      </c>
      <c r="C6" s="37" t="s">
        <v>312</v>
      </c>
      <c r="D6" s="70"/>
      <c r="E6" s="71">
        <v>398.31</v>
      </c>
      <c r="F6" s="71"/>
      <c r="G6" s="34" t="s">
        <v>35</v>
      </c>
      <c r="H6" s="1"/>
      <c r="I6" s="75" t="s">
        <v>73</v>
      </c>
      <c r="J6" s="36" t="s">
        <v>75</v>
      </c>
      <c r="K6" s="280">
        <v>292.37</v>
      </c>
      <c r="L6" s="281"/>
      <c r="M6" s="1" t="s">
        <v>267</v>
      </c>
      <c r="N6" s="1"/>
      <c r="R6" s="3"/>
    </row>
    <row r="7" spans="1:22" ht="15.75">
      <c r="A7" s="1"/>
      <c r="B7" s="68">
        <v>60</v>
      </c>
      <c r="C7" s="34" t="s">
        <v>326</v>
      </c>
      <c r="D7" s="70"/>
      <c r="E7" s="71">
        <v>17.46</v>
      </c>
      <c r="F7" s="71"/>
      <c r="G7" s="34" t="s">
        <v>106</v>
      </c>
      <c r="H7" s="117"/>
      <c r="I7" s="75" t="s">
        <v>76</v>
      </c>
      <c r="J7" s="36" t="s">
        <v>77</v>
      </c>
      <c r="K7" s="280">
        <f>6685.64-16.84-6.88</f>
        <v>6661.92</v>
      </c>
      <c r="L7" s="281"/>
      <c r="M7" s="1"/>
      <c r="N7" s="1"/>
      <c r="R7" s="3"/>
    </row>
    <row r="8" spans="1:22" ht="15.75">
      <c r="A8" s="1"/>
      <c r="B8" s="68">
        <v>0</v>
      </c>
      <c r="C8" s="34" t="s">
        <v>38</v>
      </c>
      <c r="D8" s="70"/>
      <c r="E8" s="71">
        <v>100.01</v>
      </c>
      <c r="F8" s="71"/>
      <c r="G8" s="34" t="s">
        <v>38</v>
      </c>
      <c r="H8" s="1"/>
      <c r="I8" s="75" t="s">
        <v>76</v>
      </c>
      <c r="J8" s="36" t="s">
        <v>78</v>
      </c>
      <c r="K8" s="280">
        <v>5000</v>
      </c>
      <c r="L8" s="281"/>
      <c r="M8" s="1"/>
      <c r="N8" s="1"/>
      <c r="R8" s="3"/>
    </row>
    <row r="9" spans="1:22" ht="15.75">
      <c r="A9" s="1"/>
      <c r="B9" s="68">
        <v>0</v>
      </c>
      <c r="C9" s="34" t="s">
        <v>40</v>
      </c>
      <c r="D9" s="70"/>
      <c r="E9" s="71"/>
      <c r="F9" s="71"/>
      <c r="G9" s="34" t="s">
        <v>40</v>
      </c>
      <c r="H9" s="1"/>
      <c r="I9" s="75" t="s">
        <v>76</v>
      </c>
      <c r="J9" s="36" t="s">
        <v>268</v>
      </c>
      <c r="K9" s="280">
        <v>621.13</v>
      </c>
      <c r="L9" s="281"/>
      <c r="M9" s="1"/>
      <c r="N9" s="1"/>
      <c r="R9" s="3"/>
    </row>
    <row r="10" spans="1:22" ht="15.75">
      <c r="A10" s="1"/>
      <c r="B10" s="68">
        <v>12</v>
      </c>
      <c r="C10" s="34" t="s">
        <v>39</v>
      </c>
      <c r="D10" s="70"/>
      <c r="E10" s="71">
        <v>12</v>
      </c>
      <c r="F10" s="71"/>
      <c r="G10" s="34" t="s">
        <v>39</v>
      </c>
      <c r="H10" s="1"/>
      <c r="I10" s="75" t="s">
        <v>76</v>
      </c>
      <c r="J10" s="36" t="s">
        <v>115</v>
      </c>
      <c r="K10" s="280">
        <v>1800.04</v>
      </c>
      <c r="L10" s="281"/>
      <c r="M10" s="1" t="s">
        <v>266</v>
      </c>
      <c r="N10" s="1"/>
      <c r="R10" s="3"/>
    </row>
    <row r="11" spans="1:22" ht="15.75">
      <c r="A11" s="1"/>
      <c r="B11" s="68">
        <v>31</v>
      </c>
      <c r="C11" s="34" t="s">
        <v>37</v>
      </c>
      <c r="D11" s="70"/>
      <c r="E11" s="71">
        <v>30.24</v>
      </c>
      <c r="F11" s="71"/>
      <c r="G11" s="34" t="s">
        <v>37</v>
      </c>
      <c r="H11" s="1"/>
      <c r="I11" s="75" t="s">
        <v>93</v>
      </c>
      <c r="J11" s="36" t="s">
        <v>94</v>
      </c>
      <c r="K11" s="280">
        <f>90+30+15</f>
        <v>135</v>
      </c>
      <c r="L11" s="281"/>
      <c r="M11" s="1"/>
      <c r="N11" s="1"/>
      <c r="R11" s="3"/>
    </row>
    <row r="12" spans="1:22" ht="15.75">
      <c r="A12" s="1"/>
      <c r="B12" s="68">
        <v>120</v>
      </c>
      <c r="C12" s="34" t="s">
        <v>195</v>
      </c>
      <c r="D12" s="70"/>
      <c r="E12" s="71">
        <v>43.62</v>
      </c>
      <c r="F12" s="71"/>
      <c r="G12" s="34" t="s">
        <v>225</v>
      </c>
      <c r="H12" s="1"/>
      <c r="I12" s="75" t="s">
        <v>304</v>
      </c>
      <c r="J12" s="36" t="s">
        <v>305</v>
      </c>
      <c r="K12" s="280">
        <v>5092.08</v>
      </c>
      <c r="L12" s="281"/>
      <c r="M12" s="178"/>
      <c r="N12" s="1"/>
      <c r="R12" s="3"/>
    </row>
    <row r="13" spans="1:22" ht="15.75">
      <c r="A13" s="1"/>
      <c r="B13" s="68">
        <v>50</v>
      </c>
      <c r="C13" s="34" t="s">
        <v>196</v>
      </c>
      <c r="D13" s="70">
        <v>82.95</v>
      </c>
      <c r="E13" s="71"/>
      <c r="F13" s="71"/>
      <c r="G13" s="34" t="s">
        <v>353</v>
      </c>
      <c r="H13" s="1"/>
      <c r="I13" s="75"/>
      <c r="J13" s="36"/>
      <c r="K13" s="280"/>
      <c r="L13" s="281"/>
      <c r="M13" s="1"/>
      <c r="N13" s="1"/>
      <c r="R13" s="3"/>
    </row>
    <row r="14" spans="1:22" ht="15.75">
      <c r="A14" s="1"/>
      <c r="B14" s="68">
        <v>25</v>
      </c>
      <c r="C14" s="34" t="s">
        <v>207</v>
      </c>
      <c r="D14" s="70"/>
      <c r="E14" s="71"/>
      <c r="F14" s="71"/>
      <c r="G14" s="34"/>
      <c r="H14" s="1"/>
      <c r="I14" s="75"/>
      <c r="J14" s="36"/>
      <c r="K14" s="280"/>
      <c r="L14" s="281"/>
      <c r="M14" s="1"/>
      <c r="N14" s="1"/>
      <c r="R14" s="3"/>
    </row>
    <row r="15" spans="1:22" ht="15.75">
      <c r="A15" s="1"/>
      <c r="B15" s="68">
        <v>7</v>
      </c>
      <c r="C15" s="34" t="s">
        <v>353</v>
      </c>
      <c r="D15" s="70"/>
      <c r="E15" s="71"/>
      <c r="F15" s="71"/>
      <c r="G15" s="34"/>
      <c r="H15" s="1"/>
      <c r="I15" s="75"/>
      <c r="J15" s="36"/>
      <c r="K15" s="280"/>
      <c r="L15" s="281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75"/>
      <c r="J16" s="36"/>
      <c r="K16" s="280"/>
      <c r="L16" s="281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75"/>
      <c r="J17" s="36"/>
      <c r="K17" s="280"/>
      <c r="L17" s="281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76"/>
      <c r="J18" s="38"/>
      <c r="K18" s="282"/>
      <c r="L18" s="283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83</v>
      </c>
      <c r="J19" s="38"/>
      <c r="K19" s="282">
        <f>SUM(K5:K18)</f>
        <v>20719.909999999996</v>
      </c>
      <c r="L19" s="283"/>
      <c r="M19" s="1"/>
      <c r="N19" s="1"/>
      <c r="R19" s="3"/>
    </row>
    <row r="20" spans="1:18" ht="16.5" thickBot="1">
      <c r="A20" s="1"/>
      <c r="B20" s="69">
        <f>SUM(B6:B19)</f>
        <v>704</v>
      </c>
      <c r="C20" s="35" t="s">
        <v>66</v>
      </c>
      <c r="D20" s="69">
        <f>SUM(D6:D19)</f>
        <v>82.95</v>
      </c>
      <c r="E20" s="69">
        <f>SUM(E6:E19)</f>
        <v>601.64</v>
      </c>
      <c r="F20" s="69">
        <f>SUM(F6:F19)</f>
        <v>0</v>
      </c>
      <c r="G20" s="35" t="s">
        <v>66</v>
      </c>
      <c r="H20" s="1"/>
      <c r="I20" s="175" t="s">
        <v>116</v>
      </c>
      <c r="L20" s="178">
        <f>K19-K10-K12</f>
        <v>13827.789999999995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71" t="str">
        <f>'2018'!A21</f>
        <v>Waterloo</v>
      </c>
      <c r="C22" s="272"/>
      <c r="D22" s="272"/>
      <c r="E22" s="272"/>
      <c r="F22" s="272"/>
      <c r="G22" s="273"/>
      <c r="H22" s="1"/>
      <c r="I22" s="284" t="s">
        <v>6</v>
      </c>
      <c r="J22" s="272"/>
      <c r="K22" s="272"/>
      <c r="L22" s="273"/>
      <c r="M22" s="1"/>
      <c r="R22" s="3"/>
    </row>
    <row r="23" spans="1:18" ht="16.149999999999999" customHeight="1" thickBot="1">
      <c r="A23" s="1"/>
      <c r="B23" s="274"/>
      <c r="C23" s="275"/>
      <c r="D23" s="275"/>
      <c r="E23" s="275"/>
      <c r="F23" s="275"/>
      <c r="G23" s="276"/>
      <c r="H23" s="1"/>
      <c r="I23" s="274"/>
      <c r="J23" s="275"/>
      <c r="K23" s="275"/>
      <c r="L23" s="276"/>
      <c r="M23" s="1"/>
      <c r="R23" s="3"/>
    </row>
    <row r="24" spans="1:18" ht="15.75">
      <c r="A24" s="1"/>
      <c r="B24" s="279" t="s">
        <v>10</v>
      </c>
      <c r="C24" s="278"/>
      <c r="D24" s="277" t="s">
        <v>11</v>
      </c>
      <c r="E24" s="277"/>
      <c r="F24" s="277"/>
      <c r="G24" s="278"/>
      <c r="H24" s="1"/>
      <c r="I24" s="124" t="s">
        <v>33</v>
      </c>
      <c r="J24" s="33" t="s">
        <v>133</v>
      </c>
      <c r="K24" s="285" t="s">
        <v>134</v>
      </c>
      <c r="L24" s="286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68</v>
      </c>
      <c r="E25" s="66" t="s">
        <v>69</v>
      </c>
      <c r="F25" s="66" t="s">
        <v>32</v>
      </c>
      <c r="G25" s="73" t="s">
        <v>33</v>
      </c>
      <c r="H25" s="1"/>
      <c r="I25" s="190">
        <v>2</v>
      </c>
      <c r="J25" s="36" t="s">
        <v>277</v>
      </c>
      <c r="K25" s="287">
        <v>249.22</v>
      </c>
      <c r="L25" s="288"/>
      <c r="M25" s="1"/>
      <c r="R25" s="3"/>
    </row>
    <row r="26" spans="1:18" ht="15.75">
      <c r="A26" s="1"/>
      <c r="B26" s="67">
        <v>900</v>
      </c>
      <c r="C26" s="79" t="s">
        <v>42</v>
      </c>
      <c r="D26" s="70">
        <v>900</v>
      </c>
      <c r="E26" s="71"/>
      <c r="F26" s="71"/>
      <c r="G26" s="34" t="s">
        <v>42</v>
      </c>
      <c r="H26" s="1"/>
      <c r="I26" s="190">
        <v>2</v>
      </c>
      <c r="J26" s="36" t="s">
        <v>337</v>
      </c>
      <c r="K26" s="280">
        <v>197.22</v>
      </c>
      <c r="L26" s="281"/>
      <c r="M26" s="1"/>
      <c r="R26" s="3"/>
    </row>
    <row r="27" spans="1:18" ht="15.75">
      <c r="A27" s="1"/>
      <c r="B27" s="68">
        <v>200</v>
      </c>
      <c r="C27" s="79" t="s">
        <v>44</v>
      </c>
      <c r="D27" s="70">
        <f>30.68+104.38</f>
        <v>135.06</v>
      </c>
      <c r="E27" s="71"/>
      <c r="F27" s="71"/>
      <c r="G27" s="34" t="s">
        <v>44</v>
      </c>
      <c r="H27" s="1"/>
      <c r="I27" s="190">
        <v>6</v>
      </c>
      <c r="J27" s="36" t="s">
        <v>356</v>
      </c>
      <c r="K27" s="280">
        <v>2290.23</v>
      </c>
      <c r="L27" s="281"/>
      <c r="M27" s="1"/>
      <c r="R27" s="3"/>
    </row>
    <row r="28" spans="1:18" ht="15.75">
      <c r="A28" s="1"/>
      <c r="B28" s="68">
        <v>40</v>
      </c>
      <c r="C28" s="79" t="s">
        <v>45</v>
      </c>
      <c r="D28" s="70">
        <v>258.52</v>
      </c>
      <c r="E28" s="71"/>
      <c r="F28" s="71"/>
      <c r="G28" s="34" t="s">
        <v>45</v>
      </c>
      <c r="H28" s="1"/>
      <c r="I28" s="190">
        <v>5</v>
      </c>
      <c r="J28" s="36" t="s">
        <v>357</v>
      </c>
      <c r="K28" s="280">
        <v>80.099999999999994</v>
      </c>
      <c r="L28" s="281"/>
      <c r="M28" s="1"/>
      <c r="R28" s="3"/>
    </row>
    <row r="29" spans="1:18" ht="15.75">
      <c r="A29" s="1"/>
      <c r="B29" s="68">
        <v>18</v>
      </c>
      <c r="C29" s="79" t="s">
        <v>41</v>
      </c>
      <c r="D29" s="70"/>
      <c r="E29" s="71"/>
      <c r="F29" s="71"/>
      <c r="G29" s="34" t="s">
        <v>41</v>
      </c>
      <c r="H29" s="1"/>
      <c r="I29" s="190">
        <v>4</v>
      </c>
      <c r="J29" s="36" t="s">
        <v>358</v>
      </c>
      <c r="K29" s="280">
        <v>0.03</v>
      </c>
      <c r="L29" s="281"/>
      <c r="M29" s="1"/>
      <c r="R29" s="3"/>
    </row>
    <row r="30" spans="1:18" ht="15.75">
      <c r="A30" s="1"/>
      <c r="B30" s="68"/>
      <c r="C30" s="79"/>
      <c r="D30" s="70"/>
      <c r="E30" s="71"/>
      <c r="F30" s="71"/>
      <c r="G30" s="34"/>
      <c r="H30" s="1"/>
      <c r="I30" s="190">
        <v>2</v>
      </c>
      <c r="J30" s="36" t="s">
        <v>277</v>
      </c>
      <c r="K30" s="280">
        <v>325.64</v>
      </c>
      <c r="L30" s="281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90"/>
      <c r="J31" s="36"/>
      <c r="K31" s="280"/>
      <c r="L31" s="281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90"/>
      <c r="J32" s="36"/>
      <c r="K32" s="280"/>
      <c r="L32" s="281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90"/>
      <c r="J33" s="36"/>
      <c r="K33" s="280"/>
      <c r="L33" s="281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90"/>
      <c r="J34" s="36"/>
      <c r="K34" s="280"/>
      <c r="L34" s="281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90"/>
      <c r="J35" s="36"/>
      <c r="K35" s="280"/>
      <c r="L35" s="281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90"/>
      <c r="J36" s="36"/>
      <c r="K36" s="280"/>
      <c r="L36" s="281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90"/>
      <c r="J37" s="36"/>
      <c r="K37" s="280"/>
      <c r="L37" s="281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191"/>
      <c r="J38" s="38"/>
      <c r="K38" s="282"/>
      <c r="L38" s="283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1158</v>
      </c>
      <c r="C40" s="35" t="s">
        <v>66</v>
      </c>
      <c r="D40" s="69">
        <f>SUM(D26:D39)</f>
        <v>1293.58</v>
      </c>
      <c r="E40" s="69">
        <f>SUM(E26:E39)</f>
        <v>0</v>
      </c>
      <c r="F40" s="69">
        <f>SUM(F26:F39)</f>
        <v>0</v>
      </c>
      <c r="G40" s="35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71" t="str">
        <f>'2018'!A22</f>
        <v>Comida+Limpieza</v>
      </c>
      <c r="C42" s="272"/>
      <c r="D42" s="272"/>
      <c r="E42" s="272"/>
      <c r="F42" s="272"/>
      <c r="G42" s="273"/>
      <c r="H42" s="1"/>
      <c r="M42" s="1"/>
      <c r="R42" s="3"/>
    </row>
    <row r="43" spans="1:18" ht="16.149999999999999" customHeight="1" thickBot="1">
      <c r="A43" s="1"/>
      <c r="B43" s="274"/>
      <c r="C43" s="275"/>
      <c r="D43" s="275"/>
      <c r="E43" s="275"/>
      <c r="F43" s="275"/>
      <c r="G43" s="276"/>
      <c r="H43" s="1"/>
      <c r="M43" s="1"/>
      <c r="R43" s="3"/>
    </row>
    <row r="44" spans="1:18" ht="15.75">
      <c r="A44" s="1"/>
      <c r="B44" s="279" t="s">
        <v>10</v>
      </c>
      <c r="C44" s="278"/>
      <c r="D44" s="277" t="s">
        <v>11</v>
      </c>
      <c r="E44" s="277"/>
      <c r="F44" s="277"/>
      <c r="G44" s="278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68</v>
      </c>
      <c r="E45" s="66" t="s">
        <v>69</v>
      </c>
      <c r="F45" s="66" t="s">
        <v>32</v>
      </c>
      <c r="G45" s="73" t="s">
        <v>33</v>
      </c>
      <c r="H45" s="1"/>
      <c r="M45" s="1"/>
      <c r="R45" s="3"/>
    </row>
    <row r="46" spans="1:18" ht="15.75">
      <c r="A46" s="1"/>
      <c r="B46" s="67">
        <v>360</v>
      </c>
      <c r="C46" s="37"/>
      <c r="D46" s="70">
        <f>101.37+37.45+32.49</f>
        <v>171.31</v>
      </c>
      <c r="E46" s="71"/>
      <c r="F46" s="71"/>
      <c r="G46" s="90" t="s">
        <v>47</v>
      </c>
      <c r="H46" s="1"/>
      <c r="M46" s="1"/>
      <c r="R46" s="3"/>
    </row>
    <row r="47" spans="1:18" ht="15.75">
      <c r="A47" s="1"/>
      <c r="B47" s="68">
        <v>20</v>
      </c>
      <c r="C47" s="34" t="s">
        <v>110</v>
      </c>
      <c r="D47" s="70">
        <f>108.9-D146+31.37</f>
        <v>60.050000000000011</v>
      </c>
      <c r="E47" s="71"/>
      <c r="F47" s="71"/>
      <c r="G47" s="34" t="s">
        <v>48</v>
      </c>
      <c r="H47" s="1"/>
      <c r="M47" s="1"/>
      <c r="R47" s="3"/>
    </row>
    <row r="48" spans="1:18" ht="15.75">
      <c r="A48" s="1"/>
      <c r="B48" s="68">
        <v>20</v>
      </c>
      <c r="C48" s="34" t="s">
        <v>260</v>
      </c>
      <c r="D48" s="70">
        <f>11.16+13.38+122.9</f>
        <v>147.44</v>
      </c>
      <c r="E48" s="71"/>
      <c r="F48" s="71"/>
      <c r="G48" s="34" t="s">
        <v>84</v>
      </c>
      <c r="H48" s="1"/>
      <c r="M48" s="1"/>
      <c r="R48" s="3"/>
    </row>
    <row r="49" spans="1:18" ht="15.75">
      <c r="A49" s="1"/>
      <c r="B49" s="68">
        <v>10</v>
      </c>
      <c r="C49" s="34" t="s">
        <v>330</v>
      </c>
      <c r="D49" s="70">
        <f>12.02+1.54</f>
        <v>13.559999999999999</v>
      </c>
      <c r="E49" s="71"/>
      <c r="F49" s="71"/>
      <c r="G49" s="34" t="s">
        <v>49</v>
      </c>
      <c r="H49" s="1"/>
      <c r="M49" s="1"/>
      <c r="R49" s="3"/>
    </row>
    <row r="50" spans="1:18" ht="15.75">
      <c r="A50" s="1"/>
      <c r="B50" s="68"/>
      <c r="C50" s="34"/>
      <c r="D50" s="70"/>
      <c r="E50" s="71"/>
      <c r="F50" s="71"/>
      <c r="G50" s="34" t="s">
        <v>85</v>
      </c>
      <c r="H50" s="1"/>
      <c r="M50" s="1"/>
      <c r="R50" s="3"/>
    </row>
    <row r="51" spans="1:18" ht="15.75">
      <c r="A51" s="1"/>
      <c r="B51" s="68"/>
      <c r="C51" s="34"/>
      <c r="D51" s="70">
        <f>23.92+31.71</f>
        <v>55.63</v>
      </c>
      <c r="E51" s="71"/>
      <c r="F51" s="71"/>
      <c r="G51" s="34" t="s">
        <v>86</v>
      </c>
      <c r="H51" s="1"/>
      <c r="M51" s="1"/>
      <c r="R51" s="3"/>
    </row>
    <row r="52" spans="1:18" ht="15.75">
      <c r="A52" s="1"/>
      <c r="B52" s="68"/>
      <c r="C52" s="34"/>
      <c r="D52" s="70"/>
      <c r="E52" s="71"/>
      <c r="F52" s="71"/>
      <c r="G52" s="34" t="s">
        <v>98</v>
      </c>
      <c r="H52" s="1"/>
      <c r="M52" s="1"/>
      <c r="R52" s="3"/>
    </row>
    <row r="53" spans="1:18" ht="15.75">
      <c r="A53" s="1"/>
      <c r="B53" s="68"/>
      <c r="C53" s="34"/>
      <c r="D53" s="70">
        <f>85.52+79.04-D187</f>
        <v>151.56</v>
      </c>
      <c r="E53" s="71"/>
      <c r="F53" s="71"/>
      <c r="G53" s="34" t="s">
        <v>111</v>
      </c>
      <c r="H53" s="1"/>
      <c r="M53" s="1"/>
      <c r="R53" s="3"/>
    </row>
    <row r="54" spans="1:18" ht="15.75">
      <c r="A54" s="1"/>
      <c r="B54" s="68"/>
      <c r="C54" s="34"/>
      <c r="D54" s="70">
        <f>6.88</f>
        <v>6.88</v>
      </c>
      <c r="E54" s="71"/>
      <c r="F54" s="71"/>
      <c r="G54" s="34" t="s">
        <v>258</v>
      </c>
      <c r="H54" s="1"/>
      <c r="M54" s="1"/>
      <c r="R54" s="3"/>
    </row>
    <row r="55" spans="1:18" ht="15.75">
      <c r="A55" s="1"/>
      <c r="B55" s="68"/>
      <c r="C55" s="34"/>
      <c r="D55" s="70"/>
      <c r="E55" s="71"/>
      <c r="F55" s="71"/>
      <c r="G55" s="34"/>
      <c r="H55" s="1"/>
      <c r="M55" s="1"/>
      <c r="R55" s="3"/>
    </row>
    <row r="56" spans="1:18" ht="15.75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/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410</v>
      </c>
      <c r="C60" s="35" t="s">
        <v>66</v>
      </c>
      <c r="D60" s="69">
        <f>SUM(D46:D59)</f>
        <v>606.42999999999995</v>
      </c>
      <c r="E60" s="69">
        <f>SUM(E46:E59)</f>
        <v>0</v>
      </c>
      <c r="F60" s="69">
        <f>SUM(F46:F59)</f>
        <v>0</v>
      </c>
      <c r="G60" s="35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71" t="str">
        <f>'2018'!A23</f>
        <v>Ocio</v>
      </c>
      <c r="C62" s="272"/>
      <c r="D62" s="272"/>
      <c r="E62" s="272"/>
      <c r="F62" s="272"/>
      <c r="G62" s="273"/>
      <c r="H62" s="1"/>
      <c r="M62" s="1"/>
      <c r="R62" s="3"/>
    </row>
    <row r="63" spans="1:18" ht="16.149999999999999" customHeight="1" thickBot="1">
      <c r="A63" s="1"/>
      <c r="B63" s="274"/>
      <c r="C63" s="275"/>
      <c r="D63" s="275"/>
      <c r="E63" s="275"/>
      <c r="F63" s="275"/>
      <c r="G63" s="276"/>
      <c r="H63" s="1"/>
      <c r="M63" s="1"/>
      <c r="R63" s="3"/>
    </row>
    <row r="64" spans="1:18" ht="15.75">
      <c r="A64" s="1"/>
      <c r="B64" s="279" t="s">
        <v>10</v>
      </c>
      <c r="C64" s="278"/>
      <c r="D64" s="277" t="s">
        <v>11</v>
      </c>
      <c r="E64" s="277"/>
      <c r="F64" s="277"/>
      <c r="G64" s="278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68</v>
      </c>
      <c r="E65" s="66" t="s">
        <v>69</v>
      </c>
      <c r="F65" s="66" t="s">
        <v>32</v>
      </c>
      <c r="G65" s="73" t="s">
        <v>33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>
        <f>21.3</f>
        <v>21.3</v>
      </c>
      <c r="E66" s="71"/>
      <c r="F66" s="71"/>
      <c r="G66" s="37" t="s">
        <v>302</v>
      </c>
      <c r="H66" s="1"/>
      <c r="M66" s="1"/>
      <c r="R66" s="3"/>
    </row>
    <row r="67" spans="1:18" ht="15.75">
      <c r="A67" s="1"/>
      <c r="B67" s="68"/>
      <c r="C67" s="34"/>
      <c r="D67" s="70">
        <v>6.1</v>
      </c>
      <c r="E67" s="71"/>
      <c r="F67" s="71"/>
      <c r="G67" s="91" t="s">
        <v>339</v>
      </c>
      <c r="H67" s="1"/>
      <c r="M67" s="1"/>
      <c r="R67" s="3"/>
    </row>
    <row r="68" spans="1:18" ht="15.75">
      <c r="A68" s="1"/>
      <c r="B68" s="68"/>
      <c r="C68" s="34"/>
      <c r="D68" s="70">
        <f>22.75+4.9</f>
        <v>27.65</v>
      </c>
      <c r="E68" s="71"/>
      <c r="F68" s="71"/>
      <c r="G68" s="34" t="s">
        <v>343</v>
      </c>
      <c r="H68" s="1"/>
      <c r="M68" s="1"/>
      <c r="R68" s="3"/>
    </row>
    <row r="69" spans="1:18" ht="15.75">
      <c r="A69" s="1"/>
      <c r="B69" s="68"/>
      <c r="C69" s="34"/>
      <c r="D69" s="70">
        <f>30.35</f>
        <v>30.35</v>
      </c>
      <c r="E69" s="71"/>
      <c r="F69" s="71"/>
      <c r="G69" s="34" t="s">
        <v>208</v>
      </c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>
        <v>12.9</v>
      </c>
      <c r="G70" s="34" t="s">
        <v>351</v>
      </c>
      <c r="H70" s="1"/>
      <c r="M70" s="1"/>
      <c r="R70" s="3"/>
    </row>
    <row r="71" spans="1:18" ht="15.75">
      <c r="A71" s="1"/>
      <c r="B71" s="68"/>
      <c r="C71" s="34"/>
      <c r="D71" s="70"/>
      <c r="E71" s="71"/>
      <c r="F71" s="71"/>
      <c r="G71" s="34"/>
      <c r="H71" s="1"/>
      <c r="M71" s="1"/>
      <c r="R71" s="3"/>
    </row>
    <row r="72" spans="1:18" ht="15.75">
      <c r="A72" s="1"/>
      <c r="B72" s="68"/>
      <c r="C72" s="34"/>
      <c r="D72" s="70"/>
      <c r="E72" s="71"/>
      <c r="F72" s="71"/>
      <c r="G72" s="34"/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150</v>
      </c>
      <c r="C80" s="35" t="s">
        <v>66</v>
      </c>
      <c r="D80" s="69">
        <f>SUM(D66:D79)</f>
        <v>85.4</v>
      </c>
      <c r="E80" s="69">
        <f>SUM(E66:E79)</f>
        <v>0</v>
      </c>
      <c r="F80" s="69">
        <f>SUM(F66:F79)</f>
        <v>12.9</v>
      </c>
      <c r="G80" s="35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71" t="str">
        <f>'2018'!A24</f>
        <v>Transportes</v>
      </c>
      <c r="C82" s="272"/>
      <c r="D82" s="272"/>
      <c r="E82" s="272"/>
      <c r="F82" s="272"/>
      <c r="G82" s="273"/>
      <c r="H82" s="1"/>
      <c r="M82" s="1"/>
      <c r="R82" s="3"/>
    </row>
    <row r="83" spans="1:18" ht="16.149999999999999" customHeight="1" thickBot="1">
      <c r="A83" s="1"/>
      <c r="B83" s="274"/>
      <c r="C83" s="275"/>
      <c r="D83" s="275"/>
      <c r="E83" s="275"/>
      <c r="F83" s="275"/>
      <c r="G83" s="276"/>
      <c r="H83" s="1"/>
      <c r="M83" s="1"/>
      <c r="R83" s="3"/>
    </row>
    <row r="84" spans="1:18" ht="15.75">
      <c r="A84" s="1"/>
      <c r="B84" s="279" t="s">
        <v>10</v>
      </c>
      <c r="C84" s="278"/>
      <c r="D84" s="277" t="s">
        <v>11</v>
      </c>
      <c r="E84" s="277"/>
      <c r="F84" s="277"/>
      <c r="G84" s="278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68</v>
      </c>
      <c r="E85" s="66" t="s">
        <v>69</v>
      </c>
      <c r="F85" s="66" t="s">
        <v>32</v>
      </c>
      <c r="G85" s="73" t="s">
        <v>33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>
        <f>42.04+47.79</f>
        <v>89.83</v>
      </c>
      <c r="E86" s="71"/>
      <c r="F86" s="71"/>
      <c r="G86" s="34" t="s">
        <v>52</v>
      </c>
      <c r="H86" s="1"/>
      <c r="M86" s="1"/>
      <c r="R86" s="3"/>
    </row>
    <row r="87" spans="1:18" ht="15.75">
      <c r="A87" s="1"/>
      <c r="B87" s="68"/>
      <c r="C87" s="34"/>
      <c r="D87" s="70"/>
      <c r="E87" s="71"/>
      <c r="F87" s="71"/>
      <c r="G87" s="34" t="s">
        <v>53</v>
      </c>
      <c r="H87" s="1"/>
      <c r="M87" s="1"/>
      <c r="R87" s="3"/>
    </row>
    <row r="88" spans="1:18" ht="15.75">
      <c r="A88" s="1"/>
      <c r="B88" s="68"/>
      <c r="C88" s="34"/>
      <c r="D88" s="70"/>
      <c r="E88" s="71"/>
      <c r="F88" s="71"/>
      <c r="G88" s="34" t="s">
        <v>54</v>
      </c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 t="s">
        <v>90</v>
      </c>
      <c r="H89" s="1"/>
      <c r="M89" s="1"/>
      <c r="R89" s="3"/>
    </row>
    <row r="90" spans="1:18" ht="15.75">
      <c r="A90" s="1"/>
      <c r="B90" s="68"/>
      <c r="C90" s="34"/>
      <c r="D90" s="70"/>
      <c r="E90" s="71"/>
      <c r="F90" s="71"/>
      <c r="G90" s="34" t="s">
        <v>204</v>
      </c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66</v>
      </c>
      <c r="D100" s="69">
        <f>SUM(D86:D99)</f>
        <v>89.83</v>
      </c>
      <c r="E100" s="69">
        <f>SUM(E86:E99)</f>
        <v>0</v>
      </c>
      <c r="F100" s="69">
        <f>SUM(F86:F99)</f>
        <v>0</v>
      </c>
      <c r="G100" s="35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71" t="str">
        <f>'2018'!A25</f>
        <v>Coche</v>
      </c>
      <c r="C102" s="272"/>
      <c r="D102" s="272"/>
      <c r="E102" s="272"/>
      <c r="F102" s="272"/>
      <c r="G102" s="273"/>
      <c r="H102" s="1"/>
      <c r="M102" s="1"/>
      <c r="R102" s="3"/>
    </row>
    <row r="103" spans="1:18" ht="16.149999999999999" customHeight="1" thickBot="1">
      <c r="A103" s="1"/>
      <c r="B103" s="274"/>
      <c r="C103" s="275"/>
      <c r="D103" s="275"/>
      <c r="E103" s="275"/>
      <c r="F103" s="275"/>
      <c r="G103" s="276"/>
      <c r="H103" s="1"/>
      <c r="M103" s="1"/>
      <c r="R103" s="3"/>
    </row>
    <row r="104" spans="1:18" ht="15.75">
      <c r="A104" s="1"/>
      <c r="B104" s="279" t="s">
        <v>10</v>
      </c>
      <c r="C104" s="278"/>
      <c r="D104" s="277" t="s">
        <v>11</v>
      </c>
      <c r="E104" s="277"/>
      <c r="F104" s="277"/>
      <c r="G104" s="278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68</v>
      </c>
      <c r="E105" s="66" t="s">
        <v>69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67">
        <v>260</v>
      </c>
      <c r="C106" s="36" t="s">
        <v>55</v>
      </c>
      <c r="D106" s="70">
        <v>258.47000000000003</v>
      </c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68">
        <v>71</v>
      </c>
      <c r="C107" s="36" t="s">
        <v>56</v>
      </c>
      <c r="D107" s="70">
        <v>70.349999999999994</v>
      </c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68">
        <v>69</v>
      </c>
      <c r="C108" s="36" t="s">
        <v>46</v>
      </c>
      <c r="D108" s="70"/>
      <c r="E108" s="71"/>
      <c r="F108" s="71"/>
      <c r="G108" s="94" t="s">
        <v>88</v>
      </c>
      <c r="H108" s="1"/>
      <c r="M108" s="1"/>
      <c r="R108" s="3"/>
    </row>
    <row r="109" spans="1:18" ht="15.75">
      <c r="A109" s="1"/>
      <c r="B109" s="68"/>
      <c r="C109" s="36"/>
      <c r="D109" s="70"/>
      <c r="E109" s="71"/>
      <c r="F109" s="71"/>
      <c r="G109" s="91"/>
      <c r="H109" s="1"/>
      <c r="M109" s="1"/>
      <c r="R109" s="3"/>
    </row>
    <row r="110" spans="1:18" ht="15.75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68"/>
      <c r="C111" s="79"/>
      <c r="D111" s="70"/>
      <c r="E111" s="71"/>
      <c r="F111" s="71"/>
      <c r="G111" s="94"/>
      <c r="H111" s="1"/>
      <c r="M111" s="1"/>
      <c r="R111" s="3"/>
    </row>
    <row r="112" spans="1:18" ht="15.75">
      <c r="A112" s="1"/>
      <c r="B112" s="68"/>
      <c r="C112" s="92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68"/>
      <c r="C113" s="93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68"/>
      <c r="C114" s="92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66</v>
      </c>
      <c r="D120" s="69">
        <f>SUM(D106:D119)</f>
        <v>328.82000000000005</v>
      </c>
      <c r="E120" s="69">
        <f>SUM(E106:E119)</f>
        <v>0</v>
      </c>
      <c r="F120" s="69">
        <f>SUM(F106:F119)</f>
        <v>0</v>
      </c>
      <c r="G120" s="35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71" t="str">
        <f>'2018'!A26</f>
        <v>Teléfono</v>
      </c>
      <c r="C122" s="272"/>
      <c r="D122" s="272"/>
      <c r="E122" s="272"/>
      <c r="F122" s="272"/>
      <c r="G122" s="273"/>
      <c r="H122" s="1"/>
      <c r="M122" s="1"/>
      <c r="R122" s="3"/>
    </row>
    <row r="123" spans="1:18" ht="16.149999999999999" customHeight="1" thickBot="1">
      <c r="A123" s="1"/>
      <c r="B123" s="274"/>
      <c r="C123" s="275"/>
      <c r="D123" s="275"/>
      <c r="E123" s="275"/>
      <c r="F123" s="275"/>
      <c r="G123" s="276"/>
      <c r="H123" s="1"/>
      <c r="M123" s="1"/>
      <c r="R123" s="3"/>
    </row>
    <row r="124" spans="1:18" ht="15.75">
      <c r="A124" s="1"/>
      <c r="B124" s="279" t="s">
        <v>10</v>
      </c>
      <c r="C124" s="278"/>
      <c r="D124" s="277" t="s">
        <v>11</v>
      </c>
      <c r="E124" s="277"/>
      <c r="F124" s="277"/>
      <c r="G124" s="278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68</v>
      </c>
      <c r="E125" s="66" t="s">
        <v>69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>
        <v>27.5</v>
      </c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v>12.5</v>
      </c>
      <c r="C127" s="34" t="s">
        <v>58</v>
      </c>
      <c r="D127" s="70">
        <f>10+15</f>
        <v>25</v>
      </c>
      <c r="E127" s="71"/>
      <c r="F127" s="71"/>
      <c r="G127" s="34" t="s">
        <v>58</v>
      </c>
      <c r="H127" s="1"/>
      <c r="M127" s="1"/>
      <c r="R127" s="3"/>
    </row>
    <row r="128" spans="1:18" ht="15.75">
      <c r="A128" s="1"/>
      <c r="B128" s="68">
        <v>8</v>
      </c>
      <c r="C128" s="34" t="s">
        <v>338</v>
      </c>
      <c r="D128" s="70"/>
      <c r="E128" s="71">
        <v>7.99</v>
      </c>
      <c r="F128" s="71"/>
      <c r="G128" s="34" t="s">
        <v>338</v>
      </c>
      <c r="H128" s="1"/>
      <c r="M128" s="1"/>
      <c r="R128" s="3"/>
    </row>
    <row r="129" spans="1:18" ht="15.75">
      <c r="A129" s="1"/>
      <c r="B129" s="68"/>
      <c r="C129" s="34"/>
      <c r="D129" s="70"/>
      <c r="E129" s="71"/>
      <c r="F129" s="71"/>
      <c r="G129" s="34"/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48</v>
      </c>
      <c r="C140" s="35" t="s">
        <v>66</v>
      </c>
      <c r="D140" s="69">
        <f>SUM(D126:D139)</f>
        <v>52.5</v>
      </c>
      <c r="E140" s="69">
        <f>SUM(E126:E139)</f>
        <v>7.99</v>
      </c>
      <c r="F140" s="69">
        <f>SUM(F126:F139)</f>
        <v>0</v>
      </c>
      <c r="G140" s="35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71" t="str">
        <f>'2018'!A27</f>
        <v>Gatos</v>
      </c>
      <c r="C142" s="272"/>
      <c r="D142" s="272"/>
      <c r="E142" s="272"/>
      <c r="F142" s="272"/>
      <c r="G142" s="273"/>
      <c r="H142" s="1"/>
      <c r="M142" s="1"/>
      <c r="R142" s="3"/>
    </row>
    <row r="143" spans="1:18" ht="16.149999999999999" customHeight="1" thickBot="1">
      <c r="A143" s="1"/>
      <c r="B143" s="274"/>
      <c r="C143" s="275"/>
      <c r="D143" s="275"/>
      <c r="E143" s="275"/>
      <c r="F143" s="275"/>
      <c r="G143" s="276"/>
      <c r="H143" s="1"/>
      <c r="M143" s="1"/>
      <c r="R143" s="3"/>
    </row>
    <row r="144" spans="1:18" ht="15.75">
      <c r="A144" s="1"/>
      <c r="B144" s="279" t="s">
        <v>10</v>
      </c>
      <c r="C144" s="278"/>
      <c r="D144" s="277" t="s">
        <v>11</v>
      </c>
      <c r="E144" s="277"/>
      <c r="F144" s="277"/>
      <c r="G144" s="278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68</v>
      </c>
      <c r="E145" s="66" t="s">
        <v>69</v>
      </c>
      <c r="F145" s="66" t="s">
        <v>32</v>
      </c>
      <c r="G145" s="73" t="s">
        <v>33</v>
      </c>
      <c r="H145" s="1"/>
      <c r="M145" s="1"/>
      <c r="R145" s="3"/>
    </row>
    <row r="146" spans="1:22" ht="15.75">
      <c r="A146" s="1"/>
      <c r="B146" s="67">
        <v>50</v>
      </c>
      <c r="C146" s="37" t="s">
        <v>43</v>
      </c>
      <c r="D146" s="70">
        <f>7*11.46</f>
        <v>80.22</v>
      </c>
      <c r="E146" s="71"/>
      <c r="F146" s="71"/>
      <c r="G146" s="34" t="s">
        <v>48</v>
      </c>
      <c r="H146" s="1"/>
      <c r="M146" s="1"/>
      <c r="R146" s="3"/>
    </row>
    <row r="147" spans="1:22" ht="15.75">
      <c r="A147" s="1"/>
      <c r="B147" s="68"/>
      <c r="C147" s="34"/>
      <c r="D147" s="70">
        <f>23.07</f>
        <v>23.07</v>
      </c>
      <c r="E147" s="71"/>
      <c r="F147" s="71"/>
      <c r="G147" s="34" t="s">
        <v>61</v>
      </c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 t="s">
        <v>47</v>
      </c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50</v>
      </c>
      <c r="C160" s="35" t="s">
        <v>66</v>
      </c>
      <c r="D160" s="69">
        <f>SUM(D146:D159)</f>
        <v>103.28999999999999</v>
      </c>
      <c r="E160" s="69">
        <f>SUM(E146:E159)</f>
        <v>0</v>
      </c>
      <c r="F160" s="69">
        <f>SUM(F146:F159)</f>
        <v>0</v>
      </c>
      <c r="G160" s="35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71" t="str">
        <f>'2018'!A28</f>
        <v>Vacaciones</v>
      </c>
      <c r="C162" s="272"/>
      <c r="D162" s="272"/>
      <c r="E162" s="272"/>
      <c r="F162" s="272"/>
      <c r="G162" s="273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74"/>
      <c r="C163" s="275"/>
      <c r="D163" s="275"/>
      <c r="E163" s="275"/>
      <c r="F163" s="275"/>
      <c r="G163" s="27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79" t="s">
        <v>10</v>
      </c>
      <c r="C164" s="278"/>
      <c r="D164" s="277" t="s">
        <v>11</v>
      </c>
      <c r="E164" s="277"/>
      <c r="F164" s="277"/>
      <c r="G164" s="27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68</v>
      </c>
      <c r="E165" s="66" t="s">
        <v>69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>
        <f>88.9+13.6</f>
        <v>102.5</v>
      </c>
      <c r="E166" s="71"/>
      <c r="F166" s="71"/>
      <c r="G166" s="34" t="s">
        <v>333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>
        <v>80.099999999999994</v>
      </c>
      <c r="C167" s="34" t="s">
        <v>309</v>
      </c>
      <c r="D167" s="70"/>
      <c r="E167" s="71">
        <f>80.1</f>
        <v>80.099999999999994</v>
      </c>
      <c r="F167" s="71"/>
      <c r="G167" s="34" t="s">
        <v>269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/>
      <c r="G168" s="3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280.10000000000002</v>
      </c>
      <c r="C180" s="35" t="s">
        <v>66</v>
      </c>
      <c r="D180" s="69">
        <f>SUM(D166:D179)</f>
        <v>102.5</v>
      </c>
      <c r="E180" s="69">
        <f>SUM(E166:E179)</f>
        <v>80.099999999999994</v>
      </c>
      <c r="F180" s="69">
        <f>SUM(F166:F179)</f>
        <v>0</v>
      </c>
      <c r="G180" s="35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71" t="str">
        <f>'2018'!A29</f>
        <v>Ropa</v>
      </c>
      <c r="C182" s="272"/>
      <c r="D182" s="272"/>
      <c r="E182" s="272"/>
      <c r="F182" s="272"/>
      <c r="G182" s="273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74"/>
      <c r="C183" s="275"/>
      <c r="D183" s="275"/>
      <c r="E183" s="275"/>
      <c r="F183" s="275"/>
      <c r="G183" s="27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79" t="s">
        <v>10</v>
      </c>
      <c r="C184" s="278"/>
      <c r="D184" s="277" t="s">
        <v>11</v>
      </c>
      <c r="E184" s="277"/>
      <c r="F184" s="277"/>
      <c r="G184" s="27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68</v>
      </c>
      <c r="E185" s="66" t="s">
        <v>69</v>
      </c>
      <c r="F185" s="66" t="s">
        <v>32</v>
      </c>
      <c r="G185" s="73" t="s">
        <v>33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60</v>
      </c>
      <c r="C186" s="37" t="s">
        <v>43</v>
      </c>
      <c r="D186" s="70">
        <v>73</v>
      </c>
      <c r="E186" s="71"/>
      <c r="F186" s="71"/>
      <c r="G186" s="34" t="s">
        <v>348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>
        <v>13</v>
      </c>
      <c r="E187" s="71"/>
      <c r="F187" s="71"/>
      <c r="G187" s="34" t="s">
        <v>111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/>
      <c r="E188" s="71"/>
      <c r="F188" s="71"/>
      <c r="G188" s="34"/>
    </row>
    <row r="189" spans="1:22">
      <c r="B189" s="68"/>
      <c r="C189" s="34"/>
      <c r="D189" s="70"/>
      <c r="E189" s="71"/>
      <c r="F189" s="71"/>
      <c r="G189" s="34"/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60</v>
      </c>
      <c r="C200" s="35" t="s">
        <v>66</v>
      </c>
      <c r="D200" s="69">
        <f>SUM(D186:D199)</f>
        <v>86</v>
      </c>
      <c r="E200" s="69">
        <f>SUM(E186:E199)</f>
        <v>0</v>
      </c>
      <c r="F200" s="69">
        <f>SUM(F186:F199)</f>
        <v>0</v>
      </c>
      <c r="G200" s="35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71" t="str">
        <f>'2018'!A30</f>
        <v>Belleza</v>
      </c>
      <c r="C202" s="272"/>
      <c r="D202" s="272"/>
      <c r="E202" s="272"/>
      <c r="F202" s="272"/>
      <c r="G202" s="273"/>
    </row>
    <row r="203" spans="2:7" ht="15" customHeight="1" thickBot="1">
      <c r="B203" s="274"/>
      <c r="C203" s="275"/>
      <c r="D203" s="275"/>
      <c r="E203" s="275"/>
      <c r="F203" s="275"/>
      <c r="G203" s="276"/>
    </row>
    <row r="204" spans="2:7">
      <c r="B204" s="279" t="s">
        <v>10</v>
      </c>
      <c r="C204" s="278"/>
      <c r="D204" s="277" t="s">
        <v>11</v>
      </c>
      <c r="E204" s="277"/>
      <c r="F204" s="277"/>
      <c r="G204" s="278"/>
    </row>
    <row r="205" spans="2:7">
      <c r="B205" s="65" t="s">
        <v>32</v>
      </c>
      <c r="C205" s="73" t="s">
        <v>33</v>
      </c>
      <c r="D205" s="65" t="s">
        <v>68</v>
      </c>
      <c r="E205" s="66" t="s">
        <v>69</v>
      </c>
      <c r="F205" s="66" t="s">
        <v>32</v>
      </c>
      <c r="G205" s="73" t="s">
        <v>33</v>
      </c>
    </row>
    <row r="206" spans="2:7">
      <c r="B206" s="67">
        <v>35</v>
      </c>
      <c r="C206" s="37"/>
      <c r="D206" s="70"/>
      <c r="E206" s="71"/>
      <c r="F206" s="71"/>
      <c r="G206" s="34" t="s">
        <v>96</v>
      </c>
    </row>
    <row r="207" spans="2:7">
      <c r="B207" s="68"/>
      <c r="C207" s="34"/>
      <c r="D207" s="70">
        <v>24.5</v>
      </c>
      <c r="E207" s="71"/>
      <c r="F207" s="71"/>
      <c r="G207" s="34" t="s">
        <v>344</v>
      </c>
    </row>
    <row r="208" spans="2:7">
      <c r="B208" s="68"/>
      <c r="C208" s="34"/>
      <c r="D208" s="70">
        <v>7.04</v>
      </c>
      <c r="E208" s="71"/>
      <c r="F208" s="71"/>
      <c r="G208" s="34" t="s">
        <v>346</v>
      </c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66</v>
      </c>
      <c r="D220" s="69">
        <f>SUM(D206:D219)</f>
        <v>31.54</v>
      </c>
      <c r="E220" s="69">
        <f>SUM(E206:E219)</f>
        <v>0</v>
      </c>
      <c r="F220" s="69">
        <f>SUM(F206:F219)</f>
        <v>0</v>
      </c>
      <c r="G220" s="35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71" t="str">
        <f>'2018'!A31</f>
        <v>Deportes</v>
      </c>
      <c r="C222" s="272"/>
      <c r="D222" s="272"/>
      <c r="E222" s="272"/>
      <c r="F222" s="272"/>
      <c r="G222" s="273"/>
    </row>
    <row r="223" spans="2:7" ht="15" customHeight="1" thickBot="1">
      <c r="B223" s="274"/>
      <c r="C223" s="275"/>
      <c r="D223" s="275"/>
      <c r="E223" s="275"/>
      <c r="F223" s="275"/>
      <c r="G223" s="276"/>
    </row>
    <row r="224" spans="2:7">
      <c r="B224" s="279" t="s">
        <v>10</v>
      </c>
      <c r="C224" s="278"/>
      <c r="D224" s="277" t="s">
        <v>11</v>
      </c>
      <c r="E224" s="277"/>
      <c r="F224" s="277"/>
      <c r="G224" s="278"/>
    </row>
    <row r="225" spans="2:7">
      <c r="B225" s="65" t="s">
        <v>32</v>
      </c>
      <c r="C225" s="73" t="s">
        <v>33</v>
      </c>
      <c r="D225" s="65" t="s">
        <v>68</v>
      </c>
      <c r="E225" s="66" t="s">
        <v>69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>
        <v>20</v>
      </c>
      <c r="E226" s="71"/>
      <c r="F226" s="71"/>
      <c r="G226" s="71" t="s">
        <v>50</v>
      </c>
    </row>
    <row r="227" spans="2:7">
      <c r="B227" s="68">
        <v>60</v>
      </c>
      <c r="C227" s="34" t="s">
        <v>102</v>
      </c>
      <c r="D227" s="70"/>
      <c r="E227" s="71"/>
      <c r="F227" s="71"/>
      <c r="G227" s="34"/>
    </row>
    <row r="228" spans="2:7">
      <c r="B228" s="68">
        <v>5</v>
      </c>
      <c r="C228" s="34" t="s">
        <v>46</v>
      </c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85</v>
      </c>
      <c r="C240" s="35" t="s">
        <v>66</v>
      </c>
      <c r="D240" s="69">
        <f>SUM(D226:D239)</f>
        <v>20</v>
      </c>
      <c r="E240" s="69">
        <f>SUM(E226:E239)</f>
        <v>0</v>
      </c>
      <c r="F240" s="69">
        <f>SUM(F226:F239)</f>
        <v>0</v>
      </c>
      <c r="G240" s="35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71" t="str">
        <f>'2018'!A32</f>
        <v>Hogar</v>
      </c>
      <c r="C242" s="272"/>
      <c r="D242" s="272"/>
      <c r="E242" s="272"/>
      <c r="F242" s="272"/>
      <c r="G242" s="273"/>
    </row>
    <row r="243" spans="2:7" ht="15" customHeight="1" thickBot="1">
      <c r="B243" s="274"/>
      <c r="C243" s="275"/>
      <c r="D243" s="275"/>
      <c r="E243" s="275"/>
      <c r="F243" s="275"/>
      <c r="G243" s="276"/>
    </row>
    <row r="244" spans="2:7" ht="15" customHeight="1">
      <c r="B244" s="279" t="s">
        <v>10</v>
      </c>
      <c r="C244" s="278"/>
      <c r="D244" s="277" t="s">
        <v>11</v>
      </c>
      <c r="E244" s="277"/>
      <c r="F244" s="277"/>
      <c r="G244" s="278"/>
    </row>
    <row r="245" spans="2:7" ht="15" customHeight="1">
      <c r="B245" s="65" t="s">
        <v>32</v>
      </c>
      <c r="C245" s="73" t="s">
        <v>33</v>
      </c>
      <c r="D245" s="65" t="s">
        <v>68</v>
      </c>
      <c r="E245" s="66" t="s">
        <v>69</v>
      </c>
      <c r="F245" s="66" t="s">
        <v>32</v>
      </c>
      <c r="G245" s="73" t="s">
        <v>33</v>
      </c>
    </row>
    <row r="246" spans="2:7" ht="15" customHeight="1">
      <c r="B246" s="68">
        <v>70</v>
      </c>
      <c r="C246" s="79"/>
      <c r="D246" s="70"/>
      <c r="E246" s="71"/>
      <c r="F246" s="71"/>
      <c r="G246" s="34" t="s">
        <v>47</v>
      </c>
    </row>
    <row r="247" spans="2:7" ht="15" customHeight="1">
      <c r="B247" s="68"/>
      <c r="C247" s="34"/>
      <c r="D247" s="70">
        <f>93.35+8.92</f>
        <v>102.27</v>
      </c>
      <c r="E247" s="71"/>
      <c r="F247" s="71"/>
      <c r="G247" s="34" t="s">
        <v>98</v>
      </c>
    </row>
    <row r="248" spans="2:7">
      <c r="B248" s="68"/>
      <c r="C248" s="34"/>
      <c r="D248" s="70"/>
      <c r="E248" s="71"/>
      <c r="F248" s="71"/>
      <c r="G248" s="34" t="s">
        <v>120</v>
      </c>
    </row>
    <row r="249" spans="2:7">
      <c r="B249" s="68"/>
      <c r="C249" s="34"/>
      <c r="D249" s="70"/>
      <c r="E249" s="71"/>
      <c r="F249" s="71"/>
      <c r="G249" s="34" t="s">
        <v>206</v>
      </c>
    </row>
    <row r="250" spans="2:7">
      <c r="B250" s="68"/>
      <c r="C250" s="34"/>
      <c r="D250" s="70">
        <v>6</v>
      </c>
      <c r="E250" s="71"/>
      <c r="F250" s="71"/>
      <c r="G250" s="34" t="s">
        <v>341</v>
      </c>
    </row>
    <row r="251" spans="2:7">
      <c r="B251" s="68"/>
      <c r="C251" s="34"/>
      <c r="D251" s="70">
        <f>86.97</f>
        <v>86.97</v>
      </c>
      <c r="E251" s="71"/>
      <c r="F251" s="71"/>
      <c r="G251" s="34" t="s">
        <v>350</v>
      </c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70</v>
      </c>
      <c r="C260" s="35" t="s">
        <v>66</v>
      </c>
      <c r="D260" s="69">
        <f>SUM(D246:D259)</f>
        <v>195.24</v>
      </c>
      <c r="E260" s="69">
        <f>SUM(E246:E259)</f>
        <v>0</v>
      </c>
      <c r="F260" s="69">
        <f>SUM(F246:F259)</f>
        <v>0</v>
      </c>
      <c r="G260" s="35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71" t="str">
        <f>'2018'!A33</f>
        <v>Formación</v>
      </c>
      <c r="C262" s="272"/>
      <c r="D262" s="272"/>
      <c r="E262" s="272"/>
      <c r="F262" s="272"/>
      <c r="G262" s="273"/>
    </row>
    <row r="263" spans="2:7" ht="15" customHeight="1" thickBot="1">
      <c r="B263" s="274"/>
      <c r="C263" s="275"/>
      <c r="D263" s="275"/>
      <c r="E263" s="275"/>
      <c r="F263" s="275"/>
      <c r="G263" s="276"/>
    </row>
    <row r="264" spans="2:7">
      <c r="B264" s="279" t="s">
        <v>10</v>
      </c>
      <c r="C264" s="278"/>
      <c r="D264" s="277" t="s">
        <v>11</v>
      </c>
      <c r="E264" s="277"/>
      <c r="F264" s="277"/>
      <c r="G264" s="278"/>
    </row>
    <row r="265" spans="2:7">
      <c r="B265" s="65" t="s">
        <v>32</v>
      </c>
      <c r="C265" s="73" t="s">
        <v>33</v>
      </c>
      <c r="D265" s="65" t="s">
        <v>68</v>
      </c>
      <c r="E265" s="66" t="s">
        <v>69</v>
      </c>
      <c r="F265" s="66" t="s">
        <v>32</v>
      </c>
      <c r="G265" s="73" t="s">
        <v>33</v>
      </c>
    </row>
    <row r="266" spans="2:7">
      <c r="B266" s="67">
        <v>20</v>
      </c>
      <c r="C266" s="37"/>
      <c r="D266" s="70"/>
      <c r="E266" s="71"/>
      <c r="F266" s="71"/>
      <c r="G266" s="34"/>
    </row>
    <row r="267" spans="2:7">
      <c r="B267" s="68"/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7">
      <c r="B273" s="68"/>
      <c r="C273" s="34"/>
      <c r="D273" s="70"/>
      <c r="E273" s="71"/>
      <c r="F273" s="71"/>
      <c r="G273" s="34"/>
    </row>
    <row r="274" spans="2:7">
      <c r="B274" s="68"/>
      <c r="C274" s="34"/>
      <c r="D274" s="70"/>
      <c r="E274" s="71"/>
      <c r="F274" s="71"/>
      <c r="G274" s="34"/>
    </row>
    <row r="275" spans="2:7">
      <c r="B275" s="68"/>
      <c r="C275" s="34"/>
      <c r="D275" s="70"/>
      <c r="E275" s="71"/>
      <c r="F275" s="71"/>
      <c r="G275" s="34"/>
    </row>
    <row r="276" spans="2:7">
      <c r="B276" s="68"/>
      <c r="C276" s="34"/>
      <c r="D276" s="70"/>
      <c r="E276" s="71"/>
      <c r="F276" s="71"/>
      <c r="G276" s="34"/>
    </row>
    <row r="277" spans="2:7">
      <c r="B277" s="68"/>
      <c r="C277" s="34"/>
      <c r="D277" s="70"/>
      <c r="E277" s="71"/>
      <c r="F277" s="71"/>
      <c r="G277" s="34"/>
    </row>
    <row r="278" spans="2:7">
      <c r="B278" s="68"/>
      <c r="C278" s="34"/>
      <c r="D278" s="70"/>
      <c r="E278" s="71"/>
      <c r="F278" s="71"/>
      <c r="G278" s="34"/>
    </row>
    <row r="279" spans="2:7" ht="15.75" thickBot="1">
      <c r="B279" s="69"/>
      <c r="C279" s="35"/>
      <c r="D279" s="69"/>
      <c r="E279" s="72"/>
      <c r="F279" s="72"/>
      <c r="G279" s="35"/>
    </row>
    <row r="280" spans="2:7" ht="15.75" thickBot="1">
      <c r="B280" s="69">
        <f>SUM(B266:B279)</f>
        <v>20</v>
      </c>
      <c r="C280" s="35" t="s">
        <v>66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271" t="str">
        <f>'2018'!A34</f>
        <v>Regalos</v>
      </c>
      <c r="C282" s="272"/>
      <c r="D282" s="272"/>
      <c r="E282" s="272"/>
      <c r="F282" s="272"/>
      <c r="G282" s="273"/>
    </row>
    <row r="283" spans="2:7" ht="15" customHeight="1" thickBot="1">
      <c r="B283" s="274"/>
      <c r="C283" s="275"/>
      <c r="D283" s="275"/>
      <c r="E283" s="275"/>
      <c r="F283" s="275"/>
      <c r="G283" s="276"/>
    </row>
    <row r="284" spans="2:7">
      <c r="B284" s="279" t="s">
        <v>10</v>
      </c>
      <c r="C284" s="278"/>
      <c r="D284" s="277" t="s">
        <v>11</v>
      </c>
      <c r="E284" s="277"/>
      <c r="F284" s="277"/>
      <c r="G284" s="278"/>
    </row>
    <row r="285" spans="2:7">
      <c r="B285" s="65" t="s">
        <v>32</v>
      </c>
      <c r="C285" s="73" t="s">
        <v>33</v>
      </c>
      <c r="D285" s="65" t="s">
        <v>68</v>
      </c>
      <c r="E285" s="66" t="s">
        <v>69</v>
      </c>
      <c r="F285" s="66" t="s">
        <v>32</v>
      </c>
      <c r="G285" s="73" t="s">
        <v>33</v>
      </c>
    </row>
    <row r="286" spans="2:7">
      <c r="B286" s="67">
        <v>150</v>
      </c>
      <c r="C286" s="37" t="s">
        <v>36</v>
      </c>
      <c r="D286" s="70">
        <f>16.84</f>
        <v>16.84</v>
      </c>
      <c r="E286" s="71"/>
      <c r="F286" s="71"/>
      <c r="G286" s="34" t="s">
        <v>334</v>
      </c>
    </row>
    <row r="287" spans="2:7">
      <c r="B287" s="68">
        <v>224.6</v>
      </c>
      <c r="C287" s="34" t="s">
        <v>105</v>
      </c>
      <c r="D287" s="70">
        <v>34.99</v>
      </c>
      <c r="E287" s="71"/>
      <c r="F287" s="71"/>
      <c r="G287" s="34" t="s">
        <v>340</v>
      </c>
    </row>
    <row r="288" spans="2:7">
      <c r="B288" s="68"/>
      <c r="C288" s="34"/>
      <c r="D288" s="70">
        <v>22.15</v>
      </c>
      <c r="E288" s="71"/>
      <c r="F288" s="71"/>
      <c r="G288" s="34" t="s">
        <v>345</v>
      </c>
    </row>
    <row r="289" spans="2:7">
      <c r="B289" s="68"/>
      <c r="C289" s="34"/>
      <c r="D289" s="70">
        <v>198</v>
      </c>
      <c r="E289" s="71"/>
      <c r="F289" s="71"/>
      <c r="G289" s="34" t="s">
        <v>349</v>
      </c>
    </row>
    <row r="290" spans="2:7">
      <c r="B290" s="68"/>
      <c r="C290" s="34"/>
      <c r="D290" s="70"/>
      <c r="E290" s="71"/>
      <c r="F290" s="71"/>
      <c r="G290" s="34"/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374.6</v>
      </c>
      <c r="C300" s="35" t="s">
        <v>66</v>
      </c>
      <c r="D300" s="69">
        <f>SUM(D286:D299)</f>
        <v>271.98</v>
      </c>
      <c r="E300" s="69">
        <f>SUM(E286:E299)</f>
        <v>0</v>
      </c>
      <c r="F300" s="69">
        <f>SUM(F286:F299)</f>
        <v>0</v>
      </c>
      <c r="G300" s="35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71" t="str">
        <f>'2018'!A35</f>
        <v>Salud</v>
      </c>
      <c r="C302" s="272"/>
      <c r="D302" s="272"/>
      <c r="E302" s="272"/>
      <c r="F302" s="272"/>
      <c r="G302" s="273"/>
    </row>
    <row r="303" spans="2:7" ht="15" customHeight="1" thickBot="1">
      <c r="B303" s="274"/>
      <c r="C303" s="275"/>
      <c r="D303" s="275"/>
      <c r="E303" s="275"/>
      <c r="F303" s="275"/>
      <c r="G303" s="276"/>
    </row>
    <row r="304" spans="2:7">
      <c r="B304" s="279" t="s">
        <v>10</v>
      </c>
      <c r="C304" s="278"/>
      <c r="D304" s="277" t="s">
        <v>11</v>
      </c>
      <c r="E304" s="277"/>
      <c r="F304" s="277"/>
      <c r="G304" s="278"/>
    </row>
    <row r="305" spans="2:7">
      <c r="B305" s="65" t="s">
        <v>32</v>
      </c>
      <c r="C305" s="73" t="s">
        <v>33</v>
      </c>
      <c r="D305" s="65" t="s">
        <v>68</v>
      </c>
      <c r="E305" s="66" t="s">
        <v>69</v>
      </c>
      <c r="F305" s="66" t="s">
        <v>32</v>
      </c>
      <c r="G305" s="73" t="s">
        <v>33</v>
      </c>
    </row>
    <row r="306" spans="2:7">
      <c r="B306" s="67">
        <v>100</v>
      </c>
      <c r="C306" s="37" t="s">
        <v>60</v>
      </c>
      <c r="D306" s="70">
        <f>34.5+34.5</f>
        <v>69</v>
      </c>
      <c r="E306" s="71"/>
      <c r="F306" s="71"/>
      <c r="G306" s="34" t="s">
        <v>101</v>
      </c>
    </row>
    <row r="307" spans="2:7">
      <c r="B307" s="119"/>
      <c r="C307" s="79"/>
      <c r="D307" s="70">
        <f>9.1</f>
        <v>9.1</v>
      </c>
      <c r="E307" s="71"/>
      <c r="F307" s="71">
        <f>3.6</f>
        <v>3.6</v>
      </c>
      <c r="G307" s="34" t="s">
        <v>97</v>
      </c>
    </row>
    <row r="308" spans="2:7">
      <c r="B308" s="119"/>
      <c r="C308" s="79"/>
      <c r="D308" s="70"/>
      <c r="E308" s="71"/>
      <c r="F308" s="71">
        <f>50</f>
        <v>50</v>
      </c>
      <c r="G308" s="34" t="s">
        <v>240</v>
      </c>
    </row>
    <row r="309" spans="2:7">
      <c r="B309" s="68"/>
      <c r="C309" s="34"/>
      <c r="D309" s="70">
        <v>65.819999999999993</v>
      </c>
      <c r="E309" s="71"/>
      <c r="F309" s="71"/>
      <c r="G309" s="34" t="s">
        <v>347</v>
      </c>
    </row>
    <row r="310" spans="2:7">
      <c r="B310" s="68"/>
      <c r="C310" s="34"/>
      <c r="D310" s="70"/>
      <c r="E310" s="71"/>
      <c r="F310" s="71"/>
      <c r="G310" s="34"/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66</v>
      </c>
      <c r="D320" s="69">
        <f>SUM(D306:D319)</f>
        <v>143.91999999999999</v>
      </c>
      <c r="E320" s="69">
        <f>SUM(E306:E319)</f>
        <v>0</v>
      </c>
      <c r="F320" s="69">
        <f>SUM(F306:F319)</f>
        <v>53.6</v>
      </c>
      <c r="G320" s="35" t="s">
        <v>66</v>
      </c>
    </row>
    <row r="321" spans="2:7" ht="15.75" thickBot="1"/>
    <row r="322" spans="2:7" ht="14.45" customHeight="1">
      <c r="B322" s="271" t="str">
        <f>'2018'!A36</f>
        <v>Martina</v>
      </c>
      <c r="C322" s="272"/>
      <c r="D322" s="272"/>
      <c r="E322" s="272"/>
      <c r="F322" s="272"/>
      <c r="G322" s="273"/>
    </row>
    <row r="323" spans="2:7" ht="15" customHeight="1" thickBot="1">
      <c r="B323" s="274"/>
      <c r="C323" s="275"/>
      <c r="D323" s="275"/>
      <c r="E323" s="275"/>
      <c r="F323" s="275"/>
      <c r="G323" s="276"/>
    </row>
    <row r="324" spans="2:7">
      <c r="B324" s="279" t="s">
        <v>10</v>
      </c>
      <c r="C324" s="278"/>
      <c r="D324" s="277" t="s">
        <v>11</v>
      </c>
      <c r="E324" s="277"/>
      <c r="F324" s="277"/>
      <c r="G324" s="278"/>
    </row>
    <row r="325" spans="2:7">
      <c r="B325" s="65" t="s">
        <v>32</v>
      </c>
      <c r="C325" s="73" t="s">
        <v>33</v>
      </c>
      <c r="D325" s="65" t="s">
        <v>68</v>
      </c>
      <c r="E325" s="66" t="s">
        <v>69</v>
      </c>
      <c r="F325" s="66" t="s">
        <v>32</v>
      </c>
      <c r="G325" s="73" t="s">
        <v>33</v>
      </c>
    </row>
    <row r="326" spans="2:7">
      <c r="B326" s="67">
        <v>-224.6</v>
      </c>
      <c r="C326" s="37" t="s">
        <v>355</v>
      </c>
      <c r="D326" s="70"/>
      <c r="E326" s="71"/>
      <c r="F326" s="71"/>
      <c r="G326" s="34"/>
    </row>
    <row r="327" spans="2:7">
      <c r="B327" s="68"/>
      <c r="C327" s="34"/>
      <c r="D327" s="70"/>
      <c r="E327" s="71"/>
      <c r="F327" s="71"/>
      <c r="G327" s="34"/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-224.6</v>
      </c>
      <c r="C340" s="35" t="s">
        <v>66</v>
      </c>
      <c r="D340" s="69">
        <f>SUM(D326:D339)</f>
        <v>0</v>
      </c>
      <c r="E340" s="69">
        <f>SUM(E326:E339)</f>
        <v>0</v>
      </c>
      <c r="F340" s="69">
        <f>SUM(F326:F339)</f>
        <v>0</v>
      </c>
      <c r="G340" s="35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71" t="str">
        <f>'2018'!A37</f>
        <v>Impuestos</v>
      </c>
      <c r="C342" s="272"/>
      <c r="D342" s="272"/>
      <c r="E342" s="272"/>
      <c r="F342" s="272"/>
      <c r="G342" s="273"/>
    </row>
    <row r="343" spans="2:7" ht="15" customHeight="1" thickBot="1">
      <c r="B343" s="274"/>
      <c r="C343" s="275"/>
      <c r="D343" s="275"/>
      <c r="E343" s="275"/>
      <c r="F343" s="275"/>
      <c r="G343" s="276"/>
    </row>
    <row r="344" spans="2:7">
      <c r="B344" s="279" t="s">
        <v>10</v>
      </c>
      <c r="C344" s="278"/>
      <c r="D344" s="277" t="s">
        <v>11</v>
      </c>
      <c r="E344" s="277"/>
      <c r="F344" s="277"/>
      <c r="G344" s="278"/>
    </row>
    <row r="345" spans="2:7">
      <c r="B345" s="65" t="s">
        <v>32</v>
      </c>
      <c r="C345" s="73" t="s">
        <v>33</v>
      </c>
      <c r="D345" s="65" t="s">
        <v>68</v>
      </c>
      <c r="E345" s="66" t="s">
        <v>69</v>
      </c>
      <c r="F345" s="66" t="s">
        <v>32</v>
      </c>
      <c r="G345" s="73" t="s">
        <v>33</v>
      </c>
    </row>
    <row r="346" spans="2:7">
      <c r="B346" s="67">
        <v>30</v>
      </c>
      <c r="C346" s="37" t="s">
        <v>354</v>
      </c>
      <c r="D346" s="70"/>
      <c r="E346" s="71"/>
      <c r="F346" s="71"/>
      <c r="G346" s="34"/>
    </row>
    <row r="347" spans="2:7">
      <c r="B347" s="68"/>
      <c r="C347" s="34"/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30</v>
      </c>
      <c r="C360" s="35" t="s">
        <v>66</v>
      </c>
      <c r="D360" s="69">
        <f>SUM(D346:D359)</f>
        <v>0</v>
      </c>
      <c r="E360" s="69">
        <f>SUM(E346:E359)</f>
        <v>0</v>
      </c>
      <c r="F360" s="69">
        <f>SUM(F346:F359)</f>
        <v>0</v>
      </c>
      <c r="G360" s="35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71" t="str">
        <f>'2018'!A38</f>
        <v>Gastos Curros</v>
      </c>
      <c r="C362" s="272"/>
      <c r="D362" s="272"/>
      <c r="E362" s="272"/>
      <c r="F362" s="272"/>
      <c r="G362" s="273"/>
    </row>
    <row r="363" spans="2:7" ht="15" customHeight="1" thickBot="1">
      <c r="B363" s="274"/>
      <c r="C363" s="275"/>
      <c r="D363" s="275"/>
      <c r="E363" s="275"/>
      <c r="F363" s="275"/>
      <c r="G363" s="276"/>
    </row>
    <row r="364" spans="2:7">
      <c r="B364" s="279" t="s">
        <v>10</v>
      </c>
      <c r="C364" s="278"/>
      <c r="D364" s="277" t="s">
        <v>11</v>
      </c>
      <c r="E364" s="277"/>
      <c r="F364" s="277"/>
      <c r="G364" s="278"/>
    </row>
    <row r="365" spans="2:7">
      <c r="B365" s="65" t="s">
        <v>32</v>
      </c>
      <c r="C365" s="73" t="s">
        <v>33</v>
      </c>
      <c r="D365" s="65" t="s">
        <v>68</v>
      </c>
      <c r="E365" s="66" t="s">
        <v>69</v>
      </c>
      <c r="F365" s="66" t="s">
        <v>32</v>
      </c>
      <c r="G365" s="73" t="s">
        <v>33</v>
      </c>
    </row>
    <row r="366" spans="2:7">
      <c r="B366" s="67">
        <v>40</v>
      </c>
      <c r="C366" s="37" t="s">
        <v>36</v>
      </c>
      <c r="D366" s="70">
        <f>3.4+3.5+4.45+4+5+3.7+4.45</f>
        <v>28.5</v>
      </c>
      <c r="E366" s="71"/>
      <c r="F366" s="71"/>
      <c r="G366" s="91" t="s">
        <v>91</v>
      </c>
    </row>
    <row r="367" spans="2:7">
      <c r="B367" s="68"/>
      <c r="C367" s="34"/>
      <c r="D367" s="70">
        <f>40.99</f>
        <v>40.99</v>
      </c>
      <c r="E367" s="71"/>
      <c r="F367" s="71"/>
      <c r="G367" s="91" t="s">
        <v>92</v>
      </c>
    </row>
    <row r="368" spans="2:7">
      <c r="B368" s="68"/>
      <c r="C368" s="34"/>
      <c r="D368" s="70"/>
      <c r="E368" s="71"/>
      <c r="F368" s="71"/>
      <c r="G368" s="34"/>
    </row>
    <row r="369" spans="2:7">
      <c r="B369" s="68"/>
      <c r="C369" s="34"/>
      <c r="D369" s="70"/>
      <c r="E369" s="71"/>
      <c r="F369" s="71"/>
      <c r="G369" s="34"/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40</v>
      </c>
      <c r="C380" s="35" t="s">
        <v>66</v>
      </c>
      <c r="D380" s="69">
        <f>SUM(D366:D379)</f>
        <v>69.490000000000009</v>
      </c>
      <c r="E380" s="69">
        <f>SUM(E366:E379)</f>
        <v>0</v>
      </c>
      <c r="F380" s="69">
        <f>SUM(F366:F379)</f>
        <v>0</v>
      </c>
      <c r="G380" s="35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71" t="str">
        <f>'2018'!A39</f>
        <v>Dreamed Holidays</v>
      </c>
      <c r="C382" s="272"/>
      <c r="D382" s="272"/>
      <c r="E382" s="272"/>
      <c r="F382" s="272"/>
      <c r="G382" s="273"/>
    </row>
    <row r="383" spans="2:7" ht="15" customHeight="1" thickBot="1">
      <c r="B383" s="274"/>
      <c r="C383" s="275"/>
      <c r="D383" s="275"/>
      <c r="E383" s="275"/>
      <c r="F383" s="275"/>
      <c r="G383" s="276"/>
    </row>
    <row r="384" spans="2:7">
      <c r="B384" s="279" t="s">
        <v>10</v>
      </c>
      <c r="C384" s="278"/>
      <c r="D384" s="277" t="s">
        <v>11</v>
      </c>
      <c r="E384" s="277"/>
      <c r="F384" s="277"/>
      <c r="G384" s="278"/>
    </row>
    <row r="385" spans="2:7">
      <c r="B385" s="65" t="s">
        <v>32</v>
      </c>
      <c r="C385" s="73" t="s">
        <v>33</v>
      </c>
      <c r="D385" s="65" t="s">
        <v>68</v>
      </c>
      <c r="E385" s="66" t="s">
        <v>69</v>
      </c>
      <c r="F385" s="66" t="s">
        <v>32</v>
      </c>
      <c r="G385" s="73" t="s">
        <v>33</v>
      </c>
    </row>
    <row r="386" spans="2:7">
      <c r="B386" s="67">
        <v>10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10</v>
      </c>
      <c r="C400" s="35" t="s">
        <v>66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71" t="str">
        <f>'2018'!A40</f>
        <v>Financieros</v>
      </c>
      <c r="C402" s="272"/>
      <c r="D402" s="272"/>
      <c r="E402" s="272"/>
      <c r="F402" s="272"/>
      <c r="G402" s="273"/>
    </row>
    <row r="403" spans="2:7" ht="15" customHeight="1" thickBot="1">
      <c r="B403" s="274"/>
      <c r="C403" s="275"/>
      <c r="D403" s="275"/>
      <c r="E403" s="275"/>
      <c r="F403" s="275"/>
      <c r="G403" s="276"/>
    </row>
    <row r="404" spans="2:7">
      <c r="B404" s="279" t="s">
        <v>10</v>
      </c>
      <c r="C404" s="278"/>
      <c r="D404" s="277" t="s">
        <v>11</v>
      </c>
      <c r="E404" s="277"/>
      <c r="F404" s="277"/>
      <c r="G404" s="278"/>
    </row>
    <row r="405" spans="2:7">
      <c r="B405" s="65" t="s">
        <v>32</v>
      </c>
      <c r="C405" s="73" t="s">
        <v>33</v>
      </c>
      <c r="D405" s="65" t="s">
        <v>68</v>
      </c>
      <c r="E405" s="66" t="s">
        <v>69</v>
      </c>
      <c r="F405" s="66" t="s">
        <v>32</v>
      </c>
      <c r="G405" s="73" t="s">
        <v>33</v>
      </c>
    </row>
    <row r="406" spans="2:7">
      <c r="B406" s="67">
        <v>0.03</v>
      </c>
      <c r="C406" s="37" t="s">
        <v>358</v>
      </c>
      <c r="D406" s="70"/>
      <c r="E406" s="71">
        <v>20</v>
      </c>
      <c r="F406" s="71"/>
      <c r="G406" s="34" t="s">
        <v>342</v>
      </c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0.03</v>
      </c>
      <c r="C420" s="35" t="s">
        <v>66</v>
      </c>
      <c r="D420" s="69">
        <f>SUM(D406:D419)</f>
        <v>0</v>
      </c>
      <c r="E420" s="69">
        <f>SUM(E406:E419)</f>
        <v>20</v>
      </c>
      <c r="F420" s="69">
        <f>SUM(F406:F419)</f>
        <v>0</v>
      </c>
      <c r="G420" s="35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71" t="str">
        <f>'2018'!A41</f>
        <v>Ahorros Colchón</v>
      </c>
      <c r="C422" s="289"/>
      <c r="D422" s="289"/>
      <c r="E422" s="289"/>
      <c r="F422" s="289"/>
      <c r="G422" s="290"/>
    </row>
    <row r="423" spans="2:7" ht="15" customHeight="1" thickBot="1">
      <c r="B423" s="291"/>
      <c r="C423" s="292"/>
      <c r="D423" s="292"/>
      <c r="E423" s="292"/>
      <c r="F423" s="292"/>
      <c r="G423" s="293"/>
    </row>
    <row r="424" spans="2:7">
      <c r="B424" s="279" t="s">
        <v>10</v>
      </c>
      <c r="C424" s="278"/>
      <c r="D424" s="277" t="s">
        <v>11</v>
      </c>
      <c r="E424" s="277"/>
      <c r="F424" s="277"/>
      <c r="G424" s="278"/>
    </row>
    <row r="425" spans="2:7">
      <c r="B425" s="65" t="s">
        <v>32</v>
      </c>
      <c r="C425" s="73" t="s">
        <v>33</v>
      </c>
      <c r="D425" s="65" t="s">
        <v>68</v>
      </c>
      <c r="E425" s="66" t="s">
        <v>69</v>
      </c>
      <c r="F425" s="66" t="s">
        <v>32</v>
      </c>
      <c r="G425" s="73" t="s">
        <v>33</v>
      </c>
    </row>
    <row r="426" spans="2:7">
      <c r="B426" s="67">
        <v>2290.23</v>
      </c>
      <c r="C426" s="37" t="s">
        <v>359</v>
      </c>
      <c r="D426" s="70"/>
      <c r="E426" s="71"/>
      <c r="F426" s="71"/>
      <c r="G426" s="34"/>
    </row>
    <row r="427" spans="2:7">
      <c r="B427" s="68">
        <v>275.29000000000002</v>
      </c>
      <c r="C427" s="34" t="s">
        <v>361</v>
      </c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2565.52</v>
      </c>
      <c r="C440" s="35" t="s">
        <v>66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71" t="str">
        <f>'2018'!A42</f>
        <v>Dinero Bloqueado</v>
      </c>
      <c r="C442" s="289"/>
      <c r="D442" s="289"/>
      <c r="E442" s="289"/>
      <c r="F442" s="289"/>
      <c r="G442" s="290"/>
    </row>
    <row r="443" spans="2:7" ht="15" customHeight="1" thickBot="1">
      <c r="B443" s="291"/>
      <c r="C443" s="292"/>
      <c r="D443" s="292"/>
      <c r="E443" s="292"/>
      <c r="F443" s="292"/>
      <c r="G443" s="293"/>
    </row>
    <row r="444" spans="2:7">
      <c r="B444" s="279" t="s">
        <v>10</v>
      </c>
      <c r="C444" s="278"/>
      <c r="D444" s="277" t="s">
        <v>11</v>
      </c>
      <c r="E444" s="277"/>
      <c r="F444" s="277"/>
      <c r="G444" s="278"/>
    </row>
    <row r="445" spans="2:7">
      <c r="B445" s="65" t="s">
        <v>32</v>
      </c>
      <c r="C445" s="73" t="s">
        <v>33</v>
      </c>
      <c r="D445" s="65" t="s">
        <v>68</v>
      </c>
      <c r="E445" s="66" t="s">
        <v>69</v>
      </c>
      <c r="F445" s="66" t="s">
        <v>32</v>
      </c>
      <c r="G445" s="73" t="s">
        <v>33</v>
      </c>
    </row>
    <row r="446" spans="2:7">
      <c r="B446" s="67"/>
      <c r="C446" s="37"/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0</v>
      </c>
      <c r="C460" s="35" t="s">
        <v>66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71" t="str">
        <f>'2018'!A43</f>
        <v>Cartama Finanazas</v>
      </c>
      <c r="C462" s="289"/>
      <c r="D462" s="289"/>
      <c r="E462" s="289"/>
      <c r="F462" s="289"/>
      <c r="G462" s="290"/>
    </row>
    <row r="463" spans="2:7" ht="15" customHeight="1" thickBot="1">
      <c r="B463" s="291"/>
      <c r="C463" s="292"/>
      <c r="D463" s="292"/>
      <c r="E463" s="292"/>
      <c r="F463" s="292"/>
      <c r="G463" s="293"/>
    </row>
    <row r="464" spans="2:7">
      <c r="B464" s="279" t="s">
        <v>10</v>
      </c>
      <c r="C464" s="278"/>
      <c r="D464" s="277" t="s">
        <v>11</v>
      </c>
      <c r="E464" s="277"/>
      <c r="F464" s="277"/>
      <c r="G464" s="278"/>
    </row>
    <row r="465" spans="2:7">
      <c r="B465" s="65" t="s">
        <v>32</v>
      </c>
      <c r="C465" s="73" t="s">
        <v>33</v>
      </c>
      <c r="D465" s="65" t="s">
        <v>68</v>
      </c>
      <c r="E465" s="66" t="s">
        <v>69</v>
      </c>
      <c r="F465" s="66" t="s">
        <v>32</v>
      </c>
      <c r="G465" s="73" t="s">
        <v>33</v>
      </c>
    </row>
    <row r="466" spans="2:7">
      <c r="B466" s="67"/>
      <c r="C466" s="37"/>
      <c r="D466" s="70"/>
      <c r="E466" s="71"/>
      <c r="F466" s="71"/>
      <c r="G466" s="34"/>
    </row>
    <row r="467" spans="2:7">
      <c r="B467" s="68"/>
      <c r="C467" s="34"/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0</v>
      </c>
      <c r="C480" s="35" t="s">
        <v>66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66</v>
      </c>
    </row>
    <row r="481" spans="2:7" ht="15.75" thickBot="1"/>
    <row r="482" spans="2:7" ht="14.45" customHeight="1">
      <c r="B482" s="271" t="str">
        <f>'2018'!A44</f>
        <v>NULO</v>
      </c>
      <c r="C482" s="289"/>
      <c r="D482" s="289"/>
      <c r="E482" s="289"/>
      <c r="F482" s="289"/>
      <c r="G482" s="290"/>
    </row>
    <row r="483" spans="2:7" ht="15" customHeight="1" thickBot="1">
      <c r="B483" s="291"/>
      <c r="C483" s="292"/>
      <c r="D483" s="292"/>
      <c r="E483" s="292"/>
      <c r="F483" s="292"/>
      <c r="G483" s="293"/>
    </row>
    <row r="484" spans="2:7">
      <c r="B484" s="279" t="s">
        <v>10</v>
      </c>
      <c r="C484" s="278"/>
      <c r="D484" s="277" t="s">
        <v>11</v>
      </c>
      <c r="E484" s="277"/>
      <c r="F484" s="277"/>
      <c r="G484" s="278"/>
    </row>
    <row r="485" spans="2:7">
      <c r="B485" s="65" t="s">
        <v>32</v>
      </c>
      <c r="C485" s="73" t="s">
        <v>33</v>
      </c>
      <c r="D485" s="65" t="s">
        <v>68</v>
      </c>
      <c r="E485" s="66" t="s">
        <v>69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66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71" t="str">
        <f>'2018'!A45</f>
        <v>OTROS</v>
      </c>
      <c r="C502" s="289"/>
      <c r="D502" s="289"/>
      <c r="E502" s="289"/>
      <c r="F502" s="289"/>
      <c r="G502" s="290"/>
    </row>
    <row r="503" spans="2:7" ht="15" customHeight="1" thickBot="1">
      <c r="B503" s="291"/>
      <c r="C503" s="292"/>
      <c r="D503" s="292"/>
      <c r="E503" s="292"/>
      <c r="F503" s="292"/>
      <c r="G503" s="293"/>
    </row>
    <row r="504" spans="2:7">
      <c r="B504" s="279" t="s">
        <v>10</v>
      </c>
      <c r="C504" s="278"/>
      <c r="D504" s="277" t="s">
        <v>11</v>
      </c>
      <c r="E504" s="277"/>
      <c r="F504" s="277"/>
      <c r="G504" s="278"/>
    </row>
    <row r="505" spans="2:7">
      <c r="B505" s="65" t="s">
        <v>32</v>
      </c>
      <c r="C505" s="73" t="s">
        <v>33</v>
      </c>
      <c r="D505" s="65" t="s">
        <v>68</v>
      </c>
      <c r="E505" s="66" t="s">
        <v>69</v>
      </c>
      <c r="F505" s="66" t="s">
        <v>32</v>
      </c>
      <c r="G505" s="73" t="s">
        <v>33</v>
      </c>
    </row>
    <row r="506" spans="2:7">
      <c r="B506" s="67">
        <v>10</v>
      </c>
      <c r="C506" s="37"/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>
        <f>SUM(B506:B519)</f>
        <v>10</v>
      </c>
      <c r="C520" s="35" t="s">
        <v>66</v>
      </c>
      <c r="D520" s="69">
        <f>SUM(D506:D519)</f>
        <v>0</v>
      </c>
      <c r="E520" s="69">
        <f>SUM(E506:E519)</f>
        <v>0</v>
      </c>
      <c r="F520" s="69">
        <f>SUM(F506:F519)</f>
        <v>0</v>
      </c>
      <c r="G520" s="35" t="s">
        <v>66</v>
      </c>
    </row>
  </sheetData>
  <mergeCells count="111"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400-000000000000}"/>
    <hyperlink ref="I2:L3" location="'2018'!O4:R4" display="SALDO REAL" xr:uid="{00000000-0004-0000-0400-000001000000}"/>
    <hyperlink ref="I22" location="Trimestre!C39:F40" display="TELÉFONO" xr:uid="{00000000-0004-0000-0400-000002000000}"/>
    <hyperlink ref="I22:L23" location="'2018'!O7:R7" display="INGRESOS" xr:uid="{00000000-0004-0000-0400-000003000000}"/>
    <hyperlink ref="B2" location="Trimestre!C25:F26" display="HIPOTECA" xr:uid="{00000000-0004-0000-0400-000004000000}"/>
    <hyperlink ref="B2:G3" location="'2018'!O20:R20" display="'2018'!O20:R20" xr:uid="{00000000-0004-0000-0400-000005000000}"/>
    <hyperlink ref="B22" location="Trimestre!C25:F26" display="HIPOTECA" xr:uid="{00000000-0004-0000-0400-000006000000}"/>
    <hyperlink ref="B22:G23" location="'2018'!O21:R21" display="'2018'!O21:R21" xr:uid="{00000000-0004-0000-0400-000007000000}"/>
    <hyperlink ref="B42" location="Trimestre!C25:F26" display="HIPOTECA" xr:uid="{00000000-0004-0000-0400-000008000000}"/>
    <hyperlink ref="B42:G43" location="'2018'!O22:R22" display="'2018'!O22:R22" xr:uid="{00000000-0004-0000-0400-000009000000}"/>
    <hyperlink ref="B62" location="Trimestre!C25:F26" display="HIPOTECA" xr:uid="{00000000-0004-0000-0400-00000A000000}"/>
    <hyperlink ref="B62:G63" location="'2018'!O23:R23" display="'2018'!O23:R23" xr:uid="{00000000-0004-0000-0400-00000B000000}"/>
    <hyperlink ref="B82" location="Trimestre!C25:F26" display="HIPOTECA" xr:uid="{00000000-0004-0000-0400-00000C000000}"/>
    <hyperlink ref="B82:G83" location="'2018'!O24:R24" display="'2018'!O24:R24" xr:uid="{00000000-0004-0000-0400-00000D000000}"/>
    <hyperlink ref="B102" location="Trimestre!C25:F26" display="HIPOTECA" xr:uid="{00000000-0004-0000-0400-00000E000000}"/>
    <hyperlink ref="B102:G103" location="'2018'!O25:R25" display="'2018'!O25:R25" xr:uid="{00000000-0004-0000-0400-00000F000000}"/>
    <hyperlink ref="B122" location="Trimestre!C25:F26" display="HIPOTECA" xr:uid="{00000000-0004-0000-0400-000010000000}"/>
    <hyperlink ref="B122:G123" location="'2018'!O26:R26" display="'2018'!O26:R26" xr:uid="{00000000-0004-0000-0400-000011000000}"/>
    <hyperlink ref="B142" location="Trimestre!C25:F26" display="HIPOTECA" xr:uid="{00000000-0004-0000-0400-000012000000}"/>
    <hyperlink ref="B142:G143" location="'2018'!O27:R27" display="'2018'!O27:R27" xr:uid="{00000000-0004-0000-0400-000013000000}"/>
    <hyperlink ref="B162" location="Trimestre!C25:F26" display="HIPOTECA" xr:uid="{00000000-0004-0000-0400-000014000000}"/>
    <hyperlink ref="B162:G163" location="'2018'!O28:R28" display="'2018'!O28:R28" xr:uid="{00000000-0004-0000-0400-000015000000}"/>
    <hyperlink ref="B182" location="Trimestre!C25:F26" display="HIPOTECA" xr:uid="{00000000-0004-0000-0400-000016000000}"/>
    <hyperlink ref="B182:G183" location="'2018'!O29:R29" display="'2018'!O29:R29" xr:uid="{00000000-0004-0000-0400-000017000000}"/>
    <hyperlink ref="B202" location="Trimestre!C25:F26" display="HIPOTECA" xr:uid="{00000000-0004-0000-0400-000018000000}"/>
    <hyperlink ref="B202:G203" location="'2018'!O30:R30" display="'2018'!O30:R30" xr:uid="{00000000-0004-0000-0400-000019000000}"/>
    <hyperlink ref="B222" location="Trimestre!C25:F26" display="HIPOTECA" xr:uid="{00000000-0004-0000-0400-00001A000000}"/>
    <hyperlink ref="B222:G223" location="'2018'!O31:R31" display="'2018'!O31:R31" xr:uid="{00000000-0004-0000-0400-00001B000000}"/>
    <hyperlink ref="B242" location="Trimestre!C25:F26" display="HIPOTECA" xr:uid="{00000000-0004-0000-0400-00001C000000}"/>
    <hyperlink ref="B242:G243" location="'2018'!O32:R32" display="'2018'!O32:R32" xr:uid="{00000000-0004-0000-0400-00001D000000}"/>
    <hyperlink ref="B262" location="Trimestre!C25:F26" display="HIPOTECA" xr:uid="{00000000-0004-0000-0400-00001E000000}"/>
    <hyperlink ref="B262:G263" location="'2018'!O33:R33" display="'2018'!O33:R33" xr:uid="{00000000-0004-0000-0400-00001F000000}"/>
    <hyperlink ref="B282" location="Trimestre!C25:F26" display="HIPOTECA" xr:uid="{00000000-0004-0000-0400-000020000000}"/>
    <hyperlink ref="B282:G283" location="'2018'!O34:R34" display="'2018'!O34:R34" xr:uid="{00000000-0004-0000-0400-000021000000}"/>
    <hyperlink ref="B302" location="Trimestre!C25:F26" display="HIPOTECA" xr:uid="{00000000-0004-0000-0400-000022000000}"/>
    <hyperlink ref="B302:G303" location="'2018'!O35:R35" display="'2018'!O35:R35" xr:uid="{00000000-0004-0000-0400-000023000000}"/>
    <hyperlink ref="B322" location="Trimestre!C25:F26" display="HIPOTECA" xr:uid="{00000000-0004-0000-0400-000024000000}"/>
    <hyperlink ref="B322:G323" location="'2018'!O36:R36" display="'2018'!O36:R36" xr:uid="{00000000-0004-0000-0400-000025000000}"/>
    <hyperlink ref="B342" location="Trimestre!C25:F26" display="HIPOTECA" xr:uid="{00000000-0004-0000-0400-000026000000}"/>
    <hyperlink ref="B342:G343" location="'2018'!O37:R37" display="'2018'!O37:R37" xr:uid="{00000000-0004-0000-0400-000027000000}"/>
    <hyperlink ref="B362" location="Trimestre!C25:F26" display="HIPOTECA" xr:uid="{00000000-0004-0000-0400-000028000000}"/>
    <hyperlink ref="B362:G363" location="'2018'!O38:R38" display="'2018'!O38:R38" xr:uid="{00000000-0004-0000-0400-000029000000}"/>
    <hyperlink ref="B382" location="Trimestre!C25:F26" display="HIPOTECA" xr:uid="{00000000-0004-0000-0400-00002A000000}"/>
    <hyperlink ref="B382:G383" location="'2018'!O39:R39" display="'2018'!O39:R39" xr:uid="{00000000-0004-0000-0400-00002B000000}"/>
    <hyperlink ref="B402" location="Trimestre!C25:F26" display="HIPOTECA" xr:uid="{00000000-0004-0000-0400-00002C000000}"/>
    <hyperlink ref="B402:G403" location="'2018'!O40:R40" display="'2018'!O40:R40" xr:uid="{00000000-0004-0000-0400-00002D000000}"/>
    <hyperlink ref="B422" location="Trimestre!C25:F26" display="HIPOTECA" xr:uid="{00000000-0004-0000-0400-00002E000000}"/>
    <hyperlink ref="B422:G423" location="'2018'!O41:R41" display="'2018'!O41:R41" xr:uid="{00000000-0004-0000-0400-00002F000000}"/>
    <hyperlink ref="B442" location="Trimestre!C25:F26" display="HIPOTECA" xr:uid="{00000000-0004-0000-0400-000030000000}"/>
    <hyperlink ref="B442:G443" location="'2018'!O42:R42" display="'2018'!O42:R42" xr:uid="{00000000-0004-0000-0400-000031000000}"/>
    <hyperlink ref="B462" location="Trimestre!C25:F26" display="HIPOTECA" xr:uid="{00000000-0004-0000-0400-000032000000}"/>
    <hyperlink ref="B462:G463" location="'2018'!O43:R43" display="'2018'!O43:R43" xr:uid="{00000000-0004-0000-0400-000033000000}"/>
    <hyperlink ref="B482" location="Trimestre!C25:F26" display="HIPOTECA" xr:uid="{00000000-0004-0000-0400-000034000000}"/>
    <hyperlink ref="B482:G483" location="'2018'!O44:R44" display="'2018'!O44:R44" xr:uid="{00000000-0004-0000-0400-000035000000}"/>
    <hyperlink ref="B502" location="Trimestre!C25:F26" display="HIPOTECA" xr:uid="{00000000-0004-0000-0400-000036000000}"/>
    <hyperlink ref="B502:G503" location="'2018'!O45:R45" display="'2018'!O45:R45" xr:uid="{00000000-0004-0000-0400-000037000000}"/>
  </hyperlink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520"/>
  <sheetViews>
    <sheetView topLeftCell="B1" workbookViewId="0">
      <selection activeCell="I22" sqref="I22:L23"/>
    </sheetView>
  </sheetViews>
  <sheetFormatPr defaultColWidth="11.42578125" defaultRowHeight="15"/>
  <cols>
    <col min="1" max="1" width="11.42578125" style="175"/>
    <col min="2" max="2" width="10" style="175" customWidth="1"/>
    <col min="3" max="3" width="33.28515625" style="175" customWidth="1"/>
    <col min="4" max="6" width="10" style="175" customWidth="1"/>
    <col min="7" max="7" width="33.28515625" style="175" customWidth="1"/>
    <col min="8" max="9" width="11.42578125" style="175"/>
    <col min="10" max="10" width="31.28515625" style="175" customWidth="1"/>
    <col min="11" max="16384" width="11.42578125" style="175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71" t="str">
        <f>'2018'!A20</f>
        <v>Cártama Gastos</v>
      </c>
      <c r="C2" s="272"/>
      <c r="D2" s="272"/>
      <c r="E2" s="272"/>
      <c r="F2" s="272"/>
      <c r="G2" s="273"/>
      <c r="H2" s="1"/>
      <c r="I2" s="284" t="s">
        <v>4</v>
      </c>
      <c r="J2" s="272"/>
      <c r="K2" s="272"/>
      <c r="L2" s="273"/>
      <c r="M2" s="1"/>
      <c r="N2" s="1"/>
      <c r="R2" s="3"/>
    </row>
    <row r="3" spans="1:22" ht="16.5" thickBot="1">
      <c r="A3" s="1"/>
      <c r="B3" s="274"/>
      <c r="C3" s="275"/>
      <c r="D3" s="275"/>
      <c r="E3" s="275"/>
      <c r="F3" s="275"/>
      <c r="G3" s="276"/>
      <c r="H3" s="1"/>
      <c r="I3" s="274"/>
      <c r="J3" s="275"/>
      <c r="K3" s="275"/>
      <c r="L3" s="276"/>
      <c r="M3" s="1"/>
      <c r="N3" s="1"/>
      <c r="R3" s="3"/>
    </row>
    <row r="4" spans="1:22" ht="15.75">
      <c r="A4" s="1"/>
      <c r="B4" s="279" t="s">
        <v>10</v>
      </c>
      <c r="C4" s="278"/>
      <c r="D4" s="277" t="s">
        <v>11</v>
      </c>
      <c r="E4" s="277"/>
      <c r="F4" s="277"/>
      <c r="G4" s="278"/>
      <c r="H4" s="1"/>
      <c r="I4" s="32" t="s">
        <v>70</v>
      </c>
      <c r="J4" s="33" t="s">
        <v>71</v>
      </c>
      <c r="K4" s="285" t="s">
        <v>72</v>
      </c>
      <c r="L4" s="286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68</v>
      </c>
      <c r="E5" s="66" t="s">
        <v>69</v>
      </c>
      <c r="F5" s="66" t="s">
        <v>32</v>
      </c>
      <c r="G5" s="73" t="s">
        <v>33</v>
      </c>
      <c r="H5" s="1"/>
      <c r="I5" s="74" t="s">
        <v>73</v>
      </c>
      <c r="J5" s="3" t="s">
        <v>74</v>
      </c>
      <c r="K5" s="287">
        <v>1091.18</v>
      </c>
      <c r="L5" s="288"/>
      <c r="M5" s="117"/>
      <c r="N5" s="1"/>
      <c r="R5" s="3"/>
    </row>
    <row r="6" spans="1:22" ht="15.75">
      <c r="A6" s="1"/>
      <c r="B6" s="67">
        <v>399</v>
      </c>
      <c r="C6" s="37" t="s">
        <v>312</v>
      </c>
      <c r="D6" s="70"/>
      <c r="E6" s="71">
        <v>398.31</v>
      </c>
      <c r="F6" s="71"/>
      <c r="G6" s="34" t="s">
        <v>35</v>
      </c>
      <c r="H6" s="1"/>
      <c r="I6" s="75" t="s">
        <v>73</v>
      </c>
      <c r="J6" s="36" t="s">
        <v>75</v>
      </c>
      <c r="K6" s="280">
        <v>248.78</v>
      </c>
      <c r="L6" s="281"/>
      <c r="M6" s="1" t="s">
        <v>267</v>
      </c>
      <c r="N6" s="1"/>
      <c r="R6" s="3"/>
    </row>
    <row r="7" spans="1:22" ht="15.75">
      <c r="A7" s="1"/>
      <c r="B7" s="68">
        <v>60</v>
      </c>
      <c r="C7" s="34" t="s">
        <v>326</v>
      </c>
      <c r="D7" s="70"/>
      <c r="E7" s="71"/>
      <c r="F7" s="71"/>
      <c r="G7" s="34" t="s">
        <v>106</v>
      </c>
      <c r="H7" s="117"/>
      <c r="I7" s="75" t="s">
        <v>76</v>
      </c>
      <c r="J7" s="36" t="s">
        <v>77</v>
      </c>
      <c r="K7" s="280">
        <v>8736.65</v>
      </c>
      <c r="L7" s="281"/>
      <c r="M7" s="1"/>
      <c r="N7" s="1"/>
      <c r="R7" s="3"/>
    </row>
    <row r="8" spans="1:22" ht="15.75">
      <c r="A8" s="1"/>
      <c r="B8" s="68">
        <v>100.01</v>
      </c>
      <c r="C8" s="34" t="s">
        <v>38</v>
      </c>
      <c r="D8" s="70"/>
      <c r="F8" s="71"/>
      <c r="G8" s="34" t="s">
        <v>38</v>
      </c>
      <c r="H8" s="1"/>
      <c r="I8" s="75" t="s">
        <v>76</v>
      </c>
      <c r="J8" s="36" t="s">
        <v>78</v>
      </c>
      <c r="K8" s="280">
        <v>5000</v>
      </c>
      <c r="L8" s="281"/>
      <c r="M8" s="1"/>
      <c r="N8" s="1"/>
      <c r="R8" s="3"/>
    </row>
    <row r="9" spans="1:22" ht="15.75">
      <c r="A9" s="1"/>
      <c r="B9" s="68">
        <v>0</v>
      </c>
      <c r="C9" s="34" t="s">
        <v>40</v>
      </c>
      <c r="D9" s="70"/>
      <c r="E9" s="71"/>
      <c r="F9" s="71"/>
      <c r="G9" s="34" t="s">
        <v>40</v>
      </c>
      <c r="H9" s="1"/>
      <c r="I9" s="75" t="s">
        <v>76</v>
      </c>
      <c r="J9" s="36" t="s">
        <v>268</v>
      </c>
      <c r="K9" s="280">
        <v>621.13</v>
      </c>
      <c r="L9" s="281"/>
      <c r="M9" s="1"/>
      <c r="N9" s="1"/>
      <c r="R9" s="3"/>
    </row>
    <row r="10" spans="1:22" ht="15.75">
      <c r="A10" s="1"/>
      <c r="B10" s="68">
        <v>12</v>
      </c>
      <c r="C10" s="34" t="s">
        <v>39</v>
      </c>
      <c r="D10" s="70"/>
      <c r="E10" s="71">
        <v>12</v>
      </c>
      <c r="F10" s="71"/>
      <c r="G10" s="34" t="s">
        <v>39</v>
      </c>
      <c r="H10" s="1"/>
      <c r="I10" s="75" t="s">
        <v>76</v>
      </c>
      <c r="J10" s="36" t="s">
        <v>115</v>
      </c>
      <c r="K10" s="280">
        <v>1800.04</v>
      </c>
      <c r="L10" s="281"/>
      <c r="M10" s="1" t="s">
        <v>266</v>
      </c>
      <c r="N10" s="1"/>
      <c r="R10" s="3"/>
    </row>
    <row r="11" spans="1:22" ht="15.75">
      <c r="A11" s="1"/>
      <c r="B11" s="68">
        <v>31</v>
      </c>
      <c r="C11" s="34" t="s">
        <v>37</v>
      </c>
      <c r="D11" s="70"/>
      <c r="E11" s="71">
        <v>30.24</v>
      </c>
      <c r="F11" s="71"/>
      <c r="G11" s="34" t="s">
        <v>37</v>
      </c>
      <c r="H11" s="1"/>
      <c r="I11" s="75" t="s">
        <v>93</v>
      </c>
      <c r="J11" s="36" t="s">
        <v>94</v>
      </c>
      <c r="K11" s="280">
        <f>40+276</f>
        <v>316</v>
      </c>
      <c r="L11" s="281"/>
      <c r="M11" s="1"/>
      <c r="N11" s="1"/>
      <c r="R11" s="3"/>
    </row>
    <row r="12" spans="1:22" ht="15.75">
      <c r="A12" s="1"/>
      <c r="B12" s="68">
        <v>120</v>
      </c>
      <c r="C12" s="34" t="s">
        <v>195</v>
      </c>
      <c r="D12" s="70"/>
      <c r="E12" s="71">
        <f>43.62</f>
        <v>43.62</v>
      </c>
      <c r="F12" s="71"/>
      <c r="G12" s="34" t="s">
        <v>225</v>
      </c>
      <c r="H12" s="1"/>
      <c r="I12" s="75" t="s">
        <v>304</v>
      </c>
      <c r="J12" s="36" t="s">
        <v>305</v>
      </c>
      <c r="K12" s="280">
        <v>5092.08</v>
      </c>
      <c r="L12" s="281"/>
      <c r="M12" s="178"/>
      <c r="N12" s="1"/>
      <c r="R12" s="3"/>
    </row>
    <row r="13" spans="1:22" ht="15.75">
      <c r="A13" s="1"/>
      <c r="B13" s="68">
        <v>50</v>
      </c>
      <c r="C13" s="34" t="s">
        <v>196</v>
      </c>
      <c r="D13" s="70"/>
      <c r="E13" s="71"/>
      <c r="F13" s="71"/>
      <c r="G13" s="34"/>
      <c r="H13" s="1"/>
      <c r="I13" s="75"/>
      <c r="J13" s="36"/>
      <c r="K13" s="280"/>
      <c r="L13" s="281"/>
      <c r="M13" s="1"/>
      <c r="N13" s="1"/>
      <c r="R13" s="3"/>
    </row>
    <row r="14" spans="1:22" ht="15.75">
      <c r="A14" s="1"/>
      <c r="B14" s="68">
        <v>25</v>
      </c>
      <c r="C14" s="34" t="s">
        <v>207</v>
      </c>
      <c r="D14" s="70"/>
      <c r="E14" s="71"/>
      <c r="F14" s="71"/>
      <c r="G14" s="34"/>
      <c r="H14" s="1"/>
      <c r="I14" s="75"/>
      <c r="J14" s="36"/>
      <c r="K14" s="280"/>
      <c r="L14" s="281"/>
      <c r="M14" s="1"/>
      <c r="N14" s="1"/>
      <c r="R14" s="3"/>
    </row>
    <row r="15" spans="1:22" ht="15.75">
      <c r="A15" s="1"/>
      <c r="B15" s="68">
        <v>7</v>
      </c>
      <c r="C15" s="34" t="s">
        <v>353</v>
      </c>
      <c r="D15" s="70"/>
      <c r="E15" s="71"/>
      <c r="F15" s="71"/>
      <c r="G15" s="34"/>
      <c r="H15" s="1"/>
      <c r="I15" s="75"/>
      <c r="J15" s="36"/>
      <c r="K15" s="280"/>
      <c r="L15" s="281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75"/>
      <c r="J16" s="36"/>
      <c r="K16" s="280"/>
      <c r="L16" s="281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75"/>
      <c r="J17" s="36"/>
      <c r="K17" s="280"/>
      <c r="L17" s="281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76"/>
      <c r="J18" s="38"/>
      <c r="K18" s="282"/>
      <c r="L18" s="283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83</v>
      </c>
      <c r="J19" s="38"/>
      <c r="K19" s="282">
        <f>SUM(K5:K18)</f>
        <v>22905.86</v>
      </c>
      <c r="L19" s="283"/>
      <c r="M19" s="1"/>
      <c r="N19" s="1"/>
      <c r="R19" s="3"/>
    </row>
    <row r="20" spans="1:18" ht="16.5" thickBot="1">
      <c r="A20" s="1"/>
      <c r="B20" s="69">
        <f>SUM(B6:B19)</f>
        <v>804.01</v>
      </c>
      <c r="C20" s="35" t="s">
        <v>66</v>
      </c>
      <c r="D20" s="69">
        <f>SUM(D6:D19)</f>
        <v>0</v>
      </c>
      <c r="E20" s="69">
        <f>SUM(E6:E19)</f>
        <v>484.17</v>
      </c>
      <c r="F20" s="69">
        <f>SUM(F6:F19)</f>
        <v>0</v>
      </c>
      <c r="G20" s="35" t="s">
        <v>66</v>
      </c>
      <c r="H20" s="1"/>
      <c r="I20" s="175" t="s">
        <v>116</v>
      </c>
      <c r="L20" s="178">
        <f>K19-K10-K12</f>
        <v>16013.74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71" t="str">
        <f>'2018'!A21</f>
        <v>Waterloo</v>
      </c>
      <c r="C22" s="272"/>
      <c r="D22" s="272"/>
      <c r="E22" s="272"/>
      <c r="F22" s="272"/>
      <c r="G22" s="273"/>
      <c r="H22" s="1"/>
      <c r="I22" s="284" t="s">
        <v>6</v>
      </c>
      <c r="J22" s="272"/>
      <c r="K22" s="272"/>
      <c r="L22" s="273"/>
      <c r="M22" s="1"/>
      <c r="R22" s="3"/>
    </row>
    <row r="23" spans="1:18" ht="16.149999999999999" customHeight="1" thickBot="1">
      <c r="A23" s="1"/>
      <c r="B23" s="274"/>
      <c r="C23" s="275"/>
      <c r="D23" s="275"/>
      <c r="E23" s="275"/>
      <c r="F23" s="275"/>
      <c r="G23" s="276"/>
      <c r="H23" s="1"/>
      <c r="I23" s="274"/>
      <c r="J23" s="275"/>
      <c r="K23" s="275"/>
      <c r="L23" s="276"/>
      <c r="M23" s="1"/>
      <c r="R23" s="3"/>
    </row>
    <row r="24" spans="1:18" ht="15.75">
      <c r="A24" s="1"/>
      <c r="B24" s="279" t="s">
        <v>10</v>
      </c>
      <c r="C24" s="278"/>
      <c r="D24" s="277" t="s">
        <v>11</v>
      </c>
      <c r="E24" s="277"/>
      <c r="F24" s="277"/>
      <c r="G24" s="278"/>
      <c r="H24" s="1"/>
      <c r="I24" s="124" t="s">
        <v>33</v>
      </c>
      <c r="J24" s="33" t="s">
        <v>133</v>
      </c>
      <c r="K24" s="285" t="s">
        <v>134</v>
      </c>
      <c r="L24" s="286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68</v>
      </c>
      <c r="E25" s="66" t="s">
        <v>69</v>
      </c>
      <c r="F25" s="66" t="s">
        <v>32</v>
      </c>
      <c r="G25" s="73" t="s">
        <v>33</v>
      </c>
      <c r="H25" s="1"/>
      <c r="I25" s="189">
        <v>5</v>
      </c>
      <c r="J25" s="3" t="s">
        <v>362</v>
      </c>
      <c r="K25" s="287">
        <v>38.64</v>
      </c>
      <c r="L25" s="288"/>
      <c r="M25" s="1"/>
      <c r="R25" s="3"/>
    </row>
    <row r="26" spans="1:18" ht="15.75">
      <c r="A26" s="1"/>
      <c r="B26" s="67">
        <v>900</v>
      </c>
      <c r="C26" s="79" t="s">
        <v>42</v>
      </c>
      <c r="D26" s="70">
        <v>900</v>
      </c>
      <c r="E26" s="71"/>
      <c r="F26" s="71"/>
      <c r="G26" s="34" t="s">
        <v>42</v>
      </c>
      <c r="H26" s="1"/>
      <c r="I26" s="190">
        <v>2</v>
      </c>
      <c r="J26" s="36" t="s">
        <v>277</v>
      </c>
      <c r="K26" s="280">
        <v>249.22</v>
      </c>
      <c r="L26" s="281"/>
      <c r="M26" s="1"/>
      <c r="R26" s="3"/>
    </row>
    <row r="27" spans="1:18" ht="15.75">
      <c r="A27" s="1"/>
      <c r="B27" s="68">
        <v>200</v>
      </c>
      <c r="C27" s="79" t="s">
        <v>44</v>
      </c>
      <c r="D27" s="70">
        <v>104.38</v>
      </c>
      <c r="E27" s="71"/>
      <c r="F27" s="71"/>
      <c r="G27" s="34" t="s">
        <v>44</v>
      </c>
      <c r="H27" s="1"/>
      <c r="I27" s="190">
        <v>2</v>
      </c>
      <c r="J27" s="36" t="s">
        <v>337</v>
      </c>
      <c r="K27" s="280">
        <v>155.69999999999999</v>
      </c>
      <c r="L27" s="281"/>
      <c r="M27" s="1"/>
      <c r="R27" s="3"/>
    </row>
    <row r="28" spans="1:18" ht="15.75">
      <c r="A28" s="1"/>
      <c r="B28" s="68">
        <v>40</v>
      </c>
      <c r="C28" s="79" t="s">
        <v>45</v>
      </c>
      <c r="D28" s="70"/>
      <c r="E28" s="71"/>
      <c r="F28" s="71"/>
      <c r="G28" s="34" t="s">
        <v>45</v>
      </c>
      <c r="H28" s="1"/>
      <c r="I28" s="190"/>
      <c r="J28" s="36"/>
      <c r="K28" s="280"/>
      <c r="L28" s="281"/>
      <c r="M28" s="1"/>
      <c r="R28" s="3"/>
    </row>
    <row r="29" spans="1:18" ht="15.75">
      <c r="A29" s="1"/>
      <c r="B29" s="68">
        <v>18</v>
      </c>
      <c r="C29" s="79" t="s">
        <v>41</v>
      </c>
      <c r="D29" s="70">
        <v>17.46</v>
      </c>
      <c r="E29" s="71"/>
      <c r="F29" s="71"/>
      <c r="G29" s="34" t="s">
        <v>41</v>
      </c>
      <c r="H29" s="1"/>
      <c r="I29" s="190"/>
      <c r="J29" s="36"/>
      <c r="K29" s="280"/>
      <c r="L29" s="281"/>
      <c r="M29" s="1"/>
      <c r="R29" s="3"/>
    </row>
    <row r="30" spans="1:18" ht="15.75">
      <c r="A30" s="1"/>
      <c r="B30" s="68"/>
      <c r="C30" s="79"/>
      <c r="D30" s="70"/>
      <c r="E30" s="71"/>
      <c r="F30" s="71"/>
      <c r="G30" s="34"/>
      <c r="H30" s="1"/>
      <c r="I30" s="190"/>
      <c r="J30" s="36"/>
      <c r="K30" s="280"/>
      <c r="L30" s="281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90"/>
      <c r="J31" s="36"/>
      <c r="K31" s="280"/>
      <c r="L31" s="281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90"/>
      <c r="J32" s="36"/>
      <c r="K32" s="280"/>
      <c r="L32" s="281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90"/>
      <c r="J33" s="36"/>
      <c r="K33" s="280"/>
      <c r="L33" s="281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90"/>
      <c r="J34" s="36"/>
      <c r="K34" s="280"/>
      <c r="L34" s="281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90"/>
      <c r="J35" s="36"/>
      <c r="K35" s="280"/>
      <c r="L35" s="281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90"/>
      <c r="J36" s="36"/>
      <c r="K36" s="280"/>
      <c r="L36" s="281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90"/>
      <c r="J37" s="36"/>
      <c r="K37" s="280"/>
      <c r="L37" s="281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191"/>
      <c r="J38" s="38"/>
      <c r="K38" s="282"/>
      <c r="L38" s="283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1158</v>
      </c>
      <c r="C40" s="35" t="s">
        <v>66</v>
      </c>
      <c r="D40" s="69">
        <f>SUM(D26:D39)</f>
        <v>1021.84</v>
      </c>
      <c r="E40" s="69">
        <f>SUM(E26:E39)</f>
        <v>0</v>
      </c>
      <c r="F40" s="69">
        <f>SUM(F26:F39)</f>
        <v>0</v>
      </c>
      <c r="G40" s="35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71" t="str">
        <f>'2018'!A22</f>
        <v>Comida+Limpieza</v>
      </c>
      <c r="C42" s="272"/>
      <c r="D42" s="272"/>
      <c r="E42" s="272"/>
      <c r="F42" s="272"/>
      <c r="G42" s="273"/>
      <c r="H42" s="1"/>
      <c r="M42" s="1"/>
      <c r="R42" s="3"/>
    </row>
    <row r="43" spans="1:18" ht="16.149999999999999" customHeight="1" thickBot="1">
      <c r="A43" s="1"/>
      <c r="B43" s="274"/>
      <c r="C43" s="275"/>
      <c r="D43" s="275"/>
      <c r="E43" s="275"/>
      <c r="F43" s="275"/>
      <c r="G43" s="276"/>
      <c r="H43" s="1"/>
      <c r="M43" s="1"/>
      <c r="R43" s="3"/>
    </row>
    <row r="44" spans="1:18" ht="15.75">
      <c r="A44" s="1"/>
      <c r="B44" s="279" t="s">
        <v>10</v>
      </c>
      <c r="C44" s="278"/>
      <c r="D44" s="277" t="s">
        <v>11</v>
      </c>
      <c r="E44" s="277"/>
      <c r="F44" s="277"/>
      <c r="G44" s="278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68</v>
      </c>
      <c r="E45" s="66" t="s">
        <v>69</v>
      </c>
      <c r="F45" s="66" t="s">
        <v>32</v>
      </c>
      <c r="G45" s="73" t="s">
        <v>33</v>
      </c>
      <c r="H45" s="1"/>
      <c r="M45" s="1"/>
      <c r="R45" s="3"/>
    </row>
    <row r="46" spans="1:18" ht="15.75">
      <c r="A46" s="1"/>
      <c r="B46" s="67">
        <v>360</v>
      </c>
      <c r="C46" s="37"/>
      <c r="D46" s="70"/>
      <c r="E46" s="71"/>
      <c r="F46" s="71"/>
      <c r="G46" s="90" t="s">
        <v>47</v>
      </c>
      <c r="H46" s="1"/>
      <c r="M46" s="1"/>
      <c r="R46" s="3"/>
    </row>
    <row r="47" spans="1:18" ht="15.75">
      <c r="A47" s="1"/>
      <c r="B47" s="68">
        <v>20</v>
      </c>
      <c r="C47" s="34" t="s">
        <v>110</v>
      </c>
      <c r="D47" s="70">
        <f>14.36</f>
        <v>14.36</v>
      </c>
      <c r="E47" s="71"/>
      <c r="F47" s="71"/>
      <c r="G47" s="34" t="s">
        <v>48</v>
      </c>
      <c r="H47" s="1"/>
      <c r="M47" s="1"/>
      <c r="R47" s="3"/>
    </row>
    <row r="48" spans="1:18" ht="15.75">
      <c r="A48" s="1"/>
      <c r="B48" s="68"/>
      <c r="C48" s="34"/>
      <c r="D48" s="70">
        <f>31.5+7.61+43.66+0.53</f>
        <v>83.3</v>
      </c>
      <c r="E48" s="71"/>
      <c r="F48" s="71"/>
      <c r="G48" s="34" t="s">
        <v>84</v>
      </c>
      <c r="H48" s="1"/>
      <c r="M48" s="1"/>
      <c r="R48" s="3"/>
    </row>
    <row r="49" spans="1:18" ht="15.75">
      <c r="A49" s="1"/>
      <c r="B49" s="68">
        <v>40</v>
      </c>
      <c r="C49" s="34" t="s">
        <v>336</v>
      </c>
      <c r="D49" s="70">
        <f>8.84+7.49+33.58-4</f>
        <v>45.91</v>
      </c>
      <c r="E49" s="71"/>
      <c r="F49" s="71"/>
      <c r="G49" s="34" t="s">
        <v>49</v>
      </c>
      <c r="H49" s="1"/>
      <c r="M49" s="1"/>
      <c r="R49" s="3"/>
    </row>
    <row r="50" spans="1:18" ht="15.75">
      <c r="A50" s="1"/>
      <c r="B50" s="68"/>
      <c r="C50" s="34"/>
      <c r="D50" s="70"/>
      <c r="E50" s="71"/>
      <c r="F50" s="71"/>
      <c r="G50" s="34" t="s">
        <v>85</v>
      </c>
      <c r="H50" s="1"/>
      <c r="M50" s="1"/>
      <c r="R50" s="3"/>
    </row>
    <row r="51" spans="1:18" ht="15.75">
      <c r="A51" s="1"/>
      <c r="B51" s="68"/>
      <c r="C51" s="34"/>
      <c r="D51" s="70">
        <f>31.71</f>
        <v>31.71</v>
      </c>
      <c r="E51" s="71"/>
      <c r="F51" s="71"/>
      <c r="G51" s="34" t="s">
        <v>86</v>
      </c>
      <c r="H51" s="1"/>
      <c r="M51" s="1"/>
      <c r="R51" s="3"/>
    </row>
    <row r="52" spans="1:18" ht="15.75">
      <c r="A52" s="1"/>
      <c r="B52" s="68"/>
      <c r="C52" s="34"/>
      <c r="D52" s="70">
        <f>1.49</f>
        <v>1.49</v>
      </c>
      <c r="E52" s="71"/>
      <c r="F52" s="71"/>
      <c r="G52" s="34" t="s">
        <v>98</v>
      </c>
      <c r="H52" s="1"/>
      <c r="M52" s="1"/>
      <c r="R52" s="3"/>
    </row>
    <row r="53" spans="1:18" ht="15.75">
      <c r="A53" s="1"/>
      <c r="B53" s="68"/>
      <c r="C53" s="34"/>
      <c r="D53" s="70">
        <f>36.13</f>
        <v>36.130000000000003</v>
      </c>
      <c r="E53" s="71"/>
      <c r="F53" s="71"/>
      <c r="G53" s="34" t="s">
        <v>111</v>
      </c>
      <c r="H53" s="1"/>
      <c r="M53" s="1"/>
      <c r="R53" s="3"/>
    </row>
    <row r="54" spans="1:18" ht="15.75">
      <c r="A54" s="1"/>
      <c r="B54" s="68"/>
      <c r="C54" s="34"/>
      <c r="D54" s="70">
        <v>18.760000000000002</v>
      </c>
      <c r="E54" s="71"/>
      <c r="F54" s="71"/>
      <c r="G54" s="34" t="s">
        <v>98</v>
      </c>
      <c r="H54" s="1"/>
      <c r="M54" s="1"/>
      <c r="R54" s="3"/>
    </row>
    <row r="55" spans="1:18" ht="15.75">
      <c r="A55" s="1"/>
      <c r="B55" s="68"/>
      <c r="C55" s="34"/>
      <c r="D55" s="70">
        <v>7.95</v>
      </c>
      <c r="E55" s="71"/>
      <c r="F55" s="71"/>
      <c r="G55" s="34" t="s">
        <v>98</v>
      </c>
      <c r="H55" s="1"/>
      <c r="M55" s="1"/>
      <c r="R55" s="3"/>
    </row>
    <row r="56" spans="1:18" ht="15.75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/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420</v>
      </c>
      <c r="C60" s="35" t="s">
        <v>66</v>
      </c>
      <c r="D60" s="69">
        <f>SUM(D46:D59)</f>
        <v>239.60999999999999</v>
      </c>
      <c r="E60" s="69">
        <f>SUM(E46:E59)</f>
        <v>0</v>
      </c>
      <c r="F60" s="69">
        <f>SUM(F46:F59)</f>
        <v>0</v>
      </c>
      <c r="G60" s="35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71" t="str">
        <f>'2018'!A23</f>
        <v>Ocio</v>
      </c>
      <c r="C62" s="272"/>
      <c r="D62" s="272"/>
      <c r="E62" s="272"/>
      <c r="F62" s="272"/>
      <c r="G62" s="273"/>
      <c r="H62" s="1"/>
      <c r="M62" s="1"/>
      <c r="R62" s="3"/>
    </row>
    <row r="63" spans="1:18" ht="16.149999999999999" customHeight="1" thickBot="1">
      <c r="A63" s="1"/>
      <c r="B63" s="274"/>
      <c r="C63" s="275"/>
      <c r="D63" s="275"/>
      <c r="E63" s="275"/>
      <c r="F63" s="275"/>
      <c r="G63" s="276"/>
      <c r="H63" s="1"/>
      <c r="M63" s="1"/>
      <c r="R63" s="3"/>
    </row>
    <row r="64" spans="1:18" ht="15.75">
      <c r="A64" s="1"/>
      <c r="B64" s="279" t="s">
        <v>10</v>
      </c>
      <c r="C64" s="278"/>
      <c r="D64" s="277" t="s">
        <v>11</v>
      </c>
      <c r="E64" s="277"/>
      <c r="F64" s="277"/>
      <c r="G64" s="278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68</v>
      </c>
      <c r="E65" s="66" t="s">
        <v>69</v>
      </c>
      <c r="F65" s="66" t="s">
        <v>32</v>
      </c>
      <c r="G65" s="73" t="s">
        <v>33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>
        <f>31.75</f>
        <v>31.75</v>
      </c>
      <c r="E66" s="71">
        <v>56.4</v>
      </c>
      <c r="F66" s="71"/>
      <c r="G66" s="37" t="s">
        <v>208</v>
      </c>
      <c r="H66" s="1"/>
      <c r="M66" s="1"/>
      <c r="R66" s="3"/>
    </row>
    <row r="67" spans="1:18" ht="15.75">
      <c r="A67" s="1"/>
      <c r="B67" s="68"/>
      <c r="C67" s="34"/>
      <c r="D67" s="70"/>
      <c r="E67" s="71"/>
      <c r="F67" s="71">
        <f>9</f>
        <v>9</v>
      </c>
      <c r="G67" s="91" t="s">
        <v>366</v>
      </c>
      <c r="H67" s="1"/>
      <c r="M67" s="1"/>
      <c r="R67" s="3"/>
    </row>
    <row r="68" spans="1:18" ht="15.75">
      <c r="A68" s="1"/>
      <c r="B68" s="68">
        <f>150+73</f>
        <v>223</v>
      </c>
      <c r="C68" s="34" t="s">
        <v>368</v>
      </c>
      <c r="D68" s="70">
        <f>50+100</f>
        <v>150</v>
      </c>
      <c r="E68" s="71"/>
      <c r="F68" s="71">
        <f>35+38</f>
        <v>73</v>
      </c>
      <c r="G68" s="34" t="s">
        <v>368</v>
      </c>
      <c r="H68" s="1"/>
      <c r="M68" s="1"/>
      <c r="R68" s="3"/>
    </row>
    <row r="69" spans="1:18" ht="15.75">
      <c r="A69" s="1"/>
      <c r="B69" s="68"/>
      <c r="C69" s="34"/>
      <c r="D69" s="70">
        <f>8.25</f>
        <v>8.25</v>
      </c>
      <c r="E69" s="71"/>
      <c r="F69" s="71"/>
      <c r="G69" s="34" t="s">
        <v>369</v>
      </c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>
        <f>6+4.5+8.4+4.1</f>
        <v>23</v>
      </c>
      <c r="G70" s="34" t="s">
        <v>378</v>
      </c>
      <c r="H70" s="1"/>
      <c r="M70" s="1"/>
      <c r="R70" s="3"/>
    </row>
    <row r="71" spans="1:18" ht="15.75">
      <c r="A71" s="1"/>
      <c r="B71" s="68"/>
      <c r="C71" s="34"/>
      <c r="D71" s="70"/>
      <c r="E71" s="71"/>
      <c r="F71" s="71">
        <f>5.58</f>
        <v>5.58</v>
      </c>
      <c r="G71" s="34" t="s">
        <v>339</v>
      </c>
      <c r="H71" s="1"/>
      <c r="M71" s="1"/>
      <c r="R71" s="3"/>
    </row>
    <row r="72" spans="1:18" ht="15.75">
      <c r="A72" s="1"/>
      <c r="B72" s="68"/>
      <c r="C72" s="34"/>
      <c r="D72" s="70">
        <v>17</v>
      </c>
      <c r="E72" s="71"/>
      <c r="F72" s="71"/>
      <c r="G72" s="34" t="s">
        <v>87</v>
      </c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373</v>
      </c>
      <c r="C80" s="35" t="s">
        <v>66</v>
      </c>
      <c r="D80" s="69">
        <f>SUM(D66:D79)</f>
        <v>207</v>
      </c>
      <c r="E80" s="69">
        <f>SUM(E66:E79)</f>
        <v>56.4</v>
      </c>
      <c r="F80" s="69">
        <f>SUM(F66:F79)</f>
        <v>110.58</v>
      </c>
      <c r="G80" s="35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71" t="str">
        <f>'2018'!A24</f>
        <v>Transportes</v>
      </c>
      <c r="C82" s="272"/>
      <c r="D82" s="272"/>
      <c r="E82" s="272"/>
      <c r="F82" s="272"/>
      <c r="G82" s="273"/>
      <c r="H82" s="1"/>
      <c r="M82" s="1"/>
      <c r="R82" s="3"/>
    </row>
    <row r="83" spans="1:18" ht="16.149999999999999" customHeight="1" thickBot="1">
      <c r="A83" s="1"/>
      <c r="B83" s="274"/>
      <c r="C83" s="275"/>
      <c r="D83" s="275"/>
      <c r="E83" s="275"/>
      <c r="F83" s="275"/>
      <c r="G83" s="276"/>
      <c r="H83" s="1"/>
      <c r="M83" s="1"/>
      <c r="R83" s="3"/>
    </row>
    <row r="84" spans="1:18" ht="15.75">
      <c r="A84" s="1"/>
      <c r="B84" s="279" t="s">
        <v>10</v>
      </c>
      <c r="C84" s="278"/>
      <c r="D84" s="277" t="s">
        <v>11</v>
      </c>
      <c r="E84" s="277"/>
      <c r="F84" s="277"/>
      <c r="G84" s="278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68</v>
      </c>
      <c r="E85" s="66" t="s">
        <v>69</v>
      </c>
      <c r="F85" s="66" t="s">
        <v>32</v>
      </c>
      <c r="G85" s="73" t="s">
        <v>33</v>
      </c>
      <c r="H85" s="1"/>
      <c r="M85" s="1"/>
      <c r="R85" s="3"/>
    </row>
    <row r="86" spans="1:18" ht="15.75">
      <c r="A86" s="1"/>
      <c r="B86" s="67">
        <v>140</v>
      </c>
      <c r="C86" s="37" t="s">
        <v>51</v>
      </c>
      <c r="D86" s="70">
        <f>52.98+43.86+49.88+45.08</f>
        <v>191.8</v>
      </c>
      <c r="E86" s="71"/>
      <c r="F86" s="71"/>
      <c r="G86" s="34" t="s">
        <v>52</v>
      </c>
      <c r="H86" s="1"/>
      <c r="M86" s="1"/>
      <c r="R86" s="3"/>
    </row>
    <row r="87" spans="1:18" ht="15.75">
      <c r="A87" s="1"/>
      <c r="B87" s="68"/>
      <c r="C87" s="34"/>
      <c r="D87" s="70"/>
      <c r="E87" s="71"/>
      <c r="F87" s="71"/>
      <c r="G87" s="34" t="s">
        <v>53</v>
      </c>
      <c r="H87" s="1"/>
      <c r="M87" s="1"/>
      <c r="R87" s="3"/>
    </row>
    <row r="88" spans="1:18" ht="15.75">
      <c r="A88" s="1"/>
      <c r="B88" s="68"/>
      <c r="C88" s="34"/>
      <c r="D88" s="70"/>
      <c r="E88" s="71"/>
      <c r="F88" s="71"/>
      <c r="G88" s="34" t="s">
        <v>54</v>
      </c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 t="s">
        <v>90</v>
      </c>
      <c r="H89" s="1"/>
      <c r="M89" s="1"/>
      <c r="R89" s="3"/>
    </row>
    <row r="90" spans="1:18" ht="15.75">
      <c r="A90" s="1"/>
      <c r="B90" s="68"/>
      <c r="C90" s="34"/>
      <c r="D90" s="70"/>
      <c r="E90" s="71"/>
      <c r="F90" s="71"/>
      <c r="G90" s="34" t="s">
        <v>204</v>
      </c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140</v>
      </c>
      <c r="C100" s="35" t="s">
        <v>66</v>
      </c>
      <c r="D100" s="69">
        <f>SUM(D86:D99)</f>
        <v>191.8</v>
      </c>
      <c r="E100" s="69">
        <f>SUM(E86:E99)</f>
        <v>0</v>
      </c>
      <c r="F100" s="69">
        <f>SUM(F86:F99)</f>
        <v>0</v>
      </c>
      <c r="G100" s="35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71" t="str">
        <f>'2018'!A25</f>
        <v>Coche</v>
      </c>
      <c r="C102" s="272"/>
      <c r="D102" s="272"/>
      <c r="E102" s="272"/>
      <c r="F102" s="272"/>
      <c r="G102" s="273"/>
      <c r="H102" s="1"/>
      <c r="M102" s="1"/>
      <c r="R102" s="3"/>
    </row>
    <row r="103" spans="1:18" ht="16.149999999999999" customHeight="1" thickBot="1">
      <c r="A103" s="1"/>
      <c r="B103" s="274"/>
      <c r="C103" s="275"/>
      <c r="D103" s="275"/>
      <c r="E103" s="275"/>
      <c r="F103" s="275"/>
      <c r="G103" s="276"/>
      <c r="H103" s="1"/>
      <c r="M103" s="1"/>
      <c r="R103" s="3"/>
    </row>
    <row r="104" spans="1:18" ht="15.75">
      <c r="A104" s="1"/>
      <c r="B104" s="279" t="s">
        <v>10</v>
      </c>
      <c r="C104" s="278"/>
      <c r="D104" s="277" t="s">
        <v>11</v>
      </c>
      <c r="E104" s="277"/>
      <c r="F104" s="277"/>
      <c r="G104" s="278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68</v>
      </c>
      <c r="E105" s="66" t="s">
        <v>69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67">
        <v>260</v>
      </c>
      <c r="C106" s="36" t="s">
        <v>55</v>
      </c>
      <c r="D106" s="70">
        <v>258.47000000000003</v>
      </c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68">
        <v>71</v>
      </c>
      <c r="C107" s="36" t="s">
        <v>56</v>
      </c>
      <c r="D107" s="70">
        <v>70.349999999999994</v>
      </c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68">
        <v>69</v>
      </c>
      <c r="C108" s="36" t="s">
        <v>46</v>
      </c>
      <c r="D108" s="70"/>
      <c r="E108" s="71"/>
      <c r="F108" s="71"/>
      <c r="G108" s="94" t="s">
        <v>88</v>
      </c>
      <c r="H108" s="1"/>
      <c r="M108" s="1"/>
      <c r="R108" s="3"/>
    </row>
    <row r="109" spans="1:18" ht="15.75">
      <c r="A109" s="1"/>
      <c r="B109" s="68"/>
      <c r="C109" s="36"/>
      <c r="D109" s="70"/>
      <c r="E109" s="71"/>
      <c r="F109" s="71"/>
      <c r="G109" s="91"/>
      <c r="H109" s="1"/>
      <c r="M109" s="1"/>
      <c r="R109" s="3"/>
    </row>
    <row r="110" spans="1:18" ht="15.75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68"/>
      <c r="C111" s="79"/>
      <c r="D111" s="70"/>
      <c r="E111" s="71"/>
      <c r="F111" s="71"/>
      <c r="G111" s="94"/>
      <c r="H111" s="1"/>
      <c r="M111" s="1"/>
      <c r="R111" s="3"/>
    </row>
    <row r="112" spans="1:18" ht="15.75">
      <c r="A112" s="1"/>
      <c r="B112" s="68"/>
      <c r="C112" s="92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68"/>
      <c r="C113" s="93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68"/>
      <c r="C114" s="92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66</v>
      </c>
      <c r="D120" s="69">
        <f>SUM(D106:D119)</f>
        <v>328.82000000000005</v>
      </c>
      <c r="E120" s="69">
        <f>SUM(E106:E119)</f>
        <v>0</v>
      </c>
      <c r="F120" s="69">
        <f>SUM(F106:F119)</f>
        <v>0</v>
      </c>
      <c r="G120" s="35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71" t="str">
        <f>'2018'!A26</f>
        <v>Teléfono</v>
      </c>
      <c r="C122" s="272"/>
      <c r="D122" s="272"/>
      <c r="E122" s="272"/>
      <c r="F122" s="272"/>
      <c r="G122" s="273"/>
      <c r="H122" s="1"/>
      <c r="M122" s="1"/>
      <c r="R122" s="3"/>
    </row>
    <row r="123" spans="1:18" ht="16.149999999999999" customHeight="1" thickBot="1">
      <c r="A123" s="1"/>
      <c r="B123" s="274"/>
      <c r="C123" s="275"/>
      <c r="D123" s="275"/>
      <c r="E123" s="275"/>
      <c r="F123" s="275"/>
      <c r="G123" s="276"/>
      <c r="H123" s="1"/>
      <c r="M123" s="1"/>
      <c r="R123" s="3"/>
    </row>
    <row r="124" spans="1:18" ht="15.75">
      <c r="A124" s="1"/>
      <c r="B124" s="279" t="s">
        <v>10</v>
      </c>
      <c r="C124" s="278"/>
      <c r="D124" s="277" t="s">
        <v>11</v>
      </c>
      <c r="E124" s="277"/>
      <c r="F124" s="277"/>
      <c r="G124" s="278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68</v>
      </c>
      <c r="E125" s="66" t="s">
        <v>69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>
        <v>27.5</v>
      </c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v>12.5</v>
      </c>
      <c r="C127" s="34" t="s">
        <v>58</v>
      </c>
      <c r="D127" s="70"/>
      <c r="E127" s="71"/>
      <c r="F127" s="71"/>
      <c r="G127" s="34" t="s">
        <v>58</v>
      </c>
      <c r="H127" s="1"/>
      <c r="M127" s="1"/>
      <c r="R127" s="3"/>
    </row>
    <row r="128" spans="1:18" ht="15.75">
      <c r="A128" s="1"/>
      <c r="B128" s="68">
        <v>8</v>
      </c>
      <c r="C128" s="34" t="s">
        <v>338</v>
      </c>
      <c r="D128" s="70"/>
      <c r="E128" s="71">
        <v>8</v>
      </c>
      <c r="F128" s="71"/>
      <c r="G128" s="34" t="s">
        <v>338</v>
      </c>
      <c r="H128" s="1"/>
      <c r="M128" s="1"/>
      <c r="R128" s="3"/>
    </row>
    <row r="129" spans="1:18" ht="15.75">
      <c r="A129" s="1"/>
      <c r="B129" s="68"/>
      <c r="C129" s="34"/>
      <c r="D129" s="70"/>
      <c r="E129" s="71"/>
      <c r="F129" s="71"/>
      <c r="G129" s="34"/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48</v>
      </c>
      <c r="C140" s="35" t="s">
        <v>66</v>
      </c>
      <c r="D140" s="69">
        <f>SUM(D126:D139)</f>
        <v>27.5</v>
      </c>
      <c r="E140" s="69">
        <f>SUM(E126:E139)</f>
        <v>8</v>
      </c>
      <c r="F140" s="69">
        <f>SUM(F126:F139)</f>
        <v>0</v>
      </c>
      <c r="G140" s="35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71" t="str">
        <f>'2018'!A27</f>
        <v>Gatos</v>
      </c>
      <c r="C142" s="272"/>
      <c r="D142" s="272"/>
      <c r="E142" s="272"/>
      <c r="F142" s="272"/>
      <c r="G142" s="273"/>
      <c r="H142" s="1"/>
      <c r="M142" s="1"/>
      <c r="R142" s="3"/>
    </row>
    <row r="143" spans="1:18" ht="16.149999999999999" customHeight="1" thickBot="1">
      <c r="A143" s="1"/>
      <c r="B143" s="274"/>
      <c r="C143" s="275"/>
      <c r="D143" s="275"/>
      <c r="E143" s="275"/>
      <c r="F143" s="275"/>
      <c r="G143" s="276"/>
      <c r="H143" s="1"/>
      <c r="M143" s="1"/>
      <c r="R143" s="3"/>
    </row>
    <row r="144" spans="1:18" ht="15.75">
      <c r="A144" s="1"/>
      <c r="B144" s="279" t="s">
        <v>10</v>
      </c>
      <c r="C144" s="278"/>
      <c r="D144" s="277" t="s">
        <v>11</v>
      </c>
      <c r="E144" s="277"/>
      <c r="F144" s="277"/>
      <c r="G144" s="278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68</v>
      </c>
      <c r="E145" s="66" t="s">
        <v>69</v>
      </c>
      <c r="F145" s="66" t="s">
        <v>32</v>
      </c>
      <c r="G145" s="73" t="s">
        <v>33</v>
      </c>
      <c r="H145" s="1"/>
      <c r="M145" s="1"/>
      <c r="R145" s="3"/>
    </row>
    <row r="146" spans="1:22" ht="15.75">
      <c r="A146" s="1"/>
      <c r="B146" s="67">
        <v>50</v>
      </c>
      <c r="C146" s="37" t="s">
        <v>43</v>
      </c>
      <c r="D146" s="70"/>
      <c r="E146" s="71"/>
      <c r="F146" s="71"/>
      <c r="G146" s="34" t="s">
        <v>48</v>
      </c>
      <c r="H146" s="1"/>
      <c r="M146" s="1"/>
      <c r="R146" s="3"/>
    </row>
    <row r="147" spans="1:22" ht="15.75">
      <c r="A147" s="1"/>
      <c r="B147" s="68"/>
      <c r="C147" s="34"/>
      <c r="D147" s="70"/>
      <c r="E147" s="71"/>
      <c r="F147" s="71"/>
      <c r="G147" s="34" t="s">
        <v>61</v>
      </c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 t="s">
        <v>47</v>
      </c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50</v>
      </c>
      <c r="C160" s="35" t="s">
        <v>66</v>
      </c>
      <c r="D160" s="69">
        <f>SUM(D146:D159)</f>
        <v>0</v>
      </c>
      <c r="E160" s="69">
        <f>SUM(E146:E159)</f>
        <v>0</v>
      </c>
      <c r="F160" s="69">
        <f>SUM(F146:F159)</f>
        <v>0</v>
      </c>
      <c r="G160" s="35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71" t="str">
        <f>'2018'!A28</f>
        <v>Vacaciones</v>
      </c>
      <c r="C162" s="272"/>
      <c r="D162" s="272"/>
      <c r="E162" s="272"/>
      <c r="F162" s="272"/>
      <c r="G162" s="273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74"/>
      <c r="C163" s="275"/>
      <c r="D163" s="275"/>
      <c r="E163" s="275"/>
      <c r="F163" s="275"/>
      <c r="G163" s="27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79" t="s">
        <v>10</v>
      </c>
      <c r="C164" s="278"/>
      <c r="D164" s="277" t="s">
        <v>11</v>
      </c>
      <c r="E164" s="277"/>
      <c r="F164" s="277"/>
      <c r="G164" s="27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68</v>
      </c>
      <c r="E165" s="66" t="s">
        <v>69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/>
      <c r="E166" s="71"/>
      <c r="F166" s="71"/>
      <c r="G166" s="34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/>
      <c r="C167" s="34"/>
      <c r="D167" s="70"/>
      <c r="E167" s="71"/>
      <c r="F167" s="71"/>
      <c r="G167" s="3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/>
      <c r="G168" s="3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200</v>
      </c>
      <c r="C180" s="35" t="s">
        <v>66</v>
      </c>
      <c r="D180" s="69">
        <f>SUM(D166:D179)</f>
        <v>0</v>
      </c>
      <c r="E180" s="69">
        <f>SUM(E166:E179)</f>
        <v>0</v>
      </c>
      <c r="F180" s="69">
        <f>SUM(F166:F179)</f>
        <v>0</v>
      </c>
      <c r="G180" s="35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71" t="str">
        <f>'2018'!A29</f>
        <v>Ropa</v>
      </c>
      <c r="C182" s="272"/>
      <c r="D182" s="272"/>
      <c r="E182" s="272"/>
      <c r="F182" s="272"/>
      <c r="G182" s="273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74"/>
      <c r="C183" s="275"/>
      <c r="D183" s="275"/>
      <c r="E183" s="275"/>
      <c r="F183" s="275"/>
      <c r="G183" s="27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79" t="s">
        <v>10</v>
      </c>
      <c r="C184" s="278"/>
      <c r="D184" s="277" t="s">
        <v>11</v>
      </c>
      <c r="E184" s="277"/>
      <c r="F184" s="277"/>
      <c r="G184" s="27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68</v>
      </c>
      <c r="E185" s="66" t="s">
        <v>69</v>
      </c>
      <c r="F185" s="66" t="s">
        <v>32</v>
      </c>
      <c r="G185" s="73" t="s">
        <v>33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60</v>
      </c>
      <c r="C186" s="37" t="s">
        <v>43</v>
      </c>
      <c r="D186" s="70">
        <f>52.75-D286</f>
        <v>37.75</v>
      </c>
      <c r="E186" s="71"/>
      <c r="F186" s="71"/>
      <c r="G186" s="34" t="s">
        <v>363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/>
      <c r="E187" s="71"/>
      <c r="F187" s="71">
        <f>15</f>
        <v>15</v>
      </c>
      <c r="G187" s="34" t="s">
        <v>367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>
        <v>37.5</v>
      </c>
      <c r="E188" s="71"/>
      <c r="F188" s="71"/>
      <c r="G188" s="34" t="s">
        <v>390</v>
      </c>
    </row>
    <row r="189" spans="1:22">
      <c r="B189" s="68"/>
      <c r="C189" s="34"/>
      <c r="D189" s="70">
        <v>18</v>
      </c>
      <c r="E189" s="71"/>
      <c r="F189" s="71"/>
      <c r="G189" s="34" t="s">
        <v>391</v>
      </c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60</v>
      </c>
      <c r="C200" s="35" t="s">
        <v>66</v>
      </c>
      <c r="D200" s="69">
        <f>SUM(D186:D199)</f>
        <v>93.25</v>
      </c>
      <c r="E200" s="69">
        <f>SUM(E186:E199)</f>
        <v>0</v>
      </c>
      <c r="F200" s="69">
        <f>SUM(F186:F199)</f>
        <v>15</v>
      </c>
      <c r="G200" s="35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71" t="str">
        <f>'2018'!A30</f>
        <v>Belleza</v>
      </c>
      <c r="C202" s="272"/>
      <c r="D202" s="272"/>
      <c r="E202" s="272"/>
      <c r="F202" s="272"/>
      <c r="G202" s="273"/>
    </row>
    <row r="203" spans="2:7" ht="15" customHeight="1" thickBot="1">
      <c r="B203" s="274"/>
      <c r="C203" s="275"/>
      <c r="D203" s="275"/>
      <c r="E203" s="275"/>
      <c r="F203" s="275"/>
      <c r="G203" s="276"/>
    </row>
    <row r="204" spans="2:7">
      <c r="B204" s="279" t="s">
        <v>10</v>
      </c>
      <c r="C204" s="278"/>
      <c r="D204" s="277" t="s">
        <v>11</v>
      </c>
      <c r="E204" s="277"/>
      <c r="F204" s="277"/>
      <c r="G204" s="278"/>
    </row>
    <row r="205" spans="2:7">
      <c r="B205" s="65" t="s">
        <v>32</v>
      </c>
      <c r="C205" s="73" t="s">
        <v>33</v>
      </c>
      <c r="D205" s="65" t="s">
        <v>68</v>
      </c>
      <c r="E205" s="66" t="s">
        <v>69</v>
      </c>
      <c r="F205" s="66" t="s">
        <v>32</v>
      </c>
      <c r="G205" s="73" t="s">
        <v>33</v>
      </c>
    </row>
    <row r="206" spans="2:7">
      <c r="B206" s="67">
        <v>35</v>
      </c>
      <c r="C206" s="37"/>
      <c r="D206" s="70"/>
      <c r="E206" s="71"/>
      <c r="F206" s="71"/>
      <c r="G206" s="34" t="s">
        <v>96</v>
      </c>
    </row>
    <row r="207" spans="2:7">
      <c r="B207" s="68"/>
      <c r="C207" s="34"/>
      <c r="D207" s="70"/>
      <c r="E207" s="71"/>
      <c r="F207" s="71"/>
      <c r="G207" s="34"/>
    </row>
    <row r="208" spans="2:7">
      <c r="B208" s="68"/>
      <c r="C208" s="34"/>
      <c r="D208" s="70"/>
      <c r="E208" s="71"/>
      <c r="F208" s="71"/>
      <c r="G208" s="34"/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66</v>
      </c>
      <c r="D220" s="69">
        <f>SUM(D206:D219)</f>
        <v>0</v>
      </c>
      <c r="E220" s="69">
        <f>SUM(E206:E219)</f>
        <v>0</v>
      </c>
      <c r="F220" s="69">
        <f>SUM(F206:F219)</f>
        <v>0</v>
      </c>
      <c r="G220" s="35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71" t="str">
        <f>'2018'!A31</f>
        <v>Deportes</v>
      </c>
      <c r="C222" s="272"/>
      <c r="D222" s="272"/>
      <c r="E222" s="272"/>
      <c r="F222" s="272"/>
      <c r="G222" s="273"/>
    </row>
    <row r="223" spans="2:7" ht="15" customHeight="1" thickBot="1">
      <c r="B223" s="274"/>
      <c r="C223" s="275"/>
      <c r="D223" s="275"/>
      <c r="E223" s="275"/>
      <c r="F223" s="275"/>
      <c r="G223" s="276"/>
    </row>
    <row r="224" spans="2:7">
      <c r="B224" s="279" t="s">
        <v>10</v>
      </c>
      <c r="C224" s="278"/>
      <c r="D224" s="277" t="s">
        <v>11</v>
      </c>
      <c r="E224" s="277"/>
      <c r="F224" s="277"/>
      <c r="G224" s="278"/>
    </row>
    <row r="225" spans="2:7">
      <c r="B225" s="65" t="s">
        <v>32</v>
      </c>
      <c r="C225" s="73" t="s">
        <v>33</v>
      </c>
      <c r="D225" s="65" t="s">
        <v>68</v>
      </c>
      <c r="E225" s="66" t="s">
        <v>69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>
        <v>20</v>
      </c>
      <c r="E226" s="71"/>
      <c r="F226" s="71"/>
      <c r="G226" s="71" t="s">
        <v>50</v>
      </c>
    </row>
    <row r="227" spans="2:7">
      <c r="B227" s="68">
        <v>60</v>
      </c>
      <c r="C227" s="34" t="s">
        <v>102</v>
      </c>
      <c r="D227" s="70"/>
      <c r="E227" s="71"/>
      <c r="F227" s="71"/>
      <c r="G227" s="34"/>
    </row>
    <row r="228" spans="2:7">
      <c r="B228" s="68">
        <v>5</v>
      </c>
      <c r="C228" s="34" t="s">
        <v>46</v>
      </c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85</v>
      </c>
      <c r="C240" s="35" t="s">
        <v>66</v>
      </c>
      <c r="D240" s="69">
        <f>SUM(D226:D239)</f>
        <v>20</v>
      </c>
      <c r="E240" s="69">
        <f>SUM(E226:E239)</f>
        <v>0</v>
      </c>
      <c r="F240" s="69">
        <f>SUM(F226:F239)</f>
        <v>0</v>
      </c>
      <c r="G240" s="35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71" t="str">
        <f>'2018'!A32</f>
        <v>Hogar</v>
      </c>
      <c r="C242" s="272"/>
      <c r="D242" s="272"/>
      <c r="E242" s="272"/>
      <c r="F242" s="272"/>
      <c r="G242" s="273"/>
    </row>
    <row r="243" spans="2:7" ht="15" customHeight="1" thickBot="1">
      <c r="B243" s="274"/>
      <c r="C243" s="275"/>
      <c r="D243" s="275"/>
      <c r="E243" s="275"/>
      <c r="F243" s="275"/>
      <c r="G243" s="276"/>
    </row>
    <row r="244" spans="2:7" ht="15" customHeight="1">
      <c r="B244" s="279" t="s">
        <v>10</v>
      </c>
      <c r="C244" s="278"/>
      <c r="D244" s="277" t="s">
        <v>11</v>
      </c>
      <c r="E244" s="277"/>
      <c r="F244" s="277"/>
      <c r="G244" s="278"/>
    </row>
    <row r="245" spans="2:7" ht="15" customHeight="1">
      <c r="B245" s="65" t="s">
        <v>32</v>
      </c>
      <c r="C245" s="73" t="s">
        <v>33</v>
      </c>
      <c r="D245" s="65" t="s">
        <v>68</v>
      </c>
      <c r="E245" s="66" t="s">
        <v>69</v>
      </c>
      <c r="F245" s="66" t="s">
        <v>32</v>
      </c>
      <c r="G245" s="73" t="s">
        <v>33</v>
      </c>
    </row>
    <row r="246" spans="2:7" ht="15" customHeight="1">
      <c r="B246" s="68">
        <v>80</v>
      </c>
      <c r="C246" s="79"/>
      <c r="D246" s="70"/>
      <c r="E246" s="71"/>
      <c r="F246" s="71"/>
      <c r="G246" s="34" t="s">
        <v>47</v>
      </c>
    </row>
    <row r="247" spans="2:7" ht="15" customHeight="1">
      <c r="B247" s="68"/>
      <c r="C247" s="34"/>
      <c r="D247" s="70">
        <f>8.54-D52</f>
        <v>7.0499999999999989</v>
      </c>
      <c r="E247" s="71"/>
      <c r="F247" s="71"/>
      <c r="G247" s="34" t="s">
        <v>98</v>
      </c>
    </row>
    <row r="248" spans="2:7">
      <c r="B248" s="68"/>
      <c r="C248" s="34"/>
      <c r="D248" s="70"/>
      <c r="E248" s="71"/>
      <c r="F248" s="71"/>
      <c r="G248" s="34" t="s">
        <v>120</v>
      </c>
    </row>
    <row r="249" spans="2:7">
      <c r="B249" s="68"/>
      <c r="C249" s="34"/>
      <c r="D249" s="70"/>
      <c r="E249" s="71"/>
      <c r="F249" s="71"/>
      <c r="G249" s="34" t="s">
        <v>206</v>
      </c>
    </row>
    <row r="250" spans="2:7">
      <c r="B250" s="68"/>
      <c r="C250" s="34"/>
      <c r="D250" s="70">
        <v>3.99</v>
      </c>
      <c r="E250" s="71"/>
      <c r="F250" s="71"/>
      <c r="G250" s="34" t="s">
        <v>387</v>
      </c>
    </row>
    <row r="251" spans="2:7">
      <c r="B251" s="68"/>
      <c r="C251" s="34"/>
      <c r="D251" s="70">
        <f>84.34-D55</f>
        <v>76.39</v>
      </c>
      <c r="E251" s="71"/>
      <c r="F251" s="71"/>
      <c r="G251" s="34" t="s">
        <v>98</v>
      </c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80</v>
      </c>
      <c r="C260" s="35" t="s">
        <v>66</v>
      </c>
      <c r="D260" s="69">
        <f>SUM(D246:D259)</f>
        <v>87.43</v>
      </c>
      <c r="E260" s="69">
        <f>SUM(E246:E259)</f>
        <v>0</v>
      </c>
      <c r="F260" s="69">
        <f>SUM(F246:F259)</f>
        <v>0</v>
      </c>
      <c r="G260" s="35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71" t="str">
        <f>'2018'!A33</f>
        <v>Formación</v>
      </c>
      <c r="C262" s="272"/>
      <c r="D262" s="272"/>
      <c r="E262" s="272"/>
      <c r="F262" s="272"/>
      <c r="G262" s="273"/>
    </row>
    <row r="263" spans="2:7" ht="15" customHeight="1" thickBot="1">
      <c r="B263" s="274"/>
      <c r="C263" s="275"/>
      <c r="D263" s="275"/>
      <c r="E263" s="275"/>
      <c r="F263" s="275"/>
      <c r="G263" s="276"/>
    </row>
    <row r="264" spans="2:7">
      <c r="B264" s="279" t="s">
        <v>10</v>
      </c>
      <c r="C264" s="278"/>
      <c r="D264" s="277" t="s">
        <v>11</v>
      </c>
      <c r="E264" s="277"/>
      <c r="F264" s="277"/>
      <c r="G264" s="278"/>
    </row>
    <row r="265" spans="2:7">
      <c r="B265" s="65" t="s">
        <v>32</v>
      </c>
      <c r="C265" s="73" t="s">
        <v>33</v>
      </c>
      <c r="D265" s="65" t="s">
        <v>68</v>
      </c>
      <c r="E265" s="66" t="s">
        <v>69</v>
      </c>
      <c r="F265" s="66" t="s">
        <v>32</v>
      </c>
      <c r="G265" s="73" t="s">
        <v>33</v>
      </c>
    </row>
    <row r="266" spans="2:7">
      <c r="B266" s="67">
        <v>10</v>
      </c>
      <c r="C266" s="37"/>
      <c r="D266" s="70"/>
      <c r="E266" s="71"/>
      <c r="F266" s="71"/>
      <c r="G266" s="34"/>
    </row>
    <row r="267" spans="2:7">
      <c r="B267" s="68">
        <v>1.54</v>
      </c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7">
      <c r="B273" s="68"/>
      <c r="C273" s="34"/>
      <c r="D273" s="70"/>
      <c r="E273" s="71"/>
      <c r="F273" s="71"/>
      <c r="G273" s="34"/>
    </row>
    <row r="274" spans="2:7">
      <c r="B274" s="68"/>
      <c r="C274" s="34"/>
      <c r="D274" s="70"/>
      <c r="E274" s="71"/>
      <c r="F274" s="71"/>
      <c r="G274" s="34"/>
    </row>
    <row r="275" spans="2:7">
      <c r="B275" s="68"/>
      <c r="C275" s="34"/>
      <c r="D275" s="70"/>
      <c r="E275" s="71"/>
      <c r="F275" s="71"/>
      <c r="G275" s="34"/>
    </row>
    <row r="276" spans="2:7">
      <c r="B276" s="68"/>
      <c r="C276" s="34"/>
      <c r="D276" s="70"/>
      <c r="E276" s="71"/>
      <c r="F276" s="71"/>
      <c r="G276" s="34"/>
    </row>
    <row r="277" spans="2:7">
      <c r="B277" s="68"/>
      <c r="C277" s="34"/>
      <c r="D277" s="70"/>
      <c r="E277" s="71"/>
      <c r="F277" s="71"/>
      <c r="G277" s="34"/>
    </row>
    <row r="278" spans="2:7">
      <c r="B278" s="68"/>
      <c r="C278" s="34"/>
      <c r="D278" s="70"/>
      <c r="E278" s="71"/>
      <c r="F278" s="71"/>
      <c r="G278" s="34"/>
    </row>
    <row r="279" spans="2:7" ht="15.75" thickBot="1">
      <c r="B279" s="69"/>
      <c r="C279" s="35"/>
      <c r="D279" s="69"/>
      <c r="E279" s="72"/>
      <c r="F279" s="72"/>
      <c r="G279" s="35"/>
    </row>
    <row r="280" spans="2:7" ht="15.75" thickBot="1">
      <c r="B280" s="69">
        <f>SUM(B266:B279)</f>
        <v>11.54</v>
      </c>
      <c r="C280" s="35" t="s">
        <v>66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271" t="str">
        <f>'2018'!A34</f>
        <v>Regalos</v>
      </c>
      <c r="C282" s="272"/>
      <c r="D282" s="272"/>
      <c r="E282" s="272"/>
      <c r="F282" s="272"/>
      <c r="G282" s="273"/>
    </row>
    <row r="283" spans="2:7" ht="15" customHeight="1" thickBot="1">
      <c r="B283" s="274"/>
      <c r="C283" s="275"/>
      <c r="D283" s="275"/>
      <c r="E283" s="275"/>
      <c r="F283" s="275"/>
      <c r="G283" s="276"/>
    </row>
    <row r="284" spans="2:7">
      <c r="B284" s="279" t="s">
        <v>10</v>
      </c>
      <c r="C284" s="278"/>
      <c r="D284" s="277" t="s">
        <v>11</v>
      </c>
      <c r="E284" s="277"/>
      <c r="F284" s="277"/>
      <c r="G284" s="278"/>
    </row>
    <row r="285" spans="2:7">
      <c r="B285" s="65" t="s">
        <v>32</v>
      </c>
      <c r="C285" s="73" t="s">
        <v>33</v>
      </c>
      <c r="D285" s="65" t="s">
        <v>68</v>
      </c>
      <c r="E285" s="66" t="s">
        <v>69</v>
      </c>
      <c r="F285" s="66" t="s">
        <v>32</v>
      </c>
      <c r="G285" s="73" t="s">
        <v>33</v>
      </c>
    </row>
    <row r="286" spans="2:7">
      <c r="B286" s="67">
        <v>150</v>
      </c>
      <c r="C286" s="37" t="s">
        <v>36</v>
      </c>
      <c r="D286" s="70">
        <f>15</f>
        <v>15</v>
      </c>
      <c r="E286" s="71"/>
      <c r="F286" s="71"/>
      <c r="G286" s="34" t="s">
        <v>364</v>
      </c>
    </row>
    <row r="287" spans="2:7">
      <c r="B287" s="68"/>
      <c r="C287" s="34"/>
      <c r="D287" s="70">
        <f>38.95+53</f>
        <v>91.95</v>
      </c>
      <c r="E287" s="71"/>
      <c r="F287" s="71"/>
      <c r="G287" s="34" t="s">
        <v>365</v>
      </c>
    </row>
    <row r="288" spans="2:7">
      <c r="B288" s="68"/>
      <c r="C288" s="34"/>
      <c r="D288" s="70"/>
      <c r="E288" s="71">
        <v>66.59</v>
      </c>
      <c r="F288" s="71"/>
      <c r="G288" s="34" t="s">
        <v>374</v>
      </c>
    </row>
    <row r="289" spans="2:7">
      <c r="B289" s="68"/>
      <c r="C289" s="34"/>
      <c r="D289" s="70"/>
      <c r="E289" s="71"/>
      <c r="F289" s="71"/>
      <c r="G289" s="34"/>
    </row>
    <row r="290" spans="2:7">
      <c r="B290" s="68"/>
      <c r="C290" s="34"/>
      <c r="D290" s="70"/>
      <c r="E290" s="71"/>
      <c r="F290" s="71"/>
      <c r="G290" s="34"/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150</v>
      </c>
      <c r="C300" s="35" t="s">
        <v>66</v>
      </c>
      <c r="D300" s="69">
        <f>SUM(D286:D299)</f>
        <v>106.95</v>
      </c>
      <c r="E300" s="69">
        <f>SUM(E286:E299)</f>
        <v>66.59</v>
      </c>
      <c r="F300" s="69">
        <f>SUM(F286:F299)</f>
        <v>0</v>
      </c>
      <c r="G300" s="35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71" t="str">
        <f>'2018'!A35</f>
        <v>Salud</v>
      </c>
      <c r="C302" s="272"/>
      <c r="D302" s="272"/>
      <c r="E302" s="272"/>
      <c r="F302" s="272"/>
      <c r="G302" s="273"/>
    </row>
    <row r="303" spans="2:7" ht="15" customHeight="1" thickBot="1">
      <c r="B303" s="274"/>
      <c r="C303" s="275"/>
      <c r="D303" s="275"/>
      <c r="E303" s="275"/>
      <c r="F303" s="275"/>
      <c r="G303" s="276"/>
    </row>
    <row r="304" spans="2:7">
      <c r="B304" s="279" t="s">
        <v>10</v>
      </c>
      <c r="C304" s="278"/>
      <c r="D304" s="277" t="s">
        <v>11</v>
      </c>
      <c r="E304" s="277"/>
      <c r="F304" s="277"/>
      <c r="G304" s="278"/>
    </row>
    <row r="305" spans="2:7">
      <c r="B305" s="65" t="s">
        <v>32</v>
      </c>
      <c r="C305" s="73" t="s">
        <v>33</v>
      </c>
      <c r="D305" s="65" t="s">
        <v>68</v>
      </c>
      <c r="E305" s="66" t="s">
        <v>69</v>
      </c>
      <c r="F305" s="66" t="s">
        <v>32</v>
      </c>
      <c r="G305" s="73" t="s">
        <v>33</v>
      </c>
    </row>
    <row r="306" spans="2:7">
      <c r="B306" s="67">
        <v>100</v>
      </c>
      <c r="C306" s="37" t="s">
        <v>60</v>
      </c>
      <c r="D306" s="70"/>
      <c r="E306" s="71"/>
      <c r="F306" s="71"/>
      <c r="G306" s="34" t="s">
        <v>101</v>
      </c>
    </row>
    <row r="307" spans="2:7">
      <c r="B307" s="119"/>
      <c r="C307" s="79"/>
      <c r="D307" s="70">
        <f>134.93</f>
        <v>134.93</v>
      </c>
      <c r="E307" s="71"/>
      <c r="F307" s="71"/>
      <c r="G307" s="34" t="s">
        <v>97</v>
      </c>
    </row>
    <row r="308" spans="2:7">
      <c r="B308" s="119"/>
      <c r="C308" s="79"/>
      <c r="D308" s="70"/>
      <c r="E308" s="71"/>
      <c r="F308" s="71"/>
      <c r="G308" s="34"/>
    </row>
    <row r="309" spans="2:7">
      <c r="B309" s="68"/>
      <c r="C309" s="34"/>
      <c r="D309" s="70"/>
      <c r="E309" s="71"/>
      <c r="F309" s="71"/>
      <c r="G309" s="34"/>
    </row>
    <row r="310" spans="2:7">
      <c r="B310" s="68"/>
      <c r="C310" s="34"/>
      <c r="D310" s="70"/>
      <c r="E310" s="71"/>
      <c r="F310" s="71"/>
      <c r="G310" s="34"/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66</v>
      </c>
      <c r="D320" s="69">
        <f>SUM(D306:D319)</f>
        <v>134.93</v>
      </c>
      <c r="E320" s="69">
        <f>SUM(E306:E319)</f>
        <v>0</v>
      </c>
      <c r="F320" s="69">
        <f>SUM(F306:F319)</f>
        <v>0</v>
      </c>
      <c r="G320" s="35" t="s">
        <v>66</v>
      </c>
    </row>
    <row r="321" spans="2:7" ht="15.75" thickBot="1"/>
    <row r="322" spans="2:7" ht="14.45" customHeight="1">
      <c r="B322" s="271" t="str">
        <f>'2018'!A36</f>
        <v>Martina</v>
      </c>
      <c r="C322" s="272"/>
      <c r="D322" s="272"/>
      <c r="E322" s="272"/>
      <c r="F322" s="272"/>
      <c r="G322" s="273"/>
    </row>
    <row r="323" spans="2:7" ht="15" customHeight="1" thickBot="1">
      <c r="B323" s="274"/>
      <c r="C323" s="275"/>
      <c r="D323" s="275"/>
      <c r="E323" s="275"/>
      <c r="F323" s="275"/>
      <c r="G323" s="276"/>
    </row>
    <row r="324" spans="2:7">
      <c r="B324" s="279" t="s">
        <v>10</v>
      </c>
      <c r="C324" s="278"/>
      <c r="D324" s="277" t="s">
        <v>11</v>
      </c>
      <c r="E324" s="277"/>
      <c r="F324" s="277"/>
      <c r="G324" s="278"/>
    </row>
    <row r="325" spans="2:7">
      <c r="B325" s="65" t="s">
        <v>32</v>
      </c>
      <c r="C325" s="73" t="s">
        <v>33</v>
      </c>
      <c r="D325" s="65" t="s">
        <v>68</v>
      </c>
      <c r="E325" s="66" t="s">
        <v>69</v>
      </c>
      <c r="F325" s="66" t="s">
        <v>32</v>
      </c>
      <c r="G325" s="73" t="s">
        <v>33</v>
      </c>
    </row>
    <row r="326" spans="2:7">
      <c r="B326" s="67">
        <v>4</v>
      </c>
      <c r="C326" s="37"/>
      <c r="D326" s="70">
        <v>4</v>
      </c>
      <c r="E326" s="71"/>
      <c r="F326" s="71"/>
      <c r="G326" s="34" t="s">
        <v>389</v>
      </c>
    </row>
    <row r="327" spans="2:7">
      <c r="B327" s="68"/>
      <c r="C327" s="34"/>
      <c r="D327" s="70"/>
      <c r="E327" s="71"/>
      <c r="F327" s="71"/>
      <c r="G327" s="34"/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4</v>
      </c>
      <c r="C340" s="35" t="s">
        <v>66</v>
      </c>
      <c r="D340" s="69">
        <f>SUM(D326:D339)</f>
        <v>4</v>
      </c>
      <c r="E340" s="69">
        <f>SUM(E326:E339)</f>
        <v>0</v>
      </c>
      <c r="F340" s="69">
        <f>SUM(F326:F339)</f>
        <v>0</v>
      </c>
      <c r="G340" s="35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71" t="str">
        <f>'2018'!A37</f>
        <v>Impuestos</v>
      </c>
      <c r="C342" s="272"/>
      <c r="D342" s="272"/>
      <c r="E342" s="272"/>
      <c r="F342" s="272"/>
      <c r="G342" s="273"/>
    </row>
    <row r="343" spans="2:7" ht="15" customHeight="1" thickBot="1">
      <c r="B343" s="274"/>
      <c r="C343" s="275"/>
      <c r="D343" s="275"/>
      <c r="E343" s="275"/>
      <c r="F343" s="275"/>
      <c r="G343" s="276"/>
    </row>
    <row r="344" spans="2:7">
      <c r="B344" s="279" t="s">
        <v>10</v>
      </c>
      <c r="C344" s="278"/>
      <c r="D344" s="277" t="s">
        <v>11</v>
      </c>
      <c r="E344" s="277"/>
      <c r="F344" s="277"/>
      <c r="G344" s="278"/>
    </row>
    <row r="345" spans="2:7">
      <c r="B345" s="65" t="s">
        <v>32</v>
      </c>
      <c r="C345" s="73" t="s">
        <v>33</v>
      </c>
      <c r="D345" s="65" t="s">
        <v>68</v>
      </c>
      <c r="E345" s="66" t="s">
        <v>69</v>
      </c>
      <c r="F345" s="66" t="s">
        <v>32</v>
      </c>
      <c r="G345" s="73" t="s">
        <v>33</v>
      </c>
    </row>
    <row r="346" spans="2:7">
      <c r="B346" s="67">
        <v>30</v>
      </c>
      <c r="C346" s="37" t="s">
        <v>119</v>
      </c>
      <c r="D346" s="70"/>
      <c r="E346" s="71"/>
      <c r="F346" s="71"/>
      <c r="G346" s="34"/>
    </row>
    <row r="347" spans="2:7">
      <c r="B347" s="68"/>
      <c r="C347" s="34"/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30</v>
      </c>
      <c r="C360" s="35" t="s">
        <v>66</v>
      </c>
      <c r="D360" s="69">
        <f>SUM(D346:D359)</f>
        <v>0</v>
      </c>
      <c r="E360" s="69">
        <f>SUM(E346:E359)</f>
        <v>0</v>
      </c>
      <c r="F360" s="69">
        <f>SUM(F346:F359)</f>
        <v>0</v>
      </c>
      <c r="G360" s="35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71" t="str">
        <f>'2018'!A38</f>
        <v>Gastos Curros</v>
      </c>
      <c r="C362" s="272"/>
      <c r="D362" s="272"/>
      <c r="E362" s="272"/>
      <c r="F362" s="272"/>
      <c r="G362" s="273"/>
    </row>
    <row r="363" spans="2:7" ht="15" customHeight="1" thickBot="1">
      <c r="B363" s="274"/>
      <c r="C363" s="275"/>
      <c r="D363" s="275"/>
      <c r="E363" s="275"/>
      <c r="F363" s="275"/>
      <c r="G363" s="276"/>
    </row>
    <row r="364" spans="2:7">
      <c r="B364" s="279" t="s">
        <v>10</v>
      </c>
      <c r="C364" s="278"/>
      <c r="D364" s="277" t="s">
        <v>11</v>
      </c>
      <c r="E364" s="277"/>
      <c r="F364" s="277"/>
      <c r="G364" s="278"/>
    </row>
    <row r="365" spans="2:7">
      <c r="B365" s="65" t="s">
        <v>32</v>
      </c>
      <c r="C365" s="73" t="s">
        <v>33</v>
      </c>
      <c r="D365" s="65" t="s">
        <v>68</v>
      </c>
      <c r="E365" s="66" t="s">
        <v>69</v>
      </c>
      <c r="F365" s="66" t="s">
        <v>32</v>
      </c>
      <c r="G365" s="73" t="s">
        <v>33</v>
      </c>
    </row>
    <row r="366" spans="2:7">
      <c r="B366" s="67">
        <v>50</v>
      </c>
      <c r="C366" s="37" t="s">
        <v>36</v>
      </c>
      <c r="D366" s="70">
        <f>3.2</f>
        <v>3.2</v>
      </c>
      <c r="E366" s="71"/>
      <c r="F366" s="71">
        <f>4.45+3.4+3.4+3.7+4.45+4.5+4.5+3.4+4</f>
        <v>35.799999999999997</v>
      </c>
      <c r="G366" s="91" t="s">
        <v>91</v>
      </c>
    </row>
    <row r="367" spans="2:7">
      <c r="B367" s="68"/>
      <c r="C367" s="34"/>
      <c r="D367" s="70"/>
      <c r="E367" s="71"/>
      <c r="F367" s="71">
        <f>6.5</f>
        <v>6.5</v>
      </c>
      <c r="G367" s="91" t="s">
        <v>92</v>
      </c>
    </row>
    <row r="368" spans="2:7">
      <c r="B368" s="68"/>
      <c r="C368" s="34"/>
      <c r="D368" s="70"/>
      <c r="E368" s="71">
        <f>24.54</f>
        <v>24.54</v>
      </c>
      <c r="F368" s="71"/>
      <c r="G368" s="34" t="s">
        <v>383</v>
      </c>
    </row>
    <row r="369" spans="2:7">
      <c r="B369" s="68"/>
      <c r="C369" s="34"/>
      <c r="D369" s="70"/>
      <c r="E369" s="71">
        <v>6.48</v>
      </c>
      <c r="F369" s="71"/>
      <c r="G369" s="34" t="s">
        <v>392</v>
      </c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50</v>
      </c>
      <c r="C380" s="35" t="s">
        <v>66</v>
      </c>
      <c r="D380" s="69">
        <f>SUM(D366:D379)</f>
        <v>3.2</v>
      </c>
      <c r="E380" s="69">
        <f>SUM(E366:E379)</f>
        <v>31.02</v>
      </c>
      <c r="F380" s="69">
        <f>SUM(F366:F379)</f>
        <v>42.3</v>
      </c>
      <c r="G380" s="35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71" t="str">
        <f>'2018'!A39</f>
        <v>Dreamed Holidays</v>
      </c>
      <c r="C382" s="272"/>
      <c r="D382" s="272"/>
      <c r="E382" s="272"/>
      <c r="F382" s="272"/>
      <c r="G382" s="273"/>
    </row>
    <row r="383" spans="2:7" ht="15" customHeight="1" thickBot="1">
      <c r="B383" s="274"/>
      <c r="C383" s="275"/>
      <c r="D383" s="275"/>
      <c r="E383" s="275"/>
      <c r="F383" s="275"/>
      <c r="G383" s="276"/>
    </row>
    <row r="384" spans="2:7">
      <c r="B384" s="279" t="s">
        <v>10</v>
      </c>
      <c r="C384" s="278"/>
      <c r="D384" s="277" t="s">
        <v>11</v>
      </c>
      <c r="E384" s="277"/>
      <c r="F384" s="277"/>
      <c r="G384" s="278"/>
    </row>
    <row r="385" spans="2:7">
      <c r="B385" s="65" t="s">
        <v>32</v>
      </c>
      <c r="C385" s="73" t="s">
        <v>33</v>
      </c>
      <c r="D385" s="65" t="s">
        <v>68</v>
      </c>
      <c r="E385" s="66" t="s">
        <v>69</v>
      </c>
      <c r="F385" s="66" t="s">
        <v>32</v>
      </c>
      <c r="G385" s="73" t="s">
        <v>33</v>
      </c>
    </row>
    <row r="386" spans="2:7">
      <c r="B386" s="67">
        <v>10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10</v>
      </c>
      <c r="C400" s="35" t="s">
        <v>66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71" t="str">
        <f>'2018'!A40</f>
        <v>Financieros</v>
      </c>
      <c r="C402" s="272"/>
      <c r="D402" s="272"/>
      <c r="E402" s="272"/>
      <c r="F402" s="272"/>
      <c r="G402" s="273"/>
    </row>
    <row r="403" spans="2:7" ht="15" customHeight="1" thickBot="1">
      <c r="B403" s="274"/>
      <c r="C403" s="275"/>
      <c r="D403" s="275"/>
      <c r="E403" s="275"/>
      <c r="F403" s="275"/>
      <c r="G403" s="276"/>
    </row>
    <row r="404" spans="2:7">
      <c r="B404" s="279" t="s">
        <v>10</v>
      </c>
      <c r="C404" s="278"/>
      <c r="D404" s="277" t="s">
        <v>11</v>
      </c>
      <c r="E404" s="277"/>
      <c r="F404" s="277"/>
      <c r="G404" s="278"/>
    </row>
    <row r="405" spans="2:7">
      <c r="B405" s="65" t="s">
        <v>32</v>
      </c>
      <c r="C405" s="73" t="s">
        <v>33</v>
      </c>
      <c r="D405" s="65" t="s">
        <v>68</v>
      </c>
      <c r="E405" s="66" t="s">
        <v>69</v>
      </c>
      <c r="F405" s="66" t="s">
        <v>32</v>
      </c>
      <c r="G405" s="73" t="s">
        <v>33</v>
      </c>
    </row>
    <row r="406" spans="2:7">
      <c r="B406" s="67">
        <v>38.64</v>
      </c>
      <c r="C406" s="37" t="s">
        <v>362</v>
      </c>
      <c r="D406" s="70"/>
      <c r="E406" s="71"/>
      <c r="F406" s="71"/>
      <c r="G406" s="34"/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38.64</v>
      </c>
      <c r="C420" s="35" t="s">
        <v>66</v>
      </c>
      <c r="D420" s="69">
        <f>SUM(D406:D419)</f>
        <v>0</v>
      </c>
      <c r="E420" s="69">
        <f>SUM(E406:E419)</f>
        <v>0</v>
      </c>
      <c r="F420" s="69">
        <f>SUM(F406:F419)</f>
        <v>0</v>
      </c>
      <c r="G420" s="35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71" t="str">
        <f>'2018'!A41</f>
        <v>Ahorros Colchón</v>
      </c>
      <c r="C422" s="289"/>
      <c r="D422" s="289"/>
      <c r="E422" s="289"/>
      <c r="F422" s="289"/>
      <c r="G422" s="290"/>
    </row>
    <row r="423" spans="2:7" ht="15" customHeight="1" thickBot="1">
      <c r="B423" s="291"/>
      <c r="C423" s="292"/>
      <c r="D423" s="292"/>
      <c r="E423" s="292"/>
      <c r="F423" s="292"/>
      <c r="G423" s="293"/>
    </row>
    <row r="424" spans="2:7">
      <c r="B424" s="279" t="s">
        <v>10</v>
      </c>
      <c r="C424" s="278"/>
      <c r="D424" s="277" t="s">
        <v>11</v>
      </c>
      <c r="E424" s="277"/>
      <c r="F424" s="277"/>
      <c r="G424" s="278"/>
    </row>
    <row r="425" spans="2:7">
      <c r="B425" s="65" t="s">
        <v>32</v>
      </c>
      <c r="C425" s="73" t="s">
        <v>33</v>
      </c>
      <c r="D425" s="65" t="s">
        <v>68</v>
      </c>
      <c r="E425" s="66" t="s">
        <v>69</v>
      </c>
      <c r="F425" s="66" t="s">
        <v>32</v>
      </c>
      <c r="G425" s="73" t="s">
        <v>33</v>
      </c>
    </row>
    <row r="426" spans="2:7">
      <c r="B426" s="67">
        <v>-223</v>
      </c>
      <c r="C426" s="37" t="s">
        <v>370</v>
      </c>
      <c r="D426" s="70"/>
      <c r="E426" s="71"/>
      <c r="F426" s="71"/>
      <c r="G426" s="34"/>
    </row>
    <row r="427" spans="2:7">
      <c r="B427" s="68">
        <v>-27.52</v>
      </c>
      <c r="C427" s="34" t="s">
        <v>393</v>
      </c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-250.52</v>
      </c>
      <c r="C440" s="35" t="s">
        <v>66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71" t="str">
        <f>'2018'!A42</f>
        <v>Dinero Bloqueado</v>
      </c>
      <c r="C442" s="289"/>
      <c r="D442" s="289"/>
      <c r="E442" s="289"/>
      <c r="F442" s="289"/>
      <c r="G442" s="290"/>
    </row>
    <row r="443" spans="2:7" ht="15" customHeight="1" thickBot="1">
      <c r="B443" s="291"/>
      <c r="C443" s="292"/>
      <c r="D443" s="292"/>
      <c r="E443" s="292"/>
      <c r="F443" s="292"/>
      <c r="G443" s="293"/>
    </row>
    <row r="444" spans="2:7">
      <c r="B444" s="279" t="s">
        <v>10</v>
      </c>
      <c r="C444" s="278"/>
      <c r="D444" s="277" t="s">
        <v>11</v>
      </c>
      <c r="E444" s="277"/>
      <c r="F444" s="277"/>
      <c r="G444" s="278"/>
    </row>
    <row r="445" spans="2:7">
      <c r="B445" s="65" t="s">
        <v>32</v>
      </c>
      <c r="C445" s="73" t="s">
        <v>33</v>
      </c>
      <c r="D445" s="65" t="s">
        <v>68</v>
      </c>
      <c r="E445" s="66" t="s">
        <v>69</v>
      </c>
      <c r="F445" s="66" t="s">
        <v>32</v>
      </c>
      <c r="G445" s="73" t="s">
        <v>33</v>
      </c>
    </row>
    <row r="446" spans="2:7">
      <c r="B446" s="67"/>
      <c r="C446" s="37"/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0</v>
      </c>
      <c r="C460" s="35" t="s">
        <v>66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71" t="str">
        <f>'2018'!A43</f>
        <v>Cartama Finanazas</v>
      </c>
      <c r="C462" s="289"/>
      <c r="D462" s="289"/>
      <c r="E462" s="289"/>
      <c r="F462" s="289"/>
      <c r="G462" s="290"/>
    </row>
    <row r="463" spans="2:7" ht="15" customHeight="1" thickBot="1">
      <c r="B463" s="291"/>
      <c r="C463" s="292"/>
      <c r="D463" s="292"/>
      <c r="E463" s="292"/>
      <c r="F463" s="292"/>
      <c r="G463" s="293"/>
    </row>
    <row r="464" spans="2:7">
      <c r="B464" s="279" t="s">
        <v>10</v>
      </c>
      <c r="C464" s="278"/>
      <c r="D464" s="277" t="s">
        <v>11</v>
      </c>
      <c r="E464" s="277"/>
      <c r="F464" s="277"/>
      <c r="G464" s="278"/>
    </row>
    <row r="465" spans="2:7">
      <c r="B465" s="65" t="s">
        <v>32</v>
      </c>
      <c r="C465" s="73" t="s">
        <v>33</v>
      </c>
      <c r="D465" s="65" t="s">
        <v>68</v>
      </c>
      <c r="E465" s="66" t="s">
        <v>69</v>
      </c>
      <c r="F465" s="66" t="s">
        <v>32</v>
      </c>
      <c r="G465" s="73" t="s">
        <v>33</v>
      </c>
    </row>
    <row r="466" spans="2:7">
      <c r="B466" s="67"/>
      <c r="C466" s="37"/>
      <c r="D466" s="70"/>
      <c r="E466" s="71"/>
      <c r="F466" s="71"/>
      <c r="G466" s="34"/>
    </row>
    <row r="467" spans="2:7">
      <c r="B467" s="68"/>
      <c r="C467" s="34"/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0</v>
      </c>
      <c r="C480" s="35" t="s">
        <v>66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66</v>
      </c>
    </row>
    <row r="481" spans="2:7" ht="15.75" thickBot="1"/>
    <row r="482" spans="2:7" ht="14.45" customHeight="1">
      <c r="B482" s="271" t="str">
        <f>'2018'!A44</f>
        <v>NULO</v>
      </c>
      <c r="C482" s="289"/>
      <c r="D482" s="289"/>
      <c r="E482" s="289"/>
      <c r="F482" s="289"/>
      <c r="G482" s="290"/>
    </row>
    <row r="483" spans="2:7" ht="15" customHeight="1" thickBot="1">
      <c r="B483" s="291"/>
      <c r="C483" s="292"/>
      <c r="D483" s="292"/>
      <c r="E483" s="292"/>
      <c r="F483" s="292"/>
      <c r="G483" s="293"/>
    </row>
    <row r="484" spans="2:7">
      <c r="B484" s="279" t="s">
        <v>10</v>
      </c>
      <c r="C484" s="278"/>
      <c r="D484" s="277" t="s">
        <v>11</v>
      </c>
      <c r="E484" s="277"/>
      <c r="F484" s="277"/>
      <c r="G484" s="278"/>
    </row>
    <row r="485" spans="2:7">
      <c r="B485" s="65" t="s">
        <v>32</v>
      </c>
      <c r="C485" s="73" t="s">
        <v>33</v>
      </c>
      <c r="D485" s="65" t="s">
        <v>68</v>
      </c>
      <c r="E485" s="66" t="s">
        <v>69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66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71" t="str">
        <f>'2018'!A45</f>
        <v>OTROS</v>
      </c>
      <c r="C502" s="289"/>
      <c r="D502" s="289"/>
      <c r="E502" s="289"/>
      <c r="F502" s="289"/>
      <c r="G502" s="290"/>
    </row>
    <row r="503" spans="2:7" ht="15" customHeight="1" thickBot="1">
      <c r="B503" s="291"/>
      <c r="C503" s="292"/>
      <c r="D503" s="292"/>
      <c r="E503" s="292"/>
      <c r="F503" s="292"/>
      <c r="G503" s="293"/>
    </row>
    <row r="504" spans="2:7">
      <c r="B504" s="279" t="s">
        <v>10</v>
      </c>
      <c r="C504" s="278"/>
      <c r="D504" s="277" t="s">
        <v>11</v>
      </c>
      <c r="E504" s="277"/>
      <c r="F504" s="277"/>
      <c r="G504" s="278"/>
    </row>
    <row r="505" spans="2:7">
      <c r="B505" s="65" t="s">
        <v>32</v>
      </c>
      <c r="C505" s="73" t="s">
        <v>33</v>
      </c>
      <c r="D505" s="65" t="s">
        <v>68</v>
      </c>
      <c r="E505" s="66" t="s">
        <v>69</v>
      </c>
      <c r="F505" s="66" t="s">
        <v>32</v>
      </c>
      <c r="G505" s="73" t="s">
        <v>33</v>
      </c>
    </row>
    <row r="506" spans="2:7">
      <c r="B506" s="67"/>
      <c r="C506" s="37"/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>
        <f>SUM(B506:B519)</f>
        <v>0</v>
      </c>
      <c r="C520" s="35" t="s">
        <v>66</v>
      </c>
      <c r="D520" s="69">
        <f>SUM(D506:D519)</f>
        <v>0</v>
      </c>
      <c r="E520" s="69">
        <f>SUM(E506:E519)</f>
        <v>0</v>
      </c>
      <c r="F520" s="69">
        <f>SUM(F506:F519)</f>
        <v>0</v>
      </c>
      <c r="G520" s="35" t="s">
        <v>66</v>
      </c>
    </row>
  </sheetData>
  <mergeCells count="111"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500-000000000000}"/>
    <hyperlink ref="I2:L3" location="'2018'!S4:V4" display="SALDO REAL" xr:uid="{00000000-0004-0000-0500-000001000000}"/>
    <hyperlink ref="I22" location="Trimestre!C39:F40" display="TELÉFONO" xr:uid="{00000000-0004-0000-0500-000002000000}"/>
    <hyperlink ref="I22:L23" location="'2018'!S7:V7" display="INGRESOS" xr:uid="{00000000-0004-0000-0500-000003000000}"/>
    <hyperlink ref="B2" location="Trimestre!C25:F26" display="HIPOTECA" xr:uid="{00000000-0004-0000-0500-000004000000}"/>
    <hyperlink ref="B2:G3" location="'2018'!S20:V20" display="'2018'!S20:V20" xr:uid="{00000000-0004-0000-0500-000005000000}"/>
    <hyperlink ref="B22" location="Trimestre!C25:F26" display="HIPOTECA" xr:uid="{00000000-0004-0000-0500-000006000000}"/>
    <hyperlink ref="B22:G23" location="'2018'!S21:V21" display="'2018'!S21:V21" xr:uid="{00000000-0004-0000-0500-000007000000}"/>
    <hyperlink ref="B42" location="Trimestre!C25:F26" display="HIPOTECA" xr:uid="{00000000-0004-0000-0500-000008000000}"/>
    <hyperlink ref="B42:G43" location="'2018'!S22:V22" display="'2018'!S22:V22" xr:uid="{00000000-0004-0000-0500-000009000000}"/>
    <hyperlink ref="B62" location="Trimestre!C25:F26" display="HIPOTECA" xr:uid="{00000000-0004-0000-0500-00000A000000}"/>
    <hyperlink ref="B62:G63" location="'2018'!S23:V23" display="'2018'!S23:V23" xr:uid="{00000000-0004-0000-0500-00000B000000}"/>
    <hyperlink ref="B82" location="Trimestre!C25:F26" display="HIPOTECA" xr:uid="{00000000-0004-0000-0500-00000C000000}"/>
    <hyperlink ref="B82:G83" location="'2018'!S24:V24" display="'2018'!S24:V24" xr:uid="{00000000-0004-0000-0500-00000D000000}"/>
    <hyperlink ref="B102" location="Trimestre!C25:F26" display="HIPOTECA" xr:uid="{00000000-0004-0000-0500-00000E000000}"/>
    <hyperlink ref="B102:G103" location="'2018'!S25:V25" display="'2018'!S25:V25" xr:uid="{00000000-0004-0000-0500-00000F000000}"/>
    <hyperlink ref="B122" location="Trimestre!C25:F26" display="HIPOTECA" xr:uid="{00000000-0004-0000-0500-000010000000}"/>
    <hyperlink ref="B122:G123" location="'2018'!S26:V26" display="'2018'!S26:V26" xr:uid="{00000000-0004-0000-0500-000011000000}"/>
    <hyperlink ref="B142" location="Trimestre!C25:F26" display="HIPOTECA" xr:uid="{00000000-0004-0000-0500-000012000000}"/>
    <hyperlink ref="B142:G143" location="'2018'!S27:V27" display="'2018'!S27:V27" xr:uid="{00000000-0004-0000-0500-000013000000}"/>
    <hyperlink ref="B162" location="Trimestre!C25:F26" display="HIPOTECA" xr:uid="{00000000-0004-0000-0500-000014000000}"/>
    <hyperlink ref="B162:G163" location="'2018'!S28:V28" display="'2018'!S28:V28" xr:uid="{00000000-0004-0000-0500-000015000000}"/>
    <hyperlink ref="B182" location="Trimestre!C25:F26" display="HIPOTECA" xr:uid="{00000000-0004-0000-0500-000016000000}"/>
    <hyperlink ref="B182:G183" location="'2018'!S29:V29" display="'2018'!S29:V29" xr:uid="{00000000-0004-0000-0500-000017000000}"/>
    <hyperlink ref="B202" location="Trimestre!C25:F26" display="HIPOTECA" xr:uid="{00000000-0004-0000-0500-000018000000}"/>
    <hyperlink ref="B202:G203" location="'2018'!S30:V30" display="'2018'!S30:V30" xr:uid="{00000000-0004-0000-0500-000019000000}"/>
    <hyperlink ref="B222" location="Trimestre!C25:F26" display="HIPOTECA" xr:uid="{00000000-0004-0000-0500-00001A000000}"/>
    <hyperlink ref="B222:G223" location="'2018'!S31:V31" display="'2018'!S31:V31" xr:uid="{00000000-0004-0000-0500-00001B000000}"/>
    <hyperlink ref="B242" location="Trimestre!C25:F26" display="HIPOTECA" xr:uid="{00000000-0004-0000-0500-00001C000000}"/>
    <hyperlink ref="B242:G243" location="'2018'!S32:V32" display="'2018'!S32:V32" xr:uid="{00000000-0004-0000-0500-00001D000000}"/>
    <hyperlink ref="B262" location="Trimestre!C25:F26" display="HIPOTECA" xr:uid="{00000000-0004-0000-0500-00001E000000}"/>
    <hyperlink ref="B262:G263" location="'2018'!S33:V33" display="'2018'!S33:V33" xr:uid="{00000000-0004-0000-0500-00001F000000}"/>
    <hyperlink ref="B282" location="Trimestre!C25:F26" display="HIPOTECA" xr:uid="{00000000-0004-0000-0500-000020000000}"/>
    <hyperlink ref="B282:G283" location="'2018'!S34:V34" display="'2018'!S34:V34" xr:uid="{00000000-0004-0000-0500-000021000000}"/>
    <hyperlink ref="B302" location="Trimestre!C25:F26" display="HIPOTECA" xr:uid="{00000000-0004-0000-0500-000022000000}"/>
    <hyperlink ref="B302:G303" location="'2018'!S35:V35" display="'2018'!S35:V35" xr:uid="{00000000-0004-0000-0500-000023000000}"/>
    <hyperlink ref="B322" location="Trimestre!C25:F26" display="HIPOTECA" xr:uid="{00000000-0004-0000-0500-000024000000}"/>
    <hyperlink ref="B322:G323" location="'2018'!S36:V36" display="'2018'!S36:V36" xr:uid="{00000000-0004-0000-0500-000025000000}"/>
    <hyperlink ref="B342" location="Trimestre!C25:F26" display="HIPOTECA" xr:uid="{00000000-0004-0000-0500-000026000000}"/>
    <hyperlink ref="B342:G343" location="'2018'!S37:V37" display="'2018'!S37:V37" xr:uid="{00000000-0004-0000-0500-000027000000}"/>
    <hyperlink ref="B362" location="Trimestre!C25:F26" display="HIPOTECA" xr:uid="{00000000-0004-0000-0500-000028000000}"/>
    <hyperlink ref="B362:G363" location="'2018'!S38:V38" display="'2018'!S38:V38" xr:uid="{00000000-0004-0000-0500-000029000000}"/>
    <hyperlink ref="B382" location="Trimestre!C25:F26" display="HIPOTECA" xr:uid="{00000000-0004-0000-0500-00002A000000}"/>
    <hyperlink ref="B382:G383" location="'2018'!S39:V39" display="'2018'!S39:V39" xr:uid="{00000000-0004-0000-0500-00002B000000}"/>
    <hyperlink ref="B402" location="Trimestre!C25:F26" display="HIPOTECA" xr:uid="{00000000-0004-0000-0500-00002C000000}"/>
    <hyperlink ref="B402:G403" location="'2018'!S40:V40" display="'2018'!S40:V40" xr:uid="{00000000-0004-0000-0500-00002D000000}"/>
    <hyperlink ref="B422" location="Trimestre!C25:F26" display="HIPOTECA" xr:uid="{00000000-0004-0000-0500-00002E000000}"/>
    <hyperlink ref="B422:G423" location="'2018'!S41:V41" display="'2018'!S41:V41" xr:uid="{00000000-0004-0000-0500-00002F000000}"/>
    <hyperlink ref="B442" location="Trimestre!C25:F26" display="HIPOTECA" xr:uid="{00000000-0004-0000-0500-000030000000}"/>
    <hyperlink ref="B442:G443" location="'2018'!S42:V42" display="'2018'!S42:V42" xr:uid="{00000000-0004-0000-0500-000031000000}"/>
    <hyperlink ref="B462" location="Trimestre!C25:F26" display="HIPOTECA" xr:uid="{00000000-0004-0000-0500-000032000000}"/>
    <hyperlink ref="B462:G463" location="'2018'!S43:V43" display="'2018'!S43:V43" xr:uid="{00000000-0004-0000-0500-000033000000}"/>
    <hyperlink ref="B482" location="Trimestre!C25:F26" display="HIPOTECA" xr:uid="{00000000-0004-0000-0500-000034000000}"/>
    <hyperlink ref="B482:G483" location="'2018'!S44:V44" display="'2018'!S44:V44" xr:uid="{00000000-0004-0000-0500-000035000000}"/>
    <hyperlink ref="B502" location="Trimestre!C25:F26" display="HIPOTECA" xr:uid="{00000000-0004-0000-0500-000036000000}"/>
    <hyperlink ref="B502:G503" location="'2018'!S45:V45" display="'2018'!S45:V45" xr:uid="{00000000-0004-0000-0500-000037000000}"/>
  </hyperlink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V520"/>
  <sheetViews>
    <sheetView topLeftCell="A11" workbookViewId="0">
      <selection activeCell="B2" sqref="B2:G3"/>
    </sheetView>
  </sheetViews>
  <sheetFormatPr defaultColWidth="11.42578125" defaultRowHeight="15"/>
  <cols>
    <col min="1" max="1" width="11.42578125" style="175"/>
    <col min="2" max="2" width="10" style="175" customWidth="1"/>
    <col min="3" max="3" width="33.28515625" style="175" customWidth="1"/>
    <col min="4" max="6" width="10" style="175" customWidth="1"/>
    <col min="7" max="7" width="33.28515625" style="175" customWidth="1"/>
    <col min="8" max="9" width="11.42578125" style="175"/>
    <col min="10" max="10" width="31.28515625" style="175" customWidth="1"/>
    <col min="11" max="16384" width="11.42578125" style="175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71" t="str">
        <f>'2018'!A20</f>
        <v>Cártama Gastos</v>
      </c>
      <c r="C2" s="272"/>
      <c r="D2" s="272"/>
      <c r="E2" s="272"/>
      <c r="F2" s="272"/>
      <c r="G2" s="273"/>
      <c r="H2" s="1"/>
      <c r="I2" s="284" t="s">
        <v>4</v>
      </c>
      <c r="J2" s="272"/>
      <c r="K2" s="272"/>
      <c r="L2" s="273"/>
      <c r="M2" s="1"/>
      <c r="N2" s="1"/>
      <c r="R2" s="3"/>
    </row>
    <row r="3" spans="1:22" ht="16.5" thickBot="1">
      <c r="A3" s="1"/>
      <c r="B3" s="274"/>
      <c r="C3" s="275"/>
      <c r="D3" s="275"/>
      <c r="E3" s="275"/>
      <c r="F3" s="275"/>
      <c r="G3" s="276"/>
      <c r="H3" s="1"/>
      <c r="I3" s="274"/>
      <c r="J3" s="275"/>
      <c r="K3" s="275"/>
      <c r="L3" s="276"/>
      <c r="M3" s="1"/>
      <c r="N3" s="1"/>
      <c r="R3" s="3"/>
    </row>
    <row r="4" spans="1:22" ht="15.75">
      <c r="A4" s="1"/>
      <c r="B4" s="279" t="s">
        <v>10</v>
      </c>
      <c r="C4" s="278"/>
      <c r="D4" s="277" t="s">
        <v>11</v>
      </c>
      <c r="E4" s="277"/>
      <c r="F4" s="277"/>
      <c r="G4" s="278"/>
      <c r="H4" s="1"/>
      <c r="I4" s="124" t="s">
        <v>70</v>
      </c>
      <c r="J4" s="195" t="s">
        <v>71</v>
      </c>
      <c r="K4" s="285" t="s">
        <v>72</v>
      </c>
      <c r="L4" s="286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68</v>
      </c>
      <c r="E5" s="66" t="s">
        <v>69</v>
      </c>
      <c r="F5" s="66" t="s">
        <v>32</v>
      </c>
      <c r="G5" s="73" t="s">
        <v>33</v>
      </c>
      <c r="H5" s="1"/>
      <c r="I5" s="196" t="s">
        <v>73</v>
      </c>
      <c r="J5" s="197" t="s">
        <v>74</v>
      </c>
      <c r="K5" s="287">
        <v>2311.09</v>
      </c>
      <c r="L5" s="288"/>
      <c r="M5" s="1" t="s">
        <v>395</v>
      </c>
      <c r="N5" s="1"/>
      <c r="R5" s="3"/>
    </row>
    <row r="6" spans="1:22" ht="15.75">
      <c r="A6" s="1"/>
      <c r="B6" s="67">
        <v>399</v>
      </c>
      <c r="C6" s="37" t="s">
        <v>312</v>
      </c>
      <c r="D6" s="70"/>
      <c r="E6" s="71">
        <v>398.31</v>
      </c>
      <c r="F6" s="71"/>
      <c r="G6" s="34" t="s">
        <v>35</v>
      </c>
      <c r="H6" s="1"/>
      <c r="I6" s="198" t="s">
        <v>73</v>
      </c>
      <c r="J6" s="197" t="s">
        <v>75</v>
      </c>
      <c r="K6" s="280">
        <v>205.16</v>
      </c>
      <c r="L6" s="281"/>
      <c r="M6" s="1"/>
      <c r="N6" s="1"/>
      <c r="R6" s="3"/>
    </row>
    <row r="7" spans="1:22" ht="15.75">
      <c r="A7" s="1"/>
      <c r="B7" s="68">
        <v>60</v>
      </c>
      <c r="C7" s="34" t="s">
        <v>326</v>
      </c>
      <c r="D7" s="70"/>
      <c r="E7" s="71"/>
      <c r="F7" s="71"/>
      <c r="G7" s="34" t="s">
        <v>106</v>
      </c>
      <c r="H7" s="117"/>
      <c r="I7" s="198" t="s">
        <v>76</v>
      </c>
      <c r="J7" s="197" t="s">
        <v>77</v>
      </c>
      <c r="K7" s="280">
        <v>6999</v>
      </c>
      <c r="L7" s="281"/>
      <c r="M7" s="1"/>
      <c r="N7" s="1"/>
      <c r="R7" s="3"/>
    </row>
    <row r="8" spans="1:22" ht="15.75">
      <c r="A8" s="1"/>
      <c r="B8" s="68">
        <v>0</v>
      </c>
      <c r="C8" s="34" t="s">
        <v>38</v>
      </c>
      <c r="D8" s="70"/>
      <c r="E8" s="175">
        <v>82.76</v>
      </c>
      <c r="F8" s="71"/>
      <c r="G8" s="34" t="s">
        <v>38</v>
      </c>
      <c r="H8" s="1"/>
      <c r="I8" s="198" t="s">
        <v>76</v>
      </c>
      <c r="J8" s="197" t="s">
        <v>78</v>
      </c>
      <c r="K8" s="280">
        <v>6000</v>
      </c>
      <c r="L8" s="281"/>
      <c r="M8" s="1"/>
      <c r="N8" s="1"/>
      <c r="R8" s="3"/>
    </row>
    <row r="9" spans="1:22" ht="15.75">
      <c r="A9" s="1"/>
      <c r="B9" s="68">
        <v>18.34</v>
      </c>
      <c r="C9" s="34" t="s">
        <v>40</v>
      </c>
      <c r="D9" s="70"/>
      <c r="E9" s="71">
        <v>18.34</v>
      </c>
      <c r="F9" s="71"/>
      <c r="G9" s="34" t="s">
        <v>40</v>
      </c>
      <c r="H9" s="1"/>
      <c r="I9" s="198" t="s">
        <v>76</v>
      </c>
      <c r="J9" s="197" t="s">
        <v>268</v>
      </c>
      <c r="K9" s="280">
        <v>659.77</v>
      </c>
      <c r="L9" s="281"/>
      <c r="M9" s="1"/>
      <c r="N9" s="1"/>
      <c r="R9" s="3"/>
    </row>
    <row r="10" spans="1:22" ht="15.75">
      <c r="A10" s="1"/>
      <c r="B10" s="68">
        <v>12</v>
      </c>
      <c r="C10" s="34" t="s">
        <v>39</v>
      </c>
      <c r="D10" s="70"/>
      <c r="E10" s="71">
        <v>12</v>
      </c>
      <c r="F10" s="71"/>
      <c r="G10" s="34" t="s">
        <v>39</v>
      </c>
      <c r="H10" s="1"/>
      <c r="I10" s="198" t="s">
        <v>76</v>
      </c>
      <c r="J10" s="197" t="s">
        <v>115</v>
      </c>
      <c r="K10" s="280">
        <v>1800.04</v>
      </c>
      <c r="L10" s="281"/>
      <c r="M10" s="1" t="s">
        <v>266</v>
      </c>
      <c r="N10" s="1"/>
      <c r="R10" s="3"/>
    </row>
    <row r="11" spans="1:22" ht="15.75">
      <c r="A11" s="1"/>
      <c r="B11" s="68">
        <v>31</v>
      </c>
      <c r="C11" s="34" t="s">
        <v>37</v>
      </c>
      <c r="D11" s="70"/>
      <c r="E11" s="71">
        <v>30.24</v>
      </c>
      <c r="F11" s="71"/>
      <c r="G11" s="34" t="s">
        <v>37</v>
      </c>
      <c r="H11" s="1"/>
      <c r="I11" s="198" t="s">
        <v>93</v>
      </c>
      <c r="J11" s="197" t="s">
        <v>94</v>
      </c>
      <c r="K11" s="280">
        <f>465+90</f>
        <v>555</v>
      </c>
      <c r="L11" s="281"/>
      <c r="M11" s="1"/>
      <c r="N11" s="1"/>
      <c r="R11" s="3"/>
    </row>
    <row r="12" spans="1:22" ht="15.75">
      <c r="A12" s="1"/>
      <c r="B12" s="68">
        <v>120</v>
      </c>
      <c r="C12" s="34" t="s">
        <v>195</v>
      </c>
      <c r="D12" s="70"/>
      <c r="E12" s="71">
        <v>43.62</v>
      </c>
      <c r="F12" s="71"/>
      <c r="G12" s="34" t="s">
        <v>225</v>
      </c>
      <c r="H12" s="1"/>
      <c r="I12" s="198" t="s">
        <v>304</v>
      </c>
      <c r="J12" s="197" t="s">
        <v>305</v>
      </c>
      <c r="K12" s="280">
        <v>5092.08</v>
      </c>
      <c r="L12" s="281"/>
      <c r="M12" s="178"/>
      <c r="N12" s="1"/>
      <c r="R12" s="3"/>
    </row>
    <row r="13" spans="1:22" ht="15.75">
      <c r="A13" s="1"/>
      <c r="B13" s="68">
        <v>50</v>
      </c>
      <c r="C13" s="34" t="s">
        <v>196</v>
      </c>
      <c r="D13" s="70"/>
      <c r="E13" s="71"/>
      <c r="F13" s="71"/>
      <c r="G13" s="34"/>
      <c r="H13" s="1"/>
      <c r="I13" s="198"/>
      <c r="J13" s="197"/>
      <c r="K13" s="280"/>
      <c r="L13" s="281"/>
      <c r="M13" s="1"/>
      <c r="N13" s="1"/>
      <c r="R13" s="3"/>
    </row>
    <row r="14" spans="1:22" ht="15.75">
      <c r="A14" s="1"/>
      <c r="B14" s="68">
        <v>25</v>
      </c>
      <c r="C14" s="34" t="s">
        <v>207</v>
      </c>
      <c r="D14" s="70"/>
      <c r="E14" s="71"/>
      <c r="F14" s="71"/>
      <c r="G14" s="34"/>
      <c r="H14" s="1"/>
      <c r="I14" s="198"/>
      <c r="J14" s="197"/>
      <c r="K14" s="280"/>
      <c r="L14" s="281"/>
      <c r="M14" s="1"/>
      <c r="N14" s="1"/>
      <c r="R14" s="3"/>
    </row>
    <row r="15" spans="1:22" ht="15.75">
      <c r="A15" s="1"/>
      <c r="B15" s="68">
        <v>7</v>
      </c>
      <c r="C15" s="34" t="s">
        <v>353</v>
      </c>
      <c r="D15" s="70"/>
      <c r="E15" s="71"/>
      <c r="F15" s="71"/>
      <c r="G15" s="34"/>
      <c r="H15" s="1"/>
      <c r="I15" s="198"/>
      <c r="J15" s="197"/>
      <c r="K15" s="280"/>
      <c r="L15" s="281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198"/>
      <c r="J16" s="197"/>
      <c r="K16" s="280"/>
      <c r="L16" s="281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198"/>
      <c r="J17" s="197"/>
      <c r="K17" s="280"/>
      <c r="L17" s="281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199"/>
      <c r="J18" s="200"/>
      <c r="K18" s="282"/>
      <c r="L18" s="283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83</v>
      </c>
      <c r="J19" s="38"/>
      <c r="K19" s="282">
        <f>SUM(K5:K18)</f>
        <v>23622.14</v>
      </c>
      <c r="L19" s="283"/>
      <c r="M19" s="1"/>
      <c r="N19" s="1"/>
      <c r="R19" s="3"/>
    </row>
    <row r="20" spans="1:18" ht="16.5" thickBot="1">
      <c r="A20" s="1"/>
      <c r="B20" s="69">
        <f>SUM(B6:B19)</f>
        <v>722.33999999999992</v>
      </c>
      <c r="C20" s="35" t="s">
        <v>66</v>
      </c>
      <c r="D20" s="69">
        <f>SUM(D6:D19)</f>
        <v>0</v>
      </c>
      <c r="E20" s="69">
        <f>SUM(E6:E19)</f>
        <v>585.27</v>
      </c>
      <c r="F20" s="69">
        <f>SUM(F6:F19)</f>
        <v>0</v>
      </c>
      <c r="G20" s="35" t="s">
        <v>66</v>
      </c>
      <c r="H20" s="1"/>
      <c r="I20" s="175" t="s">
        <v>116</v>
      </c>
      <c r="L20" s="178">
        <f>K19-K10-K12</f>
        <v>16730.019999999997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71" t="str">
        <f>'2018'!A21</f>
        <v>Waterloo</v>
      </c>
      <c r="C22" s="272"/>
      <c r="D22" s="272"/>
      <c r="E22" s="272"/>
      <c r="F22" s="272"/>
      <c r="G22" s="273"/>
      <c r="H22" s="1"/>
      <c r="I22" s="284" t="s">
        <v>6</v>
      </c>
      <c r="J22" s="272"/>
      <c r="K22" s="272"/>
      <c r="L22" s="273"/>
      <c r="M22" s="1"/>
      <c r="R22" s="3"/>
    </row>
    <row r="23" spans="1:18" ht="16.149999999999999" customHeight="1" thickBot="1">
      <c r="A23" s="1"/>
      <c r="B23" s="274"/>
      <c r="C23" s="275"/>
      <c r="D23" s="275"/>
      <c r="E23" s="275"/>
      <c r="F23" s="275"/>
      <c r="G23" s="276"/>
      <c r="H23" s="1"/>
      <c r="I23" s="274"/>
      <c r="J23" s="275"/>
      <c r="K23" s="275"/>
      <c r="L23" s="276"/>
      <c r="M23" s="1"/>
      <c r="R23" s="3"/>
    </row>
    <row r="24" spans="1:18" ht="15.75">
      <c r="A24" s="1"/>
      <c r="B24" s="279" t="s">
        <v>10</v>
      </c>
      <c r="C24" s="278"/>
      <c r="D24" s="277" t="s">
        <v>11</v>
      </c>
      <c r="E24" s="277"/>
      <c r="F24" s="277"/>
      <c r="G24" s="278"/>
      <c r="H24" s="1"/>
      <c r="I24" s="124" t="s">
        <v>33</v>
      </c>
      <c r="J24" s="33" t="s">
        <v>133</v>
      </c>
      <c r="K24" s="285" t="s">
        <v>134</v>
      </c>
      <c r="L24" s="286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68</v>
      </c>
      <c r="E25" s="66" t="s">
        <v>69</v>
      </c>
      <c r="F25" s="66" t="s">
        <v>32</v>
      </c>
      <c r="G25" s="73" t="s">
        <v>33</v>
      </c>
      <c r="H25" s="1"/>
      <c r="I25" s="189">
        <v>2</v>
      </c>
      <c r="J25" s="3" t="s">
        <v>337</v>
      </c>
      <c r="K25" s="287">
        <v>197.22</v>
      </c>
      <c r="L25" s="288"/>
      <c r="M25" s="1"/>
      <c r="R25" s="3"/>
    </row>
    <row r="26" spans="1:18" ht="15.75">
      <c r="A26" s="1"/>
      <c r="B26" s="67">
        <v>900</v>
      </c>
      <c r="C26" s="79" t="s">
        <v>42</v>
      </c>
      <c r="D26" s="70">
        <v>900</v>
      </c>
      <c r="E26" s="71"/>
      <c r="F26" s="71"/>
      <c r="G26" s="34" t="s">
        <v>42</v>
      </c>
      <c r="H26" s="1"/>
      <c r="I26" s="190">
        <v>5</v>
      </c>
      <c r="J26" s="36" t="s">
        <v>427</v>
      </c>
      <c r="K26" s="280">
        <v>200</v>
      </c>
      <c r="L26" s="281"/>
      <c r="M26" s="1"/>
      <c r="R26" s="3"/>
    </row>
    <row r="27" spans="1:18" ht="15.75">
      <c r="A27" s="1"/>
      <c r="B27" s="68">
        <v>170</v>
      </c>
      <c r="C27" s="79" t="s">
        <v>44</v>
      </c>
      <c r="D27" s="70">
        <v>104.38</v>
      </c>
      <c r="E27" s="71"/>
      <c r="F27" s="71"/>
      <c r="G27" s="34" t="s">
        <v>44</v>
      </c>
      <c r="H27" s="1"/>
      <c r="I27" s="190"/>
      <c r="J27" s="36"/>
      <c r="K27" s="280"/>
      <c r="L27" s="281"/>
      <c r="M27" s="1"/>
      <c r="R27" s="3"/>
    </row>
    <row r="28" spans="1:18" ht="15.75">
      <c r="A28" s="1"/>
      <c r="B28" s="68">
        <v>40</v>
      </c>
      <c r="C28" s="79" t="s">
        <v>45</v>
      </c>
      <c r="D28" s="70">
        <v>96.94</v>
      </c>
      <c r="E28" s="71"/>
      <c r="F28" s="71"/>
      <c r="G28" s="34" t="s">
        <v>45</v>
      </c>
      <c r="H28" s="1"/>
      <c r="I28" s="190"/>
      <c r="J28" s="36"/>
      <c r="K28" s="280"/>
      <c r="L28" s="281"/>
      <c r="M28" s="1"/>
      <c r="R28" s="3"/>
    </row>
    <row r="29" spans="1:18" ht="15.75">
      <c r="A29" s="1"/>
      <c r="B29" s="68">
        <v>18</v>
      </c>
      <c r="C29" s="79" t="s">
        <v>41</v>
      </c>
      <c r="D29" s="70">
        <v>17.46</v>
      </c>
      <c r="E29" s="71"/>
      <c r="F29" s="71"/>
      <c r="G29" s="34" t="s">
        <v>41</v>
      </c>
      <c r="H29" s="1"/>
      <c r="I29" s="190"/>
      <c r="J29" s="36"/>
      <c r="K29" s="280"/>
      <c r="L29" s="281"/>
      <c r="M29" s="1"/>
      <c r="R29" s="3"/>
    </row>
    <row r="30" spans="1:18" ht="15.75">
      <c r="A30" s="1"/>
      <c r="B30" s="68"/>
      <c r="C30" s="79"/>
      <c r="D30" s="70"/>
      <c r="E30" s="71"/>
      <c r="F30" s="71"/>
      <c r="G30" s="34"/>
      <c r="H30" s="1"/>
      <c r="I30" s="190"/>
      <c r="J30" s="36"/>
      <c r="K30" s="280"/>
      <c r="L30" s="281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90"/>
      <c r="J31" s="36"/>
      <c r="K31" s="280"/>
      <c r="L31" s="281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90"/>
      <c r="J32" s="36"/>
      <c r="K32" s="280"/>
      <c r="L32" s="281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90"/>
      <c r="J33" s="36"/>
      <c r="K33" s="280"/>
      <c r="L33" s="281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90"/>
      <c r="J34" s="36"/>
      <c r="K34" s="280"/>
      <c r="L34" s="281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90"/>
      <c r="J35" s="36"/>
      <c r="K35" s="280"/>
      <c r="L35" s="281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90"/>
      <c r="J36" s="36"/>
      <c r="K36" s="280"/>
      <c r="L36" s="281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90"/>
      <c r="J37" s="36"/>
      <c r="K37" s="280"/>
      <c r="L37" s="281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191"/>
      <c r="J38" s="38"/>
      <c r="K38" s="282"/>
      <c r="L38" s="283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1128</v>
      </c>
      <c r="C40" s="35" t="s">
        <v>66</v>
      </c>
      <c r="D40" s="69">
        <f>SUM(D26:D39)</f>
        <v>1118.78</v>
      </c>
      <c r="E40" s="69">
        <f>SUM(E26:E39)</f>
        <v>0</v>
      </c>
      <c r="F40" s="69">
        <f>SUM(F26:F39)</f>
        <v>0</v>
      </c>
      <c r="G40" s="35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71" t="str">
        <f>'2018'!A22</f>
        <v>Comida+Limpieza</v>
      </c>
      <c r="C42" s="272"/>
      <c r="D42" s="272"/>
      <c r="E42" s="272"/>
      <c r="F42" s="272"/>
      <c r="G42" s="273"/>
      <c r="H42" s="1"/>
      <c r="M42" s="1"/>
      <c r="R42" s="3"/>
    </row>
    <row r="43" spans="1:18" ht="16.149999999999999" customHeight="1" thickBot="1">
      <c r="A43" s="1"/>
      <c r="B43" s="274"/>
      <c r="C43" s="275"/>
      <c r="D43" s="275"/>
      <c r="E43" s="275"/>
      <c r="F43" s="275"/>
      <c r="G43" s="276"/>
      <c r="H43" s="1"/>
      <c r="M43" s="1"/>
      <c r="R43" s="3"/>
    </row>
    <row r="44" spans="1:18" ht="15.75">
      <c r="A44" s="1"/>
      <c r="B44" s="279" t="s">
        <v>10</v>
      </c>
      <c r="C44" s="278"/>
      <c r="D44" s="277" t="s">
        <v>11</v>
      </c>
      <c r="E44" s="277"/>
      <c r="F44" s="277"/>
      <c r="G44" s="278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68</v>
      </c>
      <c r="E45" s="66" t="s">
        <v>69</v>
      </c>
      <c r="F45" s="66" t="s">
        <v>32</v>
      </c>
      <c r="G45" s="73" t="s">
        <v>394</v>
      </c>
      <c r="H45" s="1"/>
      <c r="M45" s="1"/>
      <c r="R45" s="3"/>
    </row>
    <row r="46" spans="1:18" ht="15.75">
      <c r="A46" s="1"/>
      <c r="B46" s="67">
        <v>450</v>
      </c>
      <c r="C46" s="37"/>
      <c r="D46" s="70">
        <f>62.36+5.24</f>
        <v>67.599999999999994</v>
      </c>
      <c r="E46" s="71"/>
      <c r="F46" s="71"/>
      <c r="G46" s="90" t="s">
        <v>398</v>
      </c>
      <c r="H46" s="1"/>
      <c r="M46" s="1"/>
      <c r="R46" s="3"/>
    </row>
    <row r="47" spans="1:18" ht="15.75">
      <c r="A47" s="1"/>
      <c r="B47" s="68">
        <v>28</v>
      </c>
      <c r="C47" s="34" t="s">
        <v>110</v>
      </c>
      <c r="D47" s="70">
        <f>61.31+15.03</f>
        <v>76.34</v>
      </c>
      <c r="E47" s="71"/>
      <c r="F47" s="71"/>
      <c r="G47" s="34" t="s">
        <v>407</v>
      </c>
      <c r="H47" s="1"/>
      <c r="M47" s="1"/>
      <c r="R47" s="3"/>
    </row>
    <row r="48" spans="1:18" ht="15.75">
      <c r="A48" s="1"/>
      <c r="B48" s="68"/>
      <c r="C48" s="34"/>
      <c r="D48" s="70">
        <f>17.55</f>
        <v>17.55</v>
      </c>
      <c r="E48" s="71"/>
      <c r="F48" s="71"/>
      <c r="G48" s="34" t="s">
        <v>399</v>
      </c>
      <c r="H48" s="1"/>
      <c r="M48" s="1"/>
      <c r="R48" s="3"/>
    </row>
    <row r="49" spans="1:18" ht="15.75">
      <c r="A49" s="1"/>
      <c r="B49" s="68"/>
      <c r="C49" s="34"/>
      <c r="D49" s="70">
        <f>44.91+25.05+22.11</f>
        <v>92.07</v>
      </c>
      <c r="E49" s="71"/>
      <c r="F49" s="71"/>
      <c r="G49" s="34" t="s">
        <v>449</v>
      </c>
      <c r="H49" s="1"/>
      <c r="M49" s="1"/>
      <c r="R49" s="3"/>
    </row>
    <row r="50" spans="1:18" ht="15.75">
      <c r="A50" s="1"/>
      <c r="B50" s="68"/>
      <c r="C50" s="34"/>
      <c r="D50" s="70">
        <f>17.96</f>
        <v>17.96</v>
      </c>
      <c r="E50" s="71"/>
      <c r="F50" s="71"/>
      <c r="G50" s="34" t="s">
        <v>403</v>
      </c>
      <c r="H50" s="1"/>
      <c r="M50" s="1"/>
      <c r="R50" s="3"/>
    </row>
    <row r="51" spans="1:18" ht="15.75">
      <c r="A51" s="1"/>
      <c r="B51" s="68"/>
      <c r="C51" s="34"/>
      <c r="D51" s="70">
        <v>97.8</v>
      </c>
      <c r="E51" s="71"/>
      <c r="F51" s="71"/>
      <c r="G51" s="34" t="s">
        <v>404</v>
      </c>
      <c r="H51" s="1"/>
      <c r="M51" s="1"/>
      <c r="R51" s="3"/>
    </row>
    <row r="52" spans="1:18" ht="15.75">
      <c r="A52" s="1"/>
      <c r="B52" s="68"/>
      <c r="C52" s="34"/>
      <c r="D52" s="70">
        <f>7.88</f>
        <v>7.88</v>
      </c>
      <c r="E52" s="71"/>
      <c r="F52" s="71"/>
      <c r="G52" s="34" t="s">
        <v>406</v>
      </c>
      <c r="H52" s="1"/>
      <c r="M52" s="1"/>
      <c r="R52" s="3"/>
    </row>
    <row r="53" spans="1:18" ht="15.75">
      <c r="A53" s="1"/>
      <c r="B53" s="68"/>
      <c r="C53" s="34"/>
      <c r="D53" s="70">
        <v>42.68</v>
      </c>
      <c r="E53" s="71"/>
      <c r="F53" s="71"/>
      <c r="G53" s="34" t="s">
        <v>418</v>
      </c>
      <c r="H53" s="1"/>
      <c r="M53" s="1"/>
      <c r="R53" s="3"/>
    </row>
    <row r="54" spans="1:18" ht="15.75">
      <c r="A54" s="1"/>
      <c r="B54" s="68"/>
      <c r="C54" s="34"/>
      <c r="D54" s="70">
        <v>6.5</v>
      </c>
      <c r="E54" s="71"/>
      <c r="F54" s="71"/>
      <c r="G54" s="34" t="s">
        <v>424</v>
      </c>
      <c r="H54" s="1"/>
      <c r="M54" s="1"/>
      <c r="R54" s="3"/>
    </row>
    <row r="55" spans="1:18" ht="15.75">
      <c r="A55" s="1"/>
      <c r="B55" s="68"/>
      <c r="C55" s="34"/>
      <c r="D55" s="70">
        <f>53.42-D327</f>
        <v>44.42</v>
      </c>
      <c r="E55" s="71"/>
      <c r="F55" s="71"/>
      <c r="G55" s="34" t="s">
        <v>426</v>
      </c>
      <c r="H55" s="1"/>
      <c r="M55" s="1"/>
      <c r="R55" s="3"/>
    </row>
    <row r="56" spans="1:18" ht="15.75">
      <c r="A56" s="1"/>
      <c r="B56" s="68"/>
      <c r="C56" s="34"/>
      <c r="D56" s="70">
        <f>39.35+23.77+5.21-9</f>
        <v>59.33</v>
      </c>
      <c r="E56" s="71"/>
      <c r="F56" s="71"/>
      <c r="G56" s="34" t="s">
        <v>431</v>
      </c>
      <c r="H56" s="1"/>
      <c r="M56" s="1"/>
      <c r="R56" s="3"/>
    </row>
    <row r="57" spans="1:18" ht="15.75">
      <c r="A57" s="1"/>
      <c r="B57" s="68"/>
      <c r="C57" s="34"/>
      <c r="D57" s="70">
        <v>1.98</v>
      </c>
      <c r="E57" s="71"/>
      <c r="F57" s="71"/>
      <c r="G57" s="34" t="s">
        <v>439</v>
      </c>
      <c r="H57" s="1"/>
      <c r="M57" s="1"/>
      <c r="R57" s="3"/>
    </row>
    <row r="58" spans="1:18" ht="15.75">
      <c r="A58" s="1"/>
      <c r="B58" s="68"/>
      <c r="C58" s="34"/>
      <c r="D58" s="70">
        <v>6.98</v>
      </c>
      <c r="E58" s="71"/>
      <c r="F58" s="71"/>
      <c r="G58" s="34" t="s">
        <v>444</v>
      </c>
      <c r="H58" s="1"/>
      <c r="M58" s="1"/>
      <c r="R58" s="3"/>
    </row>
    <row r="59" spans="1:18" ht="16.5" thickBot="1">
      <c r="A59" s="1"/>
      <c r="B59" s="69"/>
      <c r="C59" s="35"/>
      <c r="D59" s="69">
        <v>14.98</v>
      </c>
      <c r="E59" s="72"/>
      <c r="F59" s="72"/>
      <c r="G59" s="35" t="s">
        <v>445</v>
      </c>
      <c r="H59" s="1"/>
      <c r="M59" s="1"/>
      <c r="R59" s="3"/>
    </row>
    <row r="60" spans="1:18" ht="16.5" thickBot="1">
      <c r="A60" s="1"/>
      <c r="B60" s="69">
        <f>SUM(B46:B59)</f>
        <v>478</v>
      </c>
      <c r="C60" s="35" t="s">
        <v>66</v>
      </c>
      <c r="D60" s="69">
        <f>SUM(D46:D59)</f>
        <v>554.07000000000005</v>
      </c>
      <c r="E60" s="69">
        <f>SUM(E46:E59)</f>
        <v>0</v>
      </c>
      <c r="F60" s="69">
        <f>SUM(F46:F59)</f>
        <v>0</v>
      </c>
      <c r="G60" s="35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71" t="str">
        <f>'2018'!A23</f>
        <v>Ocio</v>
      </c>
      <c r="C62" s="272"/>
      <c r="D62" s="272"/>
      <c r="E62" s="272"/>
      <c r="F62" s="272"/>
      <c r="G62" s="273"/>
      <c r="H62" s="1"/>
      <c r="M62" s="1"/>
      <c r="R62" s="3"/>
    </row>
    <row r="63" spans="1:18" ht="16.149999999999999" customHeight="1" thickBot="1">
      <c r="A63" s="1"/>
      <c r="B63" s="274"/>
      <c r="C63" s="275"/>
      <c r="D63" s="275"/>
      <c r="E63" s="275"/>
      <c r="F63" s="275"/>
      <c r="G63" s="276"/>
      <c r="H63" s="1"/>
      <c r="M63" s="1"/>
      <c r="R63" s="3"/>
    </row>
    <row r="64" spans="1:18" ht="15.75">
      <c r="A64" s="1"/>
      <c r="B64" s="279" t="s">
        <v>10</v>
      </c>
      <c r="C64" s="278"/>
      <c r="D64" s="277" t="s">
        <v>11</v>
      </c>
      <c r="E64" s="277"/>
      <c r="F64" s="277"/>
      <c r="G64" s="278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68</v>
      </c>
      <c r="E65" s="66" t="s">
        <v>69</v>
      </c>
      <c r="F65" s="66" t="s">
        <v>32</v>
      </c>
      <c r="G65" s="73" t="s">
        <v>394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>
        <v>30.5</v>
      </c>
      <c r="E66" s="71"/>
      <c r="F66" s="71"/>
      <c r="G66" s="37" t="s">
        <v>397</v>
      </c>
      <c r="H66" s="1"/>
      <c r="M66" s="1"/>
      <c r="R66" s="3"/>
    </row>
    <row r="67" spans="1:18" ht="15.75">
      <c r="A67" s="1"/>
      <c r="B67" s="68"/>
      <c r="C67" s="34"/>
      <c r="D67" s="70">
        <v>35.67</v>
      </c>
      <c r="E67" s="71"/>
      <c r="F67" s="71"/>
      <c r="G67" s="91" t="s">
        <v>417</v>
      </c>
      <c r="H67" s="1"/>
      <c r="M67" s="1"/>
      <c r="R67" s="3"/>
    </row>
    <row r="68" spans="1:18" ht="15.75">
      <c r="A68" s="1"/>
      <c r="B68" s="68"/>
      <c r="C68" s="34"/>
      <c r="D68" s="70"/>
      <c r="E68" s="71"/>
      <c r="F68" s="71">
        <v>18.8</v>
      </c>
      <c r="G68" s="34" t="s">
        <v>422</v>
      </c>
      <c r="H68" s="1"/>
      <c r="M68" s="1"/>
      <c r="R68" s="3"/>
    </row>
    <row r="69" spans="1:18" ht="15.75">
      <c r="A69" s="1"/>
      <c r="B69" s="68"/>
      <c r="C69" s="34"/>
      <c r="D69" s="70"/>
      <c r="E69" s="71"/>
      <c r="F69" s="71">
        <f>4.7</f>
        <v>4.7</v>
      </c>
      <c r="G69" s="34" t="s">
        <v>423</v>
      </c>
      <c r="H69" s="1"/>
      <c r="M69" s="1"/>
      <c r="R69" s="3"/>
    </row>
    <row r="70" spans="1:18" ht="15.75">
      <c r="A70" s="1"/>
      <c r="B70" s="68"/>
      <c r="C70" s="34"/>
      <c r="D70" s="70">
        <f>49.2</f>
        <v>49.2</v>
      </c>
      <c r="E70" s="71"/>
      <c r="F70" s="71"/>
      <c r="G70" s="34" t="s">
        <v>429</v>
      </c>
      <c r="H70" s="1"/>
      <c r="M70" s="1"/>
      <c r="R70" s="3"/>
    </row>
    <row r="71" spans="1:18" ht="15.75">
      <c r="A71" s="1"/>
      <c r="B71" s="68"/>
      <c r="C71" s="34"/>
      <c r="D71" s="70">
        <v>18.5</v>
      </c>
      <c r="E71" s="71"/>
      <c r="F71" s="71">
        <v>1</v>
      </c>
      <c r="G71" s="34" t="s">
        <v>436</v>
      </c>
      <c r="H71" s="1"/>
      <c r="M71" s="1"/>
      <c r="R71" s="3"/>
    </row>
    <row r="72" spans="1:18" ht="15.75">
      <c r="A72" s="1"/>
      <c r="B72" s="68"/>
      <c r="C72" s="34"/>
      <c r="D72" s="70">
        <f>59.5</f>
        <v>59.5</v>
      </c>
      <c r="E72" s="71"/>
      <c r="F72" s="71"/>
      <c r="G72" s="34" t="s">
        <v>435</v>
      </c>
      <c r="H72" s="1"/>
      <c r="M72" s="1"/>
      <c r="R72" s="3"/>
    </row>
    <row r="73" spans="1:18" ht="15.75">
      <c r="A73" s="1"/>
      <c r="B73" s="68"/>
      <c r="C73" s="34"/>
      <c r="D73" s="70">
        <v>8.6999999999999993</v>
      </c>
      <c r="E73" s="71"/>
      <c r="F73" s="71"/>
      <c r="G73" s="34" t="s">
        <v>446</v>
      </c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150</v>
      </c>
      <c r="C80" s="35" t="s">
        <v>66</v>
      </c>
      <c r="D80" s="69">
        <f>SUM(D66:D79)</f>
        <v>202.07</v>
      </c>
      <c r="E80" s="69">
        <f>SUM(E66:E79)</f>
        <v>0</v>
      </c>
      <c r="F80" s="69">
        <f>SUM(F66:F79)</f>
        <v>24.5</v>
      </c>
      <c r="G80" s="35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71" t="str">
        <f>'2018'!A24</f>
        <v>Transportes</v>
      </c>
      <c r="C82" s="272"/>
      <c r="D82" s="272"/>
      <c r="E82" s="272"/>
      <c r="F82" s="272"/>
      <c r="G82" s="273"/>
      <c r="H82" s="1"/>
      <c r="M82" s="1"/>
      <c r="R82" s="3"/>
    </row>
    <row r="83" spans="1:18" ht="16.149999999999999" customHeight="1" thickBot="1">
      <c r="A83" s="1"/>
      <c r="B83" s="274"/>
      <c r="C83" s="275"/>
      <c r="D83" s="275"/>
      <c r="E83" s="275"/>
      <c r="F83" s="275"/>
      <c r="G83" s="276"/>
      <c r="H83" s="1"/>
      <c r="M83" s="1"/>
      <c r="R83" s="3"/>
    </row>
    <row r="84" spans="1:18" ht="15.75">
      <c r="A84" s="1"/>
      <c r="B84" s="279" t="s">
        <v>10</v>
      </c>
      <c r="C84" s="278"/>
      <c r="D84" s="277" t="s">
        <v>11</v>
      </c>
      <c r="E84" s="277"/>
      <c r="F84" s="277"/>
      <c r="G84" s="278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68</v>
      </c>
      <c r="E85" s="66" t="s">
        <v>69</v>
      </c>
      <c r="F85" s="66" t="s">
        <v>32</v>
      </c>
      <c r="G85" s="73" t="s">
        <v>394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>
        <v>56.7</v>
      </c>
      <c r="E86" s="71"/>
      <c r="F86" s="71"/>
      <c r="G86" s="34" t="s">
        <v>410</v>
      </c>
      <c r="H86" s="1"/>
      <c r="M86" s="1"/>
      <c r="R86" s="3"/>
    </row>
    <row r="87" spans="1:18" ht="15.75">
      <c r="A87" s="1"/>
      <c r="B87" s="68"/>
      <c r="C87" s="34"/>
      <c r="D87" s="70">
        <v>46.77</v>
      </c>
      <c r="E87" s="71"/>
      <c r="F87" s="71"/>
      <c r="G87" s="34" t="s">
        <v>430</v>
      </c>
      <c r="H87" s="1"/>
      <c r="M87" s="1"/>
      <c r="R87" s="3"/>
    </row>
    <row r="88" spans="1:18" ht="15.75">
      <c r="A88" s="1"/>
      <c r="B88" s="68"/>
      <c r="C88" s="34"/>
      <c r="D88" s="70">
        <v>2</v>
      </c>
      <c r="E88" s="71"/>
      <c r="F88" s="71"/>
      <c r="G88" s="34" t="s">
        <v>438</v>
      </c>
      <c r="H88" s="1"/>
      <c r="M88" s="1"/>
      <c r="R88" s="3"/>
    </row>
    <row r="89" spans="1:18" ht="15.75">
      <c r="A89" s="1"/>
      <c r="B89" s="68"/>
      <c r="C89" s="34"/>
      <c r="D89" s="70">
        <v>46.57</v>
      </c>
      <c r="E89" s="71"/>
      <c r="F89" s="71"/>
      <c r="G89" s="34" t="s">
        <v>451</v>
      </c>
      <c r="H89" s="1"/>
      <c r="M89" s="1"/>
      <c r="R89" s="3"/>
    </row>
    <row r="90" spans="1:18" ht="15.75">
      <c r="A90" s="1"/>
      <c r="B90" s="68"/>
      <c r="C90" s="34"/>
      <c r="D90" s="70"/>
      <c r="E90" s="71"/>
      <c r="F90" s="71"/>
      <c r="G90" s="34"/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66</v>
      </c>
      <c r="D100" s="69">
        <f>SUM(D86:D99)</f>
        <v>152.04</v>
      </c>
      <c r="E100" s="69">
        <f>SUM(E86:E99)</f>
        <v>0</v>
      </c>
      <c r="F100" s="69">
        <f>SUM(F86:F99)</f>
        <v>0</v>
      </c>
      <c r="G100" s="35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71" t="str">
        <f>'2018'!A25</f>
        <v>Coche</v>
      </c>
      <c r="C102" s="272"/>
      <c r="D102" s="272"/>
      <c r="E102" s="272"/>
      <c r="F102" s="272"/>
      <c r="G102" s="273"/>
      <c r="H102" s="1"/>
      <c r="M102" s="1"/>
      <c r="R102" s="3"/>
    </row>
    <row r="103" spans="1:18" ht="16.149999999999999" customHeight="1" thickBot="1">
      <c r="A103" s="1"/>
      <c r="B103" s="274"/>
      <c r="C103" s="275"/>
      <c r="D103" s="275"/>
      <c r="E103" s="275"/>
      <c r="F103" s="275"/>
      <c r="G103" s="276"/>
      <c r="H103" s="1"/>
      <c r="M103" s="1"/>
      <c r="R103" s="3"/>
    </row>
    <row r="104" spans="1:18" ht="15.75">
      <c r="A104" s="1"/>
      <c r="B104" s="279" t="s">
        <v>10</v>
      </c>
      <c r="C104" s="278"/>
      <c r="D104" s="277" t="s">
        <v>11</v>
      </c>
      <c r="E104" s="277"/>
      <c r="F104" s="277"/>
      <c r="G104" s="278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68</v>
      </c>
      <c r="E105" s="66" t="s">
        <v>69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67">
        <v>260</v>
      </c>
      <c r="C106" s="36" t="s">
        <v>55</v>
      </c>
      <c r="D106" s="70">
        <v>258.47000000000003</v>
      </c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68">
        <v>71</v>
      </c>
      <c r="C107" s="36" t="s">
        <v>56</v>
      </c>
      <c r="D107" s="70">
        <v>70.349999999999994</v>
      </c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68">
        <v>69</v>
      </c>
      <c r="C108" s="36" t="s">
        <v>46</v>
      </c>
      <c r="D108" s="70"/>
      <c r="E108" s="71"/>
      <c r="F108" s="71"/>
      <c r="G108" s="94" t="s">
        <v>88</v>
      </c>
      <c r="H108" s="1"/>
      <c r="M108" s="1"/>
      <c r="R108" s="3"/>
    </row>
    <row r="109" spans="1:18" ht="15.75">
      <c r="A109" s="1"/>
      <c r="B109" s="68"/>
      <c r="C109" s="36"/>
      <c r="D109" s="70"/>
      <c r="E109" s="71"/>
      <c r="F109" s="71"/>
      <c r="G109" s="91"/>
      <c r="H109" s="1"/>
      <c r="M109" s="1"/>
      <c r="R109" s="3"/>
    </row>
    <row r="110" spans="1:18" ht="15.75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68"/>
      <c r="C111" s="79"/>
      <c r="D111" s="70"/>
      <c r="E111" s="71"/>
      <c r="F111" s="71"/>
      <c r="G111" s="94"/>
      <c r="H111" s="1"/>
      <c r="M111" s="1"/>
      <c r="R111" s="3"/>
    </row>
    <row r="112" spans="1:18" ht="15.75">
      <c r="A112" s="1"/>
      <c r="B112" s="68"/>
      <c r="C112" s="92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68"/>
      <c r="C113" s="93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68"/>
      <c r="C114" s="92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66</v>
      </c>
      <c r="D120" s="69">
        <f>SUM(D106:D119)</f>
        <v>328.82000000000005</v>
      </c>
      <c r="E120" s="69">
        <f>SUM(E106:E119)</f>
        <v>0</v>
      </c>
      <c r="F120" s="69">
        <f>SUM(F106:F119)</f>
        <v>0</v>
      </c>
      <c r="G120" s="35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71" t="str">
        <f>'2018'!A26</f>
        <v>Teléfono</v>
      </c>
      <c r="C122" s="272"/>
      <c r="D122" s="272"/>
      <c r="E122" s="272"/>
      <c r="F122" s="272"/>
      <c r="G122" s="273"/>
      <c r="H122" s="1"/>
      <c r="M122" s="1"/>
      <c r="R122" s="3"/>
    </row>
    <row r="123" spans="1:18" ht="16.149999999999999" customHeight="1" thickBot="1">
      <c r="A123" s="1"/>
      <c r="B123" s="274"/>
      <c r="C123" s="275"/>
      <c r="D123" s="275"/>
      <c r="E123" s="275"/>
      <c r="F123" s="275"/>
      <c r="G123" s="276"/>
      <c r="H123" s="1"/>
      <c r="M123" s="1"/>
      <c r="R123" s="3"/>
    </row>
    <row r="124" spans="1:18" ht="15.75">
      <c r="A124" s="1"/>
      <c r="B124" s="279" t="s">
        <v>10</v>
      </c>
      <c r="C124" s="278"/>
      <c r="D124" s="277" t="s">
        <v>11</v>
      </c>
      <c r="E124" s="277"/>
      <c r="F124" s="277"/>
      <c r="G124" s="278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68</v>
      </c>
      <c r="E125" s="66" t="s">
        <v>69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>
        <v>27.5</v>
      </c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v>12.5</v>
      </c>
      <c r="C127" s="34" t="s">
        <v>58</v>
      </c>
      <c r="D127" s="70">
        <v>15</v>
      </c>
      <c r="E127" s="71"/>
      <c r="F127" s="71"/>
      <c r="G127" s="34" t="s">
        <v>199</v>
      </c>
      <c r="H127" s="1"/>
      <c r="M127" s="1"/>
      <c r="R127" s="3"/>
    </row>
    <row r="128" spans="1:18" ht="15.75">
      <c r="A128" s="1"/>
      <c r="B128" s="68">
        <v>8</v>
      </c>
      <c r="C128" s="34" t="s">
        <v>338</v>
      </c>
      <c r="D128" s="70">
        <v>10</v>
      </c>
      <c r="E128" s="71"/>
      <c r="F128" s="71"/>
      <c r="G128" s="34" t="s">
        <v>220</v>
      </c>
      <c r="H128" s="1"/>
      <c r="M128" s="1"/>
      <c r="R128" s="3"/>
    </row>
    <row r="129" spans="1:18" ht="15.75">
      <c r="A129" s="1"/>
      <c r="B129" s="68"/>
      <c r="C129" s="34"/>
      <c r="D129" s="70"/>
      <c r="E129" s="71">
        <v>7.99</v>
      </c>
      <c r="F129" s="71"/>
      <c r="G129" s="34" t="s">
        <v>338</v>
      </c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48</v>
      </c>
      <c r="C140" s="35" t="s">
        <v>66</v>
      </c>
      <c r="D140" s="69">
        <f>SUM(D126:D139)</f>
        <v>52.5</v>
      </c>
      <c r="E140" s="69">
        <f>SUM(E126:E139)</f>
        <v>7.99</v>
      </c>
      <c r="F140" s="69">
        <f>SUM(F126:F139)</f>
        <v>0</v>
      </c>
      <c r="G140" s="35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71" t="str">
        <f>'2018'!A27</f>
        <v>Gatos</v>
      </c>
      <c r="C142" s="272"/>
      <c r="D142" s="272"/>
      <c r="E142" s="272"/>
      <c r="F142" s="272"/>
      <c r="G142" s="273"/>
      <c r="H142" s="1"/>
      <c r="M142" s="1"/>
      <c r="R142" s="3"/>
    </row>
    <row r="143" spans="1:18" ht="16.149999999999999" customHeight="1" thickBot="1">
      <c r="A143" s="1"/>
      <c r="B143" s="274"/>
      <c r="C143" s="275"/>
      <c r="D143" s="275"/>
      <c r="E143" s="275"/>
      <c r="F143" s="275"/>
      <c r="G143" s="276"/>
      <c r="H143" s="1"/>
      <c r="M143" s="1"/>
      <c r="R143" s="3"/>
    </row>
    <row r="144" spans="1:18" ht="15.75">
      <c r="A144" s="1"/>
      <c r="B144" s="279" t="s">
        <v>10</v>
      </c>
      <c r="C144" s="278"/>
      <c r="D144" s="277" t="s">
        <v>11</v>
      </c>
      <c r="E144" s="277"/>
      <c r="F144" s="277"/>
      <c r="G144" s="278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68</v>
      </c>
      <c r="E145" s="66" t="s">
        <v>69</v>
      </c>
      <c r="F145" s="66" t="s">
        <v>32</v>
      </c>
      <c r="G145" s="73" t="s">
        <v>394</v>
      </c>
      <c r="H145" s="1"/>
      <c r="M145" s="1"/>
      <c r="R145" s="3"/>
    </row>
    <row r="146" spans="1:22" ht="15.75">
      <c r="A146" s="1"/>
      <c r="B146" s="67">
        <v>50</v>
      </c>
      <c r="C146" s="37" t="s">
        <v>43</v>
      </c>
      <c r="D146" s="70">
        <v>31.56</v>
      </c>
      <c r="E146" s="71"/>
      <c r="F146" s="71"/>
      <c r="G146" s="34" t="s">
        <v>401</v>
      </c>
      <c r="H146" s="1"/>
      <c r="M146" s="1"/>
      <c r="R146" s="3"/>
    </row>
    <row r="147" spans="1:22" ht="15.75">
      <c r="A147" s="1"/>
      <c r="B147" s="68"/>
      <c r="C147" s="34"/>
      <c r="D147" s="70"/>
      <c r="E147" s="71"/>
      <c r="F147" s="71"/>
      <c r="G147" s="34"/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/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50</v>
      </c>
      <c r="C160" s="35" t="s">
        <v>66</v>
      </c>
      <c r="D160" s="69">
        <f>SUM(D146:D159)</f>
        <v>31.56</v>
      </c>
      <c r="E160" s="69">
        <f>SUM(E146:E159)</f>
        <v>0</v>
      </c>
      <c r="F160" s="69">
        <f>SUM(F146:F159)</f>
        <v>0</v>
      </c>
      <c r="G160" s="35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71" t="str">
        <f>'2018'!A28</f>
        <v>Vacaciones</v>
      </c>
      <c r="C162" s="272"/>
      <c r="D162" s="272"/>
      <c r="E162" s="272"/>
      <c r="F162" s="272"/>
      <c r="G162" s="273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74"/>
      <c r="C163" s="275"/>
      <c r="D163" s="275"/>
      <c r="E163" s="275"/>
      <c r="F163" s="275"/>
      <c r="G163" s="27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79" t="s">
        <v>10</v>
      </c>
      <c r="C164" s="278"/>
      <c r="D164" s="277" t="s">
        <v>11</v>
      </c>
      <c r="E164" s="277"/>
      <c r="F164" s="277"/>
      <c r="G164" s="27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68</v>
      </c>
      <c r="E165" s="66" t="s">
        <v>69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>
        <v>318.27999999999997</v>
      </c>
      <c r="E166" s="71"/>
      <c r="F166" s="71"/>
      <c r="G166" s="34" t="s">
        <v>411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/>
      <c r="C167" s="34"/>
      <c r="D167" s="70"/>
      <c r="E167" s="71"/>
      <c r="F167" s="71"/>
      <c r="G167" s="3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/>
      <c r="G168" s="3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200</v>
      </c>
      <c r="C180" s="35" t="s">
        <v>66</v>
      </c>
      <c r="D180" s="69">
        <f>SUM(D166:D179)</f>
        <v>318.27999999999997</v>
      </c>
      <c r="E180" s="69">
        <f>SUM(E166:E179)</f>
        <v>0</v>
      </c>
      <c r="F180" s="69">
        <f>SUM(F166:F179)</f>
        <v>0</v>
      </c>
      <c r="G180" s="35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71" t="str">
        <f>'2018'!A29</f>
        <v>Ropa</v>
      </c>
      <c r="C182" s="272"/>
      <c r="D182" s="272"/>
      <c r="E182" s="272"/>
      <c r="F182" s="272"/>
      <c r="G182" s="273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74"/>
      <c r="C183" s="275"/>
      <c r="D183" s="275"/>
      <c r="E183" s="275"/>
      <c r="F183" s="275"/>
      <c r="G183" s="27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79" t="s">
        <v>10</v>
      </c>
      <c r="C184" s="278"/>
      <c r="D184" s="277" t="s">
        <v>11</v>
      </c>
      <c r="E184" s="277"/>
      <c r="F184" s="277"/>
      <c r="G184" s="27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68</v>
      </c>
      <c r="E185" s="66" t="s">
        <v>69</v>
      </c>
      <c r="F185" s="66" t="s">
        <v>32</v>
      </c>
      <c r="G185" s="73" t="s">
        <v>394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60</v>
      </c>
      <c r="C186" s="37" t="s">
        <v>43</v>
      </c>
      <c r="D186" s="70">
        <v>9.99</v>
      </c>
      <c r="E186" s="71"/>
      <c r="F186" s="71"/>
      <c r="G186" s="34" t="s">
        <v>400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/>
      <c r="E187" s="71"/>
      <c r="F187" s="71">
        <v>5</v>
      </c>
      <c r="G187" s="34" t="s">
        <v>447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/>
      <c r="E188" s="71"/>
      <c r="F188" s="71"/>
      <c r="G188" s="34"/>
    </row>
    <row r="189" spans="1:22">
      <c r="B189" s="68"/>
      <c r="C189" s="34"/>
      <c r="D189" s="70"/>
      <c r="E189" s="71"/>
      <c r="F189" s="71"/>
      <c r="G189" s="34"/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60</v>
      </c>
      <c r="C200" s="35" t="s">
        <v>66</v>
      </c>
      <c r="D200" s="69">
        <f>SUM(D186:D199)</f>
        <v>9.99</v>
      </c>
      <c r="E200" s="69">
        <f>SUM(E186:E199)</f>
        <v>0</v>
      </c>
      <c r="F200" s="69">
        <f>SUM(F186:F199)</f>
        <v>5</v>
      </c>
      <c r="G200" s="35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71" t="str">
        <f>'2018'!A30</f>
        <v>Belleza</v>
      </c>
      <c r="C202" s="272"/>
      <c r="D202" s="272"/>
      <c r="E202" s="272"/>
      <c r="F202" s="272"/>
      <c r="G202" s="273"/>
    </row>
    <row r="203" spans="2:7" ht="15" customHeight="1" thickBot="1">
      <c r="B203" s="274"/>
      <c r="C203" s="275"/>
      <c r="D203" s="275"/>
      <c r="E203" s="275"/>
      <c r="F203" s="275"/>
      <c r="G203" s="276"/>
    </row>
    <row r="204" spans="2:7">
      <c r="B204" s="279" t="s">
        <v>10</v>
      </c>
      <c r="C204" s="278"/>
      <c r="D204" s="277" t="s">
        <v>11</v>
      </c>
      <c r="E204" s="277"/>
      <c r="F204" s="277"/>
      <c r="G204" s="278"/>
    </row>
    <row r="205" spans="2:7">
      <c r="B205" s="65" t="s">
        <v>32</v>
      </c>
      <c r="C205" s="73" t="s">
        <v>33</v>
      </c>
      <c r="D205" s="65" t="s">
        <v>68</v>
      </c>
      <c r="E205" s="66" t="s">
        <v>69</v>
      </c>
      <c r="F205" s="66" t="s">
        <v>32</v>
      </c>
      <c r="G205" s="73" t="s">
        <v>394</v>
      </c>
    </row>
    <row r="206" spans="2:7">
      <c r="B206" s="67">
        <v>35</v>
      </c>
      <c r="C206" s="37"/>
      <c r="D206" s="70">
        <v>35.869999999999997</v>
      </c>
      <c r="E206" s="71"/>
      <c r="F206" s="71"/>
      <c r="G206" s="34" t="s">
        <v>419</v>
      </c>
    </row>
    <row r="207" spans="2:7">
      <c r="B207" s="68"/>
      <c r="C207" s="34"/>
      <c r="D207" s="70">
        <v>9</v>
      </c>
      <c r="E207" s="71"/>
      <c r="F207" s="71"/>
      <c r="G207" s="34" t="s">
        <v>443</v>
      </c>
    </row>
    <row r="208" spans="2:7">
      <c r="B208" s="68"/>
      <c r="C208" s="34"/>
      <c r="D208" s="70"/>
      <c r="E208" s="71"/>
      <c r="F208" s="71"/>
      <c r="G208" s="34"/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66</v>
      </c>
      <c r="D220" s="69">
        <f>SUM(D206:D219)</f>
        <v>44.87</v>
      </c>
      <c r="E220" s="69">
        <f>SUM(E206:E219)</f>
        <v>0</v>
      </c>
      <c r="F220" s="69">
        <f>SUM(F206:F219)</f>
        <v>0</v>
      </c>
      <c r="G220" s="35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71" t="str">
        <f>'2018'!A31</f>
        <v>Deportes</v>
      </c>
      <c r="C222" s="272"/>
      <c r="D222" s="272"/>
      <c r="E222" s="272"/>
      <c r="F222" s="272"/>
      <c r="G222" s="273"/>
    </row>
    <row r="223" spans="2:7" ht="15" customHeight="1" thickBot="1">
      <c r="B223" s="274"/>
      <c r="C223" s="275"/>
      <c r="D223" s="275"/>
      <c r="E223" s="275"/>
      <c r="F223" s="275"/>
      <c r="G223" s="276"/>
    </row>
    <row r="224" spans="2:7">
      <c r="B224" s="279" t="s">
        <v>10</v>
      </c>
      <c r="C224" s="278"/>
      <c r="D224" s="277" t="s">
        <v>11</v>
      </c>
      <c r="E224" s="277"/>
      <c r="F224" s="277"/>
      <c r="G224" s="278"/>
    </row>
    <row r="225" spans="2:7">
      <c r="B225" s="65" t="s">
        <v>32</v>
      </c>
      <c r="C225" s="73" t="s">
        <v>33</v>
      </c>
      <c r="D225" s="65" t="s">
        <v>68</v>
      </c>
      <c r="E225" s="66" t="s">
        <v>69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>
        <v>20</v>
      </c>
      <c r="E226" s="71"/>
      <c r="F226" s="71"/>
      <c r="G226" s="71" t="s">
        <v>50</v>
      </c>
    </row>
    <row r="227" spans="2:7">
      <c r="B227" s="68">
        <v>65</v>
      </c>
      <c r="C227" s="34" t="s">
        <v>102</v>
      </c>
      <c r="D227" s="70"/>
      <c r="E227" s="71"/>
      <c r="F227" s="71">
        <v>195</v>
      </c>
      <c r="G227" s="34" t="s">
        <v>102</v>
      </c>
    </row>
    <row r="228" spans="2:7">
      <c r="B228" s="68">
        <v>5</v>
      </c>
      <c r="C228" s="34" t="s">
        <v>46</v>
      </c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90</v>
      </c>
      <c r="C240" s="35" t="s">
        <v>66</v>
      </c>
      <c r="D240" s="69">
        <f>SUM(D226:D239)</f>
        <v>20</v>
      </c>
      <c r="E240" s="69">
        <f>SUM(E226:E239)</f>
        <v>0</v>
      </c>
      <c r="F240" s="69">
        <f>SUM(F226:F239)</f>
        <v>195</v>
      </c>
      <c r="G240" s="35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71" t="str">
        <f>'2018'!A32</f>
        <v>Hogar</v>
      </c>
      <c r="C242" s="272"/>
      <c r="D242" s="272"/>
      <c r="E242" s="272"/>
      <c r="F242" s="272"/>
      <c r="G242" s="273"/>
    </row>
    <row r="243" spans="2:7" ht="15" customHeight="1" thickBot="1">
      <c r="B243" s="274"/>
      <c r="C243" s="275"/>
      <c r="D243" s="275"/>
      <c r="E243" s="275"/>
      <c r="F243" s="275"/>
      <c r="G243" s="276"/>
    </row>
    <row r="244" spans="2:7" ht="15" customHeight="1">
      <c r="B244" s="279" t="s">
        <v>10</v>
      </c>
      <c r="C244" s="278"/>
      <c r="D244" s="277" t="s">
        <v>11</v>
      </c>
      <c r="E244" s="277"/>
      <c r="F244" s="277"/>
      <c r="G244" s="278"/>
    </row>
    <row r="245" spans="2:7" ht="15" customHeight="1">
      <c r="B245" s="65" t="s">
        <v>32</v>
      </c>
      <c r="C245" s="73" t="s">
        <v>33</v>
      </c>
      <c r="D245" s="65" t="s">
        <v>68</v>
      </c>
      <c r="E245" s="66" t="s">
        <v>69</v>
      </c>
      <c r="F245" s="66" t="s">
        <v>32</v>
      </c>
      <c r="G245" s="73" t="s">
        <v>394</v>
      </c>
    </row>
    <row r="246" spans="2:7" ht="15" customHeight="1">
      <c r="B246" s="68">
        <v>80</v>
      </c>
      <c r="C246" s="79"/>
      <c r="D246" s="70">
        <f>1.99+0.39</f>
        <v>2.38</v>
      </c>
      <c r="E246" s="71"/>
      <c r="F246" s="71"/>
      <c r="G246" s="34" t="s">
        <v>439</v>
      </c>
    </row>
    <row r="247" spans="2:7" ht="15" customHeight="1">
      <c r="B247" s="68"/>
      <c r="C247" s="34"/>
      <c r="D247" s="70"/>
      <c r="E247" s="71"/>
      <c r="F247" s="71"/>
      <c r="G247" s="34"/>
    </row>
    <row r="248" spans="2:7">
      <c r="B248" s="68"/>
      <c r="C248" s="34"/>
      <c r="D248" s="70"/>
      <c r="E248" s="71"/>
      <c r="F248" s="71"/>
      <c r="G248" s="34"/>
    </row>
    <row r="249" spans="2:7">
      <c r="B249" s="68"/>
      <c r="C249" s="34"/>
      <c r="D249" s="70"/>
      <c r="E249" s="71"/>
      <c r="F249" s="71"/>
      <c r="G249" s="34"/>
    </row>
    <row r="250" spans="2:7">
      <c r="B250" s="68"/>
      <c r="C250" s="34"/>
      <c r="D250" s="70"/>
      <c r="E250" s="71"/>
      <c r="F250" s="71"/>
      <c r="G250" s="34"/>
    </row>
    <row r="251" spans="2:7">
      <c r="B251" s="68"/>
      <c r="C251" s="34"/>
      <c r="D251" s="70"/>
      <c r="E251" s="71"/>
      <c r="F251" s="71"/>
      <c r="G251" s="34"/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80</v>
      </c>
      <c r="C260" s="35" t="s">
        <v>66</v>
      </c>
      <c r="D260" s="69">
        <f>SUM(D246:D259)</f>
        <v>2.38</v>
      </c>
      <c r="E260" s="69">
        <f>SUM(E246:E259)</f>
        <v>0</v>
      </c>
      <c r="F260" s="69">
        <f>SUM(F246:F259)</f>
        <v>0</v>
      </c>
      <c r="G260" s="35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71" t="str">
        <f>'2018'!A33</f>
        <v>Formación</v>
      </c>
      <c r="C262" s="272"/>
      <c r="D262" s="272"/>
      <c r="E262" s="272"/>
      <c r="F262" s="272"/>
      <c r="G262" s="273"/>
    </row>
    <row r="263" spans="2:7" ht="15" customHeight="1" thickBot="1">
      <c r="B263" s="274"/>
      <c r="C263" s="275"/>
      <c r="D263" s="275"/>
      <c r="E263" s="275"/>
      <c r="F263" s="275"/>
      <c r="G263" s="276"/>
    </row>
    <row r="264" spans="2:7">
      <c r="B264" s="279" t="s">
        <v>10</v>
      </c>
      <c r="C264" s="278"/>
      <c r="D264" s="277" t="s">
        <v>11</v>
      </c>
      <c r="E264" s="277"/>
      <c r="F264" s="277"/>
      <c r="G264" s="278"/>
    </row>
    <row r="265" spans="2:7">
      <c r="B265" s="65" t="s">
        <v>32</v>
      </c>
      <c r="C265" s="73" t="s">
        <v>33</v>
      </c>
      <c r="D265" s="65" t="s">
        <v>68</v>
      </c>
      <c r="E265" s="66" t="s">
        <v>69</v>
      </c>
      <c r="F265" s="66" t="s">
        <v>32</v>
      </c>
      <c r="G265" s="73" t="s">
        <v>33</v>
      </c>
    </row>
    <row r="266" spans="2:7">
      <c r="B266" s="67">
        <v>10</v>
      </c>
      <c r="C266" s="37"/>
      <c r="D266" s="70"/>
      <c r="E266" s="71"/>
      <c r="F266" s="71"/>
      <c r="G266" s="34"/>
    </row>
    <row r="267" spans="2:7">
      <c r="B267" s="68"/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7">
      <c r="B273" s="68"/>
      <c r="C273" s="34"/>
      <c r="D273" s="70"/>
      <c r="E273" s="71"/>
      <c r="F273" s="71"/>
      <c r="G273" s="34"/>
    </row>
    <row r="274" spans="2:7">
      <c r="B274" s="68"/>
      <c r="C274" s="34"/>
      <c r="D274" s="70"/>
      <c r="E274" s="71"/>
      <c r="F274" s="71"/>
      <c r="G274" s="34"/>
    </row>
    <row r="275" spans="2:7">
      <c r="B275" s="68"/>
      <c r="C275" s="34"/>
      <c r="D275" s="70"/>
      <c r="E275" s="71"/>
      <c r="F275" s="71"/>
      <c r="G275" s="34"/>
    </row>
    <row r="276" spans="2:7">
      <c r="B276" s="68"/>
      <c r="C276" s="34"/>
      <c r="D276" s="70"/>
      <c r="E276" s="71"/>
      <c r="F276" s="71"/>
      <c r="G276" s="34"/>
    </row>
    <row r="277" spans="2:7">
      <c r="B277" s="68"/>
      <c r="C277" s="34"/>
      <c r="D277" s="70"/>
      <c r="E277" s="71"/>
      <c r="F277" s="71"/>
      <c r="G277" s="34"/>
    </row>
    <row r="278" spans="2:7">
      <c r="B278" s="68"/>
      <c r="C278" s="34"/>
      <c r="D278" s="70"/>
      <c r="E278" s="71"/>
      <c r="F278" s="71"/>
      <c r="G278" s="34"/>
    </row>
    <row r="279" spans="2:7" ht="15.75" thickBot="1">
      <c r="B279" s="69"/>
      <c r="C279" s="35"/>
      <c r="D279" s="69"/>
      <c r="E279" s="72"/>
      <c r="F279" s="72"/>
      <c r="G279" s="35"/>
    </row>
    <row r="280" spans="2:7" ht="15.75" thickBot="1">
      <c r="B280" s="69">
        <f>SUM(B266:B279)</f>
        <v>10</v>
      </c>
      <c r="C280" s="35" t="s">
        <v>66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271" t="str">
        <f>'2018'!A34</f>
        <v>Regalos</v>
      </c>
      <c r="C282" s="272"/>
      <c r="D282" s="272"/>
      <c r="E282" s="272"/>
      <c r="F282" s="272"/>
      <c r="G282" s="273"/>
    </row>
    <row r="283" spans="2:7" ht="15" customHeight="1" thickBot="1">
      <c r="B283" s="274"/>
      <c r="C283" s="275"/>
      <c r="D283" s="275"/>
      <c r="E283" s="275"/>
      <c r="F283" s="275"/>
      <c r="G283" s="276"/>
    </row>
    <row r="284" spans="2:7">
      <c r="B284" s="279" t="s">
        <v>10</v>
      </c>
      <c r="C284" s="278"/>
      <c r="D284" s="277" t="s">
        <v>11</v>
      </c>
      <c r="E284" s="277"/>
      <c r="F284" s="277"/>
      <c r="G284" s="278"/>
    </row>
    <row r="285" spans="2:7">
      <c r="B285" s="65" t="s">
        <v>32</v>
      </c>
      <c r="C285" s="73" t="s">
        <v>33</v>
      </c>
      <c r="D285" s="65" t="s">
        <v>68</v>
      </c>
      <c r="E285" s="66" t="s">
        <v>69</v>
      </c>
      <c r="F285" s="66" t="s">
        <v>32</v>
      </c>
      <c r="G285" s="73" t="s">
        <v>394</v>
      </c>
    </row>
    <row r="286" spans="2:7">
      <c r="B286" s="67">
        <v>150</v>
      </c>
      <c r="C286" s="37" t="s">
        <v>36</v>
      </c>
      <c r="D286" s="70"/>
      <c r="E286" s="71">
        <v>60</v>
      </c>
      <c r="F286" s="71"/>
      <c r="G286" s="34" t="s">
        <v>425</v>
      </c>
    </row>
    <row r="287" spans="2:7">
      <c r="B287" s="68"/>
      <c r="C287" s="34"/>
      <c r="D287" s="70"/>
      <c r="E287" s="71"/>
      <c r="F287" s="71">
        <f>11+20</f>
        <v>31</v>
      </c>
      <c r="G287" s="34" t="s">
        <v>428</v>
      </c>
    </row>
    <row r="288" spans="2:7">
      <c r="B288" s="68"/>
      <c r="C288" s="34"/>
      <c r="D288" s="70">
        <f>20.45</f>
        <v>20.45</v>
      </c>
      <c r="E288" s="71"/>
      <c r="F288" s="71"/>
      <c r="G288" s="34" t="s">
        <v>434</v>
      </c>
    </row>
    <row r="289" spans="2:7">
      <c r="B289" s="68"/>
      <c r="C289" s="34"/>
      <c r="D289" s="70">
        <v>36.700000000000003</v>
      </c>
      <c r="E289" s="71"/>
      <c r="F289" s="71"/>
      <c r="G289" s="34" t="s">
        <v>437</v>
      </c>
    </row>
    <row r="290" spans="2:7">
      <c r="B290" s="68"/>
      <c r="C290" s="34"/>
      <c r="D290" s="70">
        <v>6.95</v>
      </c>
      <c r="E290" s="71"/>
      <c r="F290" s="71"/>
      <c r="G290" s="34" t="s">
        <v>450</v>
      </c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150</v>
      </c>
      <c r="C300" s="35" t="s">
        <v>66</v>
      </c>
      <c r="D300" s="69">
        <f>SUM(D286:D299)</f>
        <v>64.100000000000009</v>
      </c>
      <c r="E300" s="69">
        <f>SUM(E286:E299)</f>
        <v>60</v>
      </c>
      <c r="F300" s="69">
        <f>SUM(F286:F299)</f>
        <v>31</v>
      </c>
      <c r="G300" s="35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71" t="str">
        <f>'2018'!A35</f>
        <v>Salud</v>
      </c>
      <c r="C302" s="272"/>
      <c r="D302" s="272"/>
      <c r="E302" s="272"/>
      <c r="F302" s="272"/>
      <c r="G302" s="273"/>
    </row>
    <row r="303" spans="2:7" ht="15" customHeight="1" thickBot="1">
      <c r="B303" s="274"/>
      <c r="C303" s="275"/>
      <c r="D303" s="275"/>
      <c r="E303" s="275"/>
      <c r="F303" s="275"/>
      <c r="G303" s="276"/>
    </row>
    <row r="304" spans="2:7">
      <c r="B304" s="279" t="s">
        <v>10</v>
      </c>
      <c r="C304" s="278"/>
      <c r="D304" s="277" t="s">
        <v>11</v>
      </c>
      <c r="E304" s="277"/>
      <c r="F304" s="277"/>
      <c r="G304" s="278"/>
    </row>
    <row r="305" spans="2:7">
      <c r="B305" s="65" t="s">
        <v>32</v>
      </c>
      <c r="C305" s="73" t="s">
        <v>33</v>
      </c>
      <c r="D305" s="65" t="s">
        <v>68</v>
      </c>
      <c r="E305" s="66" t="s">
        <v>69</v>
      </c>
      <c r="F305" s="66" t="s">
        <v>32</v>
      </c>
      <c r="G305" s="73" t="s">
        <v>394</v>
      </c>
    </row>
    <row r="306" spans="2:7">
      <c r="B306" s="67">
        <v>100</v>
      </c>
      <c r="C306" s="37" t="s">
        <v>60</v>
      </c>
      <c r="D306" s="70">
        <v>65.819999999999993</v>
      </c>
      <c r="E306" s="71"/>
      <c r="F306" s="71"/>
      <c r="G306" s="34" t="s">
        <v>402</v>
      </c>
    </row>
    <row r="307" spans="2:7">
      <c r="B307" s="119"/>
      <c r="C307" s="79"/>
      <c r="D307" s="70">
        <v>94</v>
      </c>
      <c r="E307" s="71"/>
      <c r="F307" s="71"/>
      <c r="G307" s="34" t="s">
        <v>408</v>
      </c>
    </row>
    <row r="308" spans="2:7">
      <c r="B308" s="119"/>
      <c r="C308" s="79"/>
      <c r="D308" s="70">
        <v>4.4000000000000004</v>
      </c>
      <c r="E308" s="71"/>
      <c r="F308" s="71"/>
      <c r="G308" s="34" t="s">
        <v>421</v>
      </c>
    </row>
    <row r="309" spans="2:7">
      <c r="B309" s="68"/>
      <c r="C309" s="34"/>
      <c r="D309" s="70"/>
      <c r="E309" s="71"/>
      <c r="F309" s="71"/>
      <c r="G309" s="34"/>
    </row>
    <row r="310" spans="2:7">
      <c r="B310" s="68"/>
      <c r="C310" s="34"/>
      <c r="D310" s="70"/>
      <c r="E310" s="71"/>
      <c r="F310" s="71"/>
      <c r="G310" s="34"/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66</v>
      </c>
      <c r="D320" s="69">
        <f>SUM(D306:D319)</f>
        <v>164.22</v>
      </c>
      <c r="E320" s="69">
        <f>SUM(E306:E319)</f>
        <v>0</v>
      </c>
      <c r="F320" s="69">
        <f>SUM(F306:F319)</f>
        <v>0</v>
      </c>
      <c r="G320" s="35" t="s">
        <v>66</v>
      </c>
    </row>
    <row r="321" spans="2:7" ht="15.75" thickBot="1"/>
    <row r="322" spans="2:7" ht="14.45" customHeight="1">
      <c r="B322" s="271" t="str">
        <f>'2018'!A36</f>
        <v>Martina</v>
      </c>
      <c r="C322" s="272"/>
      <c r="D322" s="272"/>
      <c r="E322" s="272"/>
      <c r="F322" s="272"/>
      <c r="G322" s="273"/>
    </row>
    <row r="323" spans="2:7" ht="15" customHeight="1" thickBot="1">
      <c r="B323" s="274"/>
      <c r="C323" s="275"/>
      <c r="D323" s="275"/>
      <c r="E323" s="275"/>
      <c r="F323" s="275"/>
      <c r="G323" s="276"/>
    </row>
    <row r="324" spans="2:7">
      <c r="B324" s="279" t="s">
        <v>10</v>
      </c>
      <c r="C324" s="278"/>
      <c r="D324" s="277" t="s">
        <v>11</v>
      </c>
      <c r="E324" s="277"/>
      <c r="F324" s="277"/>
      <c r="G324" s="278"/>
    </row>
    <row r="325" spans="2:7">
      <c r="B325" s="65" t="s">
        <v>32</v>
      </c>
      <c r="C325" s="73" t="s">
        <v>33</v>
      </c>
      <c r="D325" s="65" t="s">
        <v>68</v>
      </c>
      <c r="E325" s="66" t="s">
        <v>69</v>
      </c>
      <c r="F325" s="66" t="s">
        <v>32</v>
      </c>
      <c r="G325" s="73" t="s">
        <v>394</v>
      </c>
    </row>
    <row r="326" spans="2:7">
      <c r="B326" s="67">
        <v>10</v>
      </c>
      <c r="C326" s="37"/>
      <c r="D326" s="70">
        <v>80</v>
      </c>
      <c r="E326" s="71"/>
      <c r="F326" s="71"/>
      <c r="G326" s="34" t="s">
        <v>409</v>
      </c>
    </row>
    <row r="327" spans="2:7">
      <c r="B327" s="68"/>
      <c r="C327" s="34"/>
      <c r="D327" s="70">
        <v>9</v>
      </c>
      <c r="E327" s="71"/>
      <c r="F327" s="71"/>
      <c r="G327" s="34" t="s">
        <v>426</v>
      </c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10</v>
      </c>
      <c r="C340" s="35" t="s">
        <v>66</v>
      </c>
      <c r="D340" s="69">
        <f>SUM(D326:D339)</f>
        <v>89</v>
      </c>
      <c r="E340" s="69">
        <f>SUM(E326:E339)</f>
        <v>0</v>
      </c>
      <c r="F340" s="69">
        <f>SUM(F326:F339)</f>
        <v>0</v>
      </c>
      <c r="G340" s="35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71" t="str">
        <f>'2018'!A37</f>
        <v>Impuestos</v>
      </c>
      <c r="C342" s="272"/>
      <c r="D342" s="272"/>
      <c r="E342" s="272"/>
      <c r="F342" s="272"/>
      <c r="G342" s="273"/>
    </row>
    <row r="343" spans="2:7" ht="15" customHeight="1" thickBot="1">
      <c r="B343" s="274"/>
      <c r="C343" s="275"/>
      <c r="D343" s="275"/>
      <c r="E343" s="275"/>
      <c r="F343" s="275"/>
      <c r="G343" s="276"/>
    </row>
    <row r="344" spans="2:7">
      <c r="B344" s="279" t="s">
        <v>10</v>
      </c>
      <c r="C344" s="278"/>
      <c r="D344" s="277" t="s">
        <v>11</v>
      </c>
      <c r="E344" s="277"/>
      <c r="F344" s="277"/>
      <c r="G344" s="278"/>
    </row>
    <row r="345" spans="2:7">
      <c r="B345" s="65" t="s">
        <v>32</v>
      </c>
      <c r="C345" s="73" t="s">
        <v>33</v>
      </c>
      <c r="D345" s="65" t="s">
        <v>68</v>
      </c>
      <c r="E345" s="66" t="s">
        <v>69</v>
      </c>
      <c r="F345" s="66" t="s">
        <v>32</v>
      </c>
      <c r="G345" s="73" t="s">
        <v>394</v>
      </c>
    </row>
    <row r="346" spans="2:7">
      <c r="B346" s="67">
        <v>30</v>
      </c>
      <c r="C346" s="37" t="s">
        <v>119</v>
      </c>
      <c r="D346" s="70"/>
      <c r="E346" s="71"/>
      <c r="F346" s="71"/>
      <c r="G346" s="34"/>
    </row>
    <row r="347" spans="2:7">
      <c r="B347" s="68"/>
      <c r="C347" s="34"/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30</v>
      </c>
      <c r="C360" s="35" t="s">
        <v>66</v>
      </c>
      <c r="D360" s="69">
        <f>SUM(D346:D359)</f>
        <v>0</v>
      </c>
      <c r="E360" s="69">
        <f>SUM(E346:E359)</f>
        <v>0</v>
      </c>
      <c r="F360" s="69">
        <f>SUM(F346:F359)</f>
        <v>0</v>
      </c>
      <c r="G360" s="35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71" t="str">
        <f>'2018'!A38</f>
        <v>Gastos Curros</v>
      </c>
      <c r="C362" s="272"/>
      <c r="D362" s="272"/>
      <c r="E362" s="272"/>
      <c r="F362" s="272"/>
      <c r="G362" s="273"/>
    </row>
    <row r="363" spans="2:7" ht="15" customHeight="1" thickBot="1">
      <c r="B363" s="274"/>
      <c r="C363" s="275"/>
      <c r="D363" s="275"/>
      <c r="E363" s="275"/>
      <c r="F363" s="275"/>
      <c r="G363" s="276"/>
    </row>
    <row r="364" spans="2:7">
      <c r="B364" s="279" t="s">
        <v>10</v>
      </c>
      <c r="C364" s="278"/>
      <c r="D364" s="277" t="s">
        <v>11</v>
      </c>
      <c r="E364" s="277"/>
      <c r="F364" s="277"/>
      <c r="G364" s="278"/>
    </row>
    <row r="365" spans="2:7">
      <c r="B365" s="65" t="s">
        <v>32</v>
      </c>
      <c r="C365" s="73" t="s">
        <v>33</v>
      </c>
      <c r="D365" s="65" t="s">
        <v>68</v>
      </c>
      <c r="E365" s="66" t="s">
        <v>69</v>
      </c>
      <c r="F365" s="66" t="s">
        <v>32</v>
      </c>
      <c r="G365" s="73" t="s">
        <v>394</v>
      </c>
    </row>
    <row r="366" spans="2:7">
      <c r="B366" s="67">
        <v>100</v>
      </c>
      <c r="C366" s="37" t="s">
        <v>36</v>
      </c>
      <c r="D366" s="70"/>
      <c r="E366" s="71"/>
      <c r="F366" s="71">
        <f>3.4+3.8+4+3.4+3.4+4.45+4+3.4+3.2+5.05+3.4</f>
        <v>41.499999999999993</v>
      </c>
      <c r="G366" s="91" t="s">
        <v>396</v>
      </c>
    </row>
    <row r="367" spans="2:7">
      <c r="B367" s="68"/>
      <c r="C367" s="34"/>
      <c r="D367" s="70">
        <v>6.5</v>
      </c>
      <c r="E367" s="71"/>
      <c r="F367" s="71"/>
      <c r="G367" s="91" t="s">
        <v>420</v>
      </c>
    </row>
    <row r="368" spans="2:7">
      <c r="B368" s="68"/>
      <c r="C368" s="34"/>
      <c r="D368" s="70">
        <f>3</f>
        <v>3</v>
      </c>
      <c r="E368" s="71"/>
      <c r="F368" s="71"/>
      <c r="G368" s="34" t="s">
        <v>439</v>
      </c>
    </row>
    <row r="369" spans="2:7">
      <c r="B369" s="68"/>
      <c r="C369" s="34"/>
      <c r="D369" s="70">
        <v>36.450000000000003</v>
      </c>
      <c r="E369" s="71"/>
      <c r="F369" s="71"/>
      <c r="G369" s="34" t="s">
        <v>440</v>
      </c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100</v>
      </c>
      <c r="C380" s="35" t="s">
        <v>66</v>
      </c>
      <c r="D380" s="69">
        <f>SUM(D366:D379)</f>
        <v>45.95</v>
      </c>
      <c r="E380" s="69">
        <f>SUM(E366:E379)</f>
        <v>0</v>
      </c>
      <c r="F380" s="69">
        <f>SUM(F366:F379)</f>
        <v>41.499999999999993</v>
      </c>
      <c r="G380" s="35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71" t="str">
        <f>'2018'!A39</f>
        <v>Dreamed Holidays</v>
      </c>
      <c r="C382" s="272"/>
      <c r="D382" s="272"/>
      <c r="E382" s="272"/>
      <c r="F382" s="272"/>
      <c r="G382" s="273"/>
    </row>
    <row r="383" spans="2:7" ht="15" customHeight="1" thickBot="1">
      <c r="B383" s="274"/>
      <c r="C383" s="275"/>
      <c r="D383" s="275"/>
      <c r="E383" s="275"/>
      <c r="F383" s="275"/>
      <c r="G383" s="276"/>
    </row>
    <row r="384" spans="2:7">
      <c r="B384" s="279" t="s">
        <v>10</v>
      </c>
      <c r="C384" s="278"/>
      <c r="D384" s="277" t="s">
        <v>11</v>
      </c>
      <c r="E384" s="277"/>
      <c r="F384" s="277"/>
      <c r="G384" s="278"/>
    </row>
    <row r="385" spans="2:7">
      <c r="B385" s="65" t="s">
        <v>32</v>
      </c>
      <c r="C385" s="73" t="s">
        <v>33</v>
      </c>
      <c r="D385" s="65" t="s">
        <v>68</v>
      </c>
      <c r="E385" s="66" t="s">
        <v>69</v>
      </c>
      <c r="F385" s="66" t="s">
        <v>32</v>
      </c>
      <c r="G385" s="73" t="s">
        <v>33</v>
      </c>
    </row>
    <row r="386" spans="2:7">
      <c r="B386" s="67">
        <v>10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10</v>
      </c>
      <c r="C400" s="35" t="s">
        <v>66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71" t="str">
        <f>'2018'!A40</f>
        <v>Financieros</v>
      </c>
      <c r="C402" s="272"/>
      <c r="D402" s="272"/>
      <c r="E402" s="272"/>
      <c r="F402" s="272"/>
      <c r="G402" s="273"/>
    </row>
    <row r="403" spans="2:7" ht="15" customHeight="1" thickBot="1">
      <c r="B403" s="274"/>
      <c r="C403" s="275"/>
      <c r="D403" s="275"/>
      <c r="E403" s="275"/>
      <c r="F403" s="275"/>
      <c r="G403" s="276"/>
    </row>
    <row r="404" spans="2:7">
      <c r="B404" s="279" t="s">
        <v>10</v>
      </c>
      <c r="C404" s="278"/>
      <c r="D404" s="277" t="s">
        <v>11</v>
      </c>
      <c r="E404" s="277"/>
      <c r="F404" s="277"/>
      <c r="G404" s="278"/>
    </row>
    <row r="405" spans="2:7">
      <c r="B405" s="65" t="s">
        <v>32</v>
      </c>
      <c r="C405" s="73" t="s">
        <v>33</v>
      </c>
      <c r="D405" s="65" t="s">
        <v>68</v>
      </c>
      <c r="E405" s="66" t="s">
        <v>69</v>
      </c>
      <c r="F405" s="66" t="s">
        <v>32</v>
      </c>
      <c r="G405" s="73" t="s">
        <v>33</v>
      </c>
    </row>
    <row r="406" spans="2:7">
      <c r="B406" s="67"/>
      <c r="C406" s="37"/>
      <c r="D406" s="70"/>
      <c r="E406" s="71"/>
      <c r="F406" s="71"/>
      <c r="G406" s="34"/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0</v>
      </c>
      <c r="C420" s="35" t="s">
        <v>66</v>
      </c>
      <c r="D420" s="69">
        <f>SUM(D406:D419)</f>
        <v>0</v>
      </c>
      <c r="E420" s="69">
        <f>SUM(E406:E419)</f>
        <v>0</v>
      </c>
      <c r="F420" s="69">
        <f>SUM(F406:F419)</f>
        <v>0</v>
      </c>
      <c r="G420" s="35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71" t="str">
        <f>'2018'!A41</f>
        <v>Ahorros Colchón</v>
      </c>
      <c r="C422" s="289"/>
      <c r="D422" s="289"/>
      <c r="E422" s="289"/>
      <c r="F422" s="289"/>
      <c r="G422" s="290"/>
    </row>
    <row r="423" spans="2:7" ht="15" customHeight="1" thickBot="1">
      <c r="B423" s="291"/>
      <c r="C423" s="292"/>
      <c r="D423" s="292"/>
      <c r="E423" s="292"/>
      <c r="F423" s="292"/>
      <c r="G423" s="293"/>
    </row>
    <row r="424" spans="2:7">
      <c r="B424" s="279" t="s">
        <v>10</v>
      </c>
      <c r="C424" s="278"/>
      <c r="D424" s="277" t="s">
        <v>11</v>
      </c>
      <c r="E424" s="277"/>
      <c r="F424" s="277"/>
      <c r="G424" s="278"/>
    </row>
    <row r="425" spans="2:7">
      <c r="B425" s="65" t="s">
        <v>32</v>
      </c>
      <c r="C425" s="73" t="s">
        <v>33</v>
      </c>
      <c r="D425" s="65" t="s">
        <v>68</v>
      </c>
      <c r="E425" s="66" t="s">
        <v>69</v>
      </c>
      <c r="F425" s="66" t="s">
        <v>32</v>
      </c>
      <c r="G425" s="73" t="s">
        <v>33</v>
      </c>
    </row>
    <row r="426" spans="2:7">
      <c r="B426" s="67">
        <f>-4001.34+'2018'!W17</f>
        <v>1436.9700000000003</v>
      </c>
      <c r="C426" s="37" t="s">
        <v>460</v>
      </c>
      <c r="D426" s="70"/>
      <c r="E426" s="71"/>
      <c r="F426" s="71"/>
      <c r="G426" s="34"/>
    </row>
    <row r="427" spans="2:7">
      <c r="B427" s="68"/>
      <c r="C427" s="34"/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1436.9700000000003</v>
      </c>
      <c r="C440" s="35" t="s">
        <v>66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71" t="str">
        <f>'2018'!A42</f>
        <v>Dinero Bloqueado</v>
      </c>
      <c r="C442" s="289"/>
      <c r="D442" s="289"/>
      <c r="E442" s="289"/>
      <c r="F442" s="289"/>
      <c r="G442" s="290"/>
    </row>
    <row r="443" spans="2:7" ht="15" customHeight="1" thickBot="1">
      <c r="B443" s="291"/>
      <c r="C443" s="292"/>
      <c r="D443" s="292"/>
      <c r="E443" s="292"/>
      <c r="F443" s="292"/>
      <c r="G443" s="293"/>
    </row>
    <row r="444" spans="2:7">
      <c r="B444" s="279" t="s">
        <v>10</v>
      </c>
      <c r="C444" s="278"/>
      <c r="D444" s="277" t="s">
        <v>11</v>
      </c>
      <c r="E444" s="277"/>
      <c r="F444" s="277"/>
      <c r="G444" s="278"/>
    </row>
    <row r="445" spans="2:7">
      <c r="B445" s="65" t="s">
        <v>32</v>
      </c>
      <c r="C445" s="73" t="s">
        <v>33</v>
      </c>
      <c r="D445" s="65" t="s">
        <v>68</v>
      </c>
      <c r="E445" s="66" t="s">
        <v>69</v>
      </c>
      <c r="F445" s="66" t="s">
        <v>32</v>
      </c>
      <c r="G445" s="73" t="s">
        <v>33</v>
      </c>
    </row>
    <row r="446" spans="2:7">
      <c r="B446" s="67"/>
      <c r="C446" s="37"/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0</v>
      </c>
      <c r="C460" s="35" t="s">
        <v>66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71" t="str">
        <f>'2018'!A43</f>
        <v>Cartama Finanazas</v>
      </c>
      <c r="C462" s="289"/>
      <c r="D462" s="289"/>
      <c r="E462" s="289"/>
      <c r="F462" s="289"/>
      <c r="G462" s="290"/>
    </row>
    <row r="463" spans="2:7" ht="15" customHeight="1" thickBot="1">
      <c r="B463" s="291"/>
      <c r="C463" s="292"/>
      <c r="D463" s="292"/>
      <c r="E463" s="292"/>
      <c r="F463" s="292"/>
      <c r="G463" s="293"/>
    </row>
    <row r="464" spans="2:7">
      <c r="B464" s="279" t="s">
        <v>10</v>
      </c>
      <c r="C464" s="278"/>
      <c r="D464" s="277" t="s">
        <v>11</v>
      </c>
      <c r="E464" s="277"/>
      <c r="F464" s="277"/>
      <c r="G464" s="278"/>
    </row>
    <row r="465" spans="2:7">
      <c r="B465" s="65" t="s">
        <v>32</v>
      </c>
      <c r="C465" s="73" t="s">
        <v>33</v>
      </c>
      <c r="D465" s="65" t="s">
        <v>68</v>
      </c>
      <c r="E465" s="66" t="s">
        <v>69</v>
      </c>
      <c r="F465" s="66" t="s">
        <v>32</v>
      </c>
      <c r="G465" s="73" t="s">
        <v>33</v>
      </c>
    </row>
    <row r="466" spans="2:7">
      <c r="B466" s="67"/>
      <c r="C466" s="37"/>
      <c r="D466" s="70"/>
      <c r="E466" s="71"/>
      <c r="F466" s="71"/>
      <c r="G466" s="34"/>
    </row>
    <row r="467" spans="2:7">
      <c r="B467" s="68"/>
      <c r="C467" s="34"/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0</v>
      </c>
      <c r="C480" s="35" t="s">
        <v>66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66</v>
      </c>
    </row>
    <row r="481" spans="2:7" ht="15.75" thickBot="1"/>
    <row r="482" spans="2:7" ht="14.45" customHeight="1">
      <c r="B482" s="271" t="str">
        <f>'2018'!A44</f>
        <v>NULO</v>
      </c>
      <c r="C482" s="289"/>
      <c r="D482" s="289"/>
      <c r="E482" s="289"/>
      <c r="F482" s="289"/>
      <c r="G482" s="290"/>
    </row>
    <row r="483" spans="2:7" ht="15" customHeight="1" thickBot="1">
      <c r="B483" s="291"/>
      <c r="C483" s="292"/>
      <c r="D483" s="292"/>
      <c r="E483" s="292"/>
      <c r="F483" s="292"/>
      <c r="G483" s="293"/>
    </row>
    <row r="484" spans="2:7">
      <c r="B484" s="279" t="s">
        <v>10</v>
      </c>
      <c r="C484" s="278"/>
      <c r="D484" s="277" t="s">
        <v>11</v>
      </c>
      <c r="E484" s="277"/>
      <c r="F484" s="277"/>
      <c r="G484" s="278"/>
    </row>
    <row r="485" spans="2:7">
      <c r="B485" s="65" t="s">
        <v>32</v>
      </c>
      <c r="C485" s="73" t="s">
        <v>33</v>
      </c>
      <c r="D485" s="65" t="s">
        <v>68</v>
      </c>
      <c r="E485" s="66" t="s">
        <v>69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66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71" t="str">
        <f>'2018'!A45</f>
        <v>OTROS</v>
      </c>
      <c r="C502" s="289"/>
      <c r="D502" s="289"/>
      <c r="E502" s="289"/>
      <c r="F502" s="289"/>
      <c r="G502" s="290"/>
    </row>
    <row r="503" spans="2:7" ht="15" customHeight="1" thickBot="1">
      <c r="B503" s="291"/>
      <c r="C503" s="292"/>
      <c r="D503" s="292"/>
      <c r="E503" s="292"/>
      <c r="F503" s="292"/>
      <c r="G503" s="293"/>
    </row>
    <row r="504" spans="2:7">
      <c r="B504" s="279" t="s">
        <v>10</v>
      </c>
      <c r="C504" s="278"/>
      <c r="D504" s="277" t="s">
        <v>11</v>
      </c>
      <c r="E504" s="277"/>
      <c r="F504" s="277"/>
      <c r="G504" s="278"/>
    </row>
    <row r="505" spans="2:7">
      <c r="B505" s="65" t="s">
        <v>32</v>
      </c>
      <c r="C505" s="73" t="s">
        <v>33</v>
      </c>
      <c r="D505" s="65" t="s">
        <v>68</v>
      </c>
      <c r="E505" s="66" t="s">
        <v>69</v>
      </c>
      <c r="F505" s="66" t="s">
        <v>32</v>
      </c>
      <c r="G505" s="73" t="s">
        <v>33</v>
      </c>
    </row>
    <row r="506" spans="2:7">
      <c r="B506" s="67"/>
      <c r="C506" s="37"/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>
        <f>SUM(B506:B519)</f>
        <v>0</v>
      </c>
      <c r="C520" s="35" t="s">
        <v>66</v>
      </c>
      <c r="D520" s="69">
        <f>SUM(D506:D519)</f>
        <v>0</v>
      </c>
      <c r="E520" s="69">
        <f>SUM(E506:E519)</f>
        <v>0</v>
      </c>
      <c r="F520" s="69">
        <f>SUM(F506:F519)</f>
        <v>0</v>
      </c>
      <c r="G520" s="35" t="s">
        <v>66</v>
      </c>
    </row>
  </sheetData>
  <mergeCells count="111"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600-000000000000}"/>
    <hyperlink ref="I2:L3" location="'2018'!W4:Z4" display="SALDO REAL" xr:uid="{00000000-0004-0000-0600-000001000000}"/>
    <hyperlink ref="I22" location="Trimestre!C39:F40" display="TELÉFONO" xr:uid="{00000000-0004-0000-0600-000002000000}"/>
    <hyperlink ref="I22:L23" location="'2018'!W7:Z7" display="INGRESOS" xr:uid="{00000000-0004-0000-0600-000003000000}"/>
    <hyperlink ref="B2" location="Trimestre!C25:F26" display="HIPOTECA" xr:uid="{00000000-0004-0000-0600-000004000000}"/>
    <hyperlink ref="B2:G3" location="'2018'!W20:Z20" display="'2018'!W20:Z20" xr:uid="{00000000-0004-0000-0600-000005000000}"/>
    <hyperlink ref="B22" location="Trimestre!C25:F26" display="HIPOTECA" xr:uid="{00000000-0004-0000-0600-000006000000}"/>
    <hyperlink ref="B22:G23" location="'2018'!W21:Z21" display="'2018'!W21:Z21" xr:uid="{00000000-0004-0000-0600-000007000000}"/>
    <hyperlink ref="B42" location="Trimestre!C25:F26" display="HIPOTECA" xr:uid="{00000000-0004-0000-0600-000008000000}"/>
    <hyperlink ref="B42:G43" location="'2018'!W22:Z22" display="'2018'!W22:Z22" xr:uid="{00000000-0004-0000-0600-000009000000}"/>
    <hyperlink ref="B62" location="Trimestre!C25:F26" display="HIPOTECA" xr:uid="{00000000-0004-0000-0600-00000A000000}"/>
    <hyperlink ref="B62:G63" location="'2018'!W23:Z23" display="'2018'!W23:Z23" xr:uid="{00000000-0004-0000-0600-00000B000000}"/>
    <hyperlink ref="B82" location="Trimestre!C25:F26" display="HIPOTECA" xr:uid="{00000000-0004-0000-0600-00000C000000}"/>
    <hyperlink ref="B82:G83" location="'2018'!W24:Z24" display="'2018'!W24:Z24" xr:uid="{00000000-0004-0000-0600-00000D000000}"/>
    <hyperlink ref="B102" location="Trimestre!C25:F26" display="HIPOTECA" xr:uid="{00000000-0004-0000-0600-00000E000000}"/>
    <hyperlink ref="B102:G103" location="'2018'!W25:Z25" display="'2018'!W25:Z25" xr:uid="{00000000-0004-0000-0600-00000F000000}"/>
    <hyperlink ref="B122" location="Trimestre!C25:F26" display="HIPOTECA" xr:uid="{00000000-0004-0000-0600-000010000000}"/>
    <hyperlink ref="B122:G123" location="'2018'!W26:Z26" display="'2018'!W26:Z26" xr:uid="{00000000-0004-0000-0600-000011000000}"/>
    <hyperlink ref="B142" location="Trimestre!C25:F26" display="HIPOTECA" xr:uid="{00000000-0004-0000-0600-000012000000}"/>
    <hyperlink ref="B142:G143" location="'2018'!W27:Z27" display="'2018'!W27:Z27" xr:uid="{00000000-0004-0000-0600-000013000000}"/>
    <hyperlink ref="B162" location="Trimestre!C25:F26" display="HIPOTECA" xr:uid="{00000000-0004-0000-0600-000014000000}"/>
    <hyperlink ref="B162:G163" location="'2018'!W28:Z28" display="'2018'!W28:Z28" xr:uid="{00000000-0004-0000-0600-000015000000}"/>
    <hyperlink ref="B182" location="Trimestre!C25:F26" display="HIPOTECA" xr:uid="{00000000-0004-0000-0600-000016000000}"/>
    <hyperlink ref="B182:G183" location="'2018'!W29:Z29" display="'2018'!W29:Z29" xr:uid="{00000000-0004-0000-0600-000017000000}"/>
    <hyperlink ref="B202" location="Trimestre!C25:F26" display="HIPOTECA" xr:uid="{00000000-0004-0000-0600-000018000000}"/>
    <hyperlink ref="B202:G203" location="'2018'!W30:Z30" display="'2018'!W30:Z30" xr:uid="{00000000-0004-0000-0600-000019000000}"/>
    <hyperlink ref="B222" location="Trimestre!C25:F26" display="HIPOTECA" xr:uid="{00000000-0004-0000-0600-00001A000000}"/>
    <hyperlink ref="B222:G223" location="'2018'!W31:Z31" display="'2018'!W31:Z31" xr:uid="{00000000-0004-0000-0600-00001B000000}"/>
    <hyperlink ref="B242" location="Trimestre!C25:F26" display="HIPOTECA" xr:uid="{00000000-0004-0000-0600-00001C000000}"/>
    <hyperlink ref="B242:G243" location="'2018'!W32:Z32" display="'2018'!W32:Z32" xr:uid="{00000000-0004-0000-0600-00001D000000}"/>
    <hyperlink ref="B262" location="Trimestre!C25:F26" display="HIPOTECA" xr:uid="{00000000-0004-0000-0600-00001E000000}"/>
    <hyperlink ref="B262:G263" location="'2018'!W33:Z33" display="'2018'!W33:Z33" xr:uid="{00000000-0004-0000-0600-00001F000000}"/>
    <hyperlink ref="B282" location="Trimestre!C25:F26" display="HIPOTECA" xr:uid="{00000000-0004-0000-0600-000020000000}"/>
    <hyperlink ref="B282:G283" location="'2018'!W34:Z34" display="'2018'!W34:Z34" xr:uid="{00000000-0004-0000-0600-000021000000}"/>
    <hyperlink ref="B302" location="Trimestre!C25:F26" display="HIPOTECA" xr:uid="{00000000-0004-0000-0600-000022000000}"/>
    <hyperlink ref="B302:G303" location="'2018'!W35:Z35" display="'2018'!W35:Z35" xr:uid="{00000000-0004-0000-0600-000023000000}"/>
    <hyperlink ref="B322" location="Trimestre!C25:F26" display="HIPOTECA" xr:uid="{00000000-0004-0000-0600-000024000000}"/>
    <hyperlink ref="B322:G323" location="'2018'!W36:Z36" display="'2018'!W36:Z36" xr:uid="{00000000-0004-0000-0600-000025000000}"/>
    <hyperlink ref="B342" location="Trimestre!C25:F26" display="HIPOTECA" xr:uid="{00000000-0004-0000-0600-000026000000}"/>
    <hyperlink ref="B342:G343" location="'2018'!W37:Z37" display="'2018'!W37:Z37" xr:uid="{00000000-0004-0000-0600-000027000000}"/>
    <hyperlink ref="B362" location="Trimestre!C25:F26" display="HIPOTECA" xr:uid="{00000000-0004-0000-0600-000028000000}"/>
    <hyperlink ref="B362:G363" location="'2018'!W38:Z38" display="'2018'!W38:Z38" xr:uid="{00000000-0004-0000-0600-000029000000}"/>
    <hyperlink ref="B382" location="Trimestre!C25:F26" display="HIPOTECA" xr:uid="{00000000-0004-0000-0600-00002A000000}"/>
    <hyperlink ref="B382:G383" location="'2018'!W39:Z39" display="'2018'!W39:Z39" xr:uid="{00000000-0004-0000-0600-00002B000000}"/>
    <hyperlink ref="B402" location="Trimestre!C25:F26" display="HIPOTECA" xr:uid="{00000000-0004-0000-0600-00002C000000}"/>
    <hyperlink ref="B402:G403" location="'2018'!W40:Z40" display="'2018'!W40:Z40" xr:uid="{00000000-0004-0000-0600-00002D000000}"/>
    <hyperlink ref="B422" location="Trimestre!C25:F26" display="HIPOTECA" xr:uid="{00000000-0004-0000-0600-00002E000000}"/>
    <hyperlink ref="B422:G423" location="'2018'!W41:Z41" display="'2018'!W41:Z41" xr:uid="{00000000-0004-0000-0600-00002F000000}"/>
    <hyperlink ref="B442" location="Trimestre!C25:F26" display="HIPOTECA" xr:uid="{00000000-0004-0000-0600-000030000000}"/>
    <hyperlink ref="B442:G443" location="'2018'!W42:Z42" display="'2018'!W42:Z42" xr:uid="{00000000-0004-0000-0600-000031000000}"/>
    <hyperlink ref="B462" location="Trimestre!C25:F26" display="HIPOTECA" xr:uid="{00000000-0004-0000-0600-000032000000}"/>
    <hyperlink ref="B462:G463" location="'2018'!W43:Z43" display="'2018'!W43:Z43" xr:uid="{00000000-0004-0000-0600-000033000000}"/>
    <hyperlink ref="B482" location="Trimestre!C25:F26" display="HIPOTECA" xr:uid="{00000000-0004-0000-0600-000034000000}"/>
    <hyperlink ref="B482:G483" location="'2018'!W44:Z44" display="'2018'!W44:Z44" xr:uid="{00000000-0004-0000-0600-000035000000}"/>
    <hyperlink ref="B502" location="Trimestre!C25:F26" display="HIPOTECA" xr:uid="{00000000-0004-0000-0600-000036000000}"/>
    <hyperlink ref="B502:G503" location="'2018'!W45:Z45" display="'2018'!W45:Z45" xr:uid="{00000000-0004-0000-0600-000037000000}"/>
  </hyperlink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V520"/>
  <sheetViews>
    <sheetView topLeftCell="B16" workbookViewId="0">
      <selection activeCell="B422" sqref="B422:G423"/>
    </sheetView>
  </sheetViews>
  <sheetFormatPr defaultColWidth="11.42578125" defaultRowHeight="15"/>
  <cols>
    <col min="1" max="1" width="11.42578125" style="175"/>
    <col min="2" max="2" width="10" style="175" customWidth="1"/>
    <col min="3" max="3" width="33.28515625" style="175" customWidth="1"/>
    <col min="4" max="6" width="10" style="175" customWidth="1"/>
    <col min="7" max="7" width="33.28515625" style="175" customWidth="1"/>
    <col min="8" max="9" width="11.42578125" style="175"/>
    <col min="10" max="10" width="31.28515625" style="175" customWidth="1"/>
    <col min="11" max="16384" width="11.42578125" style="175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71" t="str">
        <f>'2018'!A20</f>
        <v>Cártama Gastos</v>
      </c>
      <c r="C2" s="272"/>
      <c r="D2" s="272"/>
      <c r="E2" s="272"/>
      <c r="F2" s="272"/>
      <c r="G2" s="273"/>
      <c r="H2" s="1"/>
      <c r="I2" s="284" t="s">
        <v>4</v>
      </c>
      <c r="J2" s="272"/>
      <c r="K2" s="272"/>
      <c r="L2" s="273"/>
      <c r="M2" s="1"/>
      <c r="N2" s="1"/>
      <c r="R2" s="3"/>
    </row>
    <row r="3" spans="1:22" ht="16.5" thickBot="1">
      <c r="A3" s="1"/>
      <c r="B3" s="274"/>
      <c r="C3" s="275"/>
      <c r="D3" s="275"/>
      <c r="E3" s="275"/>
      <c r="F3" s="275"/>
      <c r="G3" s="276"/>
      <c r="H3" s="1"/>
      <c r="I3" s="274"/>
      <c r="J3" s="275"/>
      <c r="K3" s="275"/>
      <c r="L3" s="276"/>
      <c r="M3" s="1"/>
      <c r="N3" s="1"/>
      <c r="R3" s="3"/>
    </row>
    <row r="4" spans="1:22" ht="15.75">
      <c r="A4" s="1"/>
      <c r="B4" s="279" t="s">
        <v>10</v>
      </c>
      <c r="C4" s="278"/>
      <c r="D4" s="277" t="s">
        <v>11</v>
      </c>
      <c r="E4" s="277"/>
      <c r="F4" s="277"/>
      <c r="G4" s="278"/>
      <c r="H4" s="1"/>
      <c r="I4" s="124" t="s">
        <v>70</v>
      </c>
      <c r="J4" s="195" t="s">
        <v>71</v>
      </c>
      <c r="K4" s="285" t="s">
        <v>72</v>
      </c>
      <c r="L4" s="286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68</v>
      </c>
      <c r="E5" s="66" t="s">
        <v>69</v>
      </c>
      <c r="F5" s="66" t="s">
        <v>32</v>
      </c>
      <c r="G5" s="73" t="s">
        <v>33</v>
      </c>
      <c r="H5" s="1"/>
      <c r="I5" s="196" t="s">
        <v>73</v>
      </c>
      <c r="J5" s="197" t="s">
        <v>74</v>
      </c>
      <c r="K5" s="287">
        <v>2946.37</v>
      </c>
      <c r="L5" s="288"/>
      <c r="M5" s="1" t="s">
        <v>395</v>
      </c>
      <c r="N5" s="1"/>
      <c r="R5" s="3"/>
    </row>
    <row r="6" spans="1:22" ht="15.75">
      <c r="A6" s="1"/>
      <c r="B6" s="67">
        <v>399</v>
      </c>
      <c r="C6" s="37" t="s">
        <v>312</v>
      </c>
      <c r="D6" s="70"/>
      <c r="E6" s="71">
        <v>398.31</v>
      </c>
      <c r="F6" s="71"/>
      <c r="G6" s="34" t="s">
        <v>35</v>
      </c>
      <c r="H6" s="1"/>
      <c r="I6" s="198" t="s">
        <v>73</v>
      </c>
      <c r="J6" s="197" t="s">
        <v>75</v>
      </c>
      <c r="K6" s="280">
        <v>161.54</v>
      </c>
      <c r="L6" s="281"/>
      <c r="M6" s="1"/>
      <c r="N6" s="1"/>
      <c r="R6" s="3"/>
    </row>
    <row r="7" spans="1:22" ht="15.75">
      <c r="A7" s="1"/>
      <c r="B7" s="68">
        <v>60</v>
      </c>
      <c r="C7" s="34" t="s">
        <v>326</v>
      </c>
      <c r="D7" s="70"/>
      <c r="E7" s="71"/>
      <c r="F7" s="71"/>
      <c r="G7" s="34" t="s">
        <v>106</v>
      </c>
      <c r="H7" s="117"/>
      <c r="I7" s="198" t="s">
        <v>76</v>
      </c>
      <c r="J7" s="197" t="s">
        <v>77</v>
      </c>
      <c r="K7" s="280">
        <v>7451.76</v>
      </c>
      <c r="L7" s="281"/>
      <c r="M7" s="1"/>
      <c r="N7" s="1"/>
      <c r="R7" s="3"/>
    </row>
    <row r="8" spans="1:22" ht="15.75">
      <c r="A8" s="1"/>
      <c r="B8" s="68">
        <v>82.76</v>
      </c>
      <c r="C8" s="34" t="s">
        <v>38</v>
      </c>
      <c r="D8" s="70"/>
      <c r="F8" s="71"/>
      <c r="G8" s="34" t="s">
        <v>38</v>
      </c>
      <c r="H8" s="1"/>
      <c r="I8" s="198" t="s">
        <v>76</v>
      </c>
      <c r="J8" s="197" t="s">
        <v>78</v>
      </c>
      <c r="K8" s="280">
        <v>6000</v>
      </c>
      <c r="L8" s="281"/>
      <c r="M8" s="1"/>
      <c r="N8" s="1"/>
      <c r="R8" s="3"/>
    </row>
    <row r="9" spans="1:22" ht="15.75">
      <c r="A9" s="1"/>
      <c r="B9" s="68">
        <v>0</v>
      </c>
      <c r="C9" s="34" t="s">
        <v>40</v>
      </c>
      <c r="D9" s="70"/>
      <c r="E9" s="71"/>
      <c r="F9" s="71"/>
      <c r="G9" s="34" t="s">
        <v>40</v>
      </c>
      <c r="H9" s="1"/>
      <c r="I9" s="198" t="s">
        <v>76</v>
      </c>
      <c r="J9" s="197" t="s">
        <v>268</v>
      </c>
      <c r="K9" s="280">
        <v>659.77</v>
      </c>
      <c r="L9" s="281"/>
      <c r="M9" s="1"/>
      <c r="N9" s="1"/>
      <c r="R9" s="3"/>
    </row>
    <row r="10" spans="1:22" ht="15.75">
      <c r="A10" s="1"/>
      <c r="B10" s="68">
        <v>12</v>
      </c>
      <c r="C10" s="34" t="s">
        <v>39</v>
      </c>
      <c r="D10" s="70"/>
      <c r="E10" s="71">
        <v>12</v>
      </c>
      <c r="F10" s="71"/>
      <c r="G10" s="34" t="s">
        <v>39</v>
      </c>
      <c r="H10" s="1"/>
      <c r="I10" s="198" t="s">
        <v>76</v>
      </c>
      <c r="J10" s="197" t="s">
        <v>115</v>
      </c>
      <c r="K10" s="280">
        <v>1800.04</v>
      </c>
      <c r="L10" s="281"/>
      <c r="M10" s="1" t="s">
        <v>266</v>
      </c>
      <c r="N10" s="1"/>
      <c r="R10" s="3"/>
    </row>
    <row r="11" spans="1:22" ht="15.75">
      <c r="A11" s="1"/>
      <c r="B11" s="68">
        <v>31</v>
      </c>
      <c r="C11" s="34" t="s">
        <v>37</v>
      </c>
      <c r="D11" s="70"/>
      <c r="E11" s="71">
        <v>30.23</v>
      </c>
      <c r="F11" s="71"/>
      <c r="G11" s="34" t="s">
        <v>37</v>
      </c>
      <c r="H11" s="1"/>
      <c r="I11" s="198" t="s">
        <v>93</v>
      </c>
      <c r="J11" s="197" t="s">
        <v>94</v>
      </c>
      <c r="K11" s="280">
        <v>800</v>
      </c>
      <c r="L11" s="281"/>
      <c r="M11" s="1"/>
      <c r="N11" s="1"/>
      <c r="R11" s="3"/>
    </row>
    <row r="12" spans="1:22" ht="15.75">
      <c r="A12" s="1"/>
      <c r="B12" s="68">
        <f>120+256.54-40</f>
        <v>336.54</v>
      </c>
      <c r="C12" s="34" t="s">
        <v>195</v>
      </c>
      <c r="D12" s="70"/>
      <c r="E12" s="71"/>
      <c r="F12" s="71">
        <v>875</v>
      </c>
      <c r="G12" s="34" t="s">
        <v>465</v>
      </c>
      <c r="H12" s="1"/>
      <c r="I12" s="198" t="s">
        <v>304</v>
      </c>
      <c r="J12" s="197" t="s">
        <v>305</v>
      </c>
      <c r="K12" s="280">
        <v>5092.08</v>
      </c>
      <c r="L12" s="281"/>
      <c r="M12" s="178" t="s">
        <v>458</v>
      </c>
      <c r="N12" s="1"/>
      <c r="R12" s="3"/>
    </row>
    <row r="13" spans="1:22" ht="15.75">
      <c r="A13" s="1"/>
      <c r="B13" s="68">
        <v>50</v>
      </c>
      <c r="C13" s="34" t="s">
        <v>196</v>
      </c>
      <c r="D13" s="70"/>
      <c r="E13" s="71"/>
      <c r="F13" s="71"/>
      <c r="G13" s="34"/>
      <c r="H13" s="1"/>
      <c r="I13" s="198"/>
      <c r="J13" s="197"/>
      <c r="K13" s="280"/>
      <c r="L13" s="281"/>
      <c r="M13" s="1"/>
      <c r="N13" s="1"/>
      <c r="R13" s="3"/>
    </row>
    <row r="14" spans="1:22" ht="15.75">
      <c r="A14" s="1"/>
      <c r="B14" s="68">
        <v>25</v>
      </c>
      <c r="C14" s="34" t="s">
        <v>207</v>
      </c>
      <c r="D14" s="70"/>
      <c r="E14" s="71"/>
      <c r="F14" s="71"/>
      <c r="G14" s="34"/>
      <c r="H14" s="1"/>
      <c r="I14" s="198"/>
      <c r="J14" s="197"/>
      <c r="K14" s="280"/>
      <c r="L14" s="281"/>
      <c r="M14" s="1"/>
      <c r="N14" s="1"/>
      <c r="R14" s="3"/>
    </row>
    <row r="15" spans="1:22" ht="15.75">
      <c r="A15" s="1"/>
      <c r="B15" s="68">
        <v>7</v>
      </c>
      <c r="C15" s="34" t="s">
        <v>353</v>
      </c>
      <c r="D15" s="70"/>
      <c r="E15" s="71"/>
      <c r="F15" s="71"/>
      <c r="G15" s="34"/>
      <c r="H15" s="1"/>
      <c r="I15" s="198"/>
      <c r="J15" s="197"/>
      <c r="K15" s="280"/>
      <c r="L15" s="281"/>
      <c r="M15" s="1"/>
      <c r="N15" s="1"/>
      <c r="R15" s="3"/>
    </row>
    <row r="16" spans="1:22" ht="15.75">
      <c r="A16" s="1"/>
      <c r="B16" s="68">
        <f>40</f>
        <v>40</v>
      </c>
      <c r="C16" s="34" t="s">
        <v>466</v>
      </c>
      <c r="D16" s="70"/>
      <c r="E16" s="71"/>
      <c r="F16" s="71">
        <v>60</v>
      </c>
      <c r="G16" s="34" t="s">
        <v>466</v>
      </c>
      <c r="H16" s="1"/>
      <c r="I16" s="198"/>
      <c r="J16" s="197"/>
      <c r="K16" s="280"/>
      <c r="L16" s="281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198"/>
      <c r="J17" s="197"/>
      <c r="K17" s="280"/>
      <c r="L17" s="281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199"/>
      <c r="J18" s="200"/>
      <c r="K18" s="282"/>
      <c r="L18" s="283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83</v>
      </c>
      <c r="J19" s="38"/>
      <c r="K19" s="282">
        <f>SUM(K5:K18)</f>
        <v>24911.559999999998</v>
      </c>
      <c r="L19" s="283"/>
      <c r="M19" s="1"/>
      <c r="N19" s="1"/>
      <c r="R19" s="3"/>
    </row>
    <row r="20" spans="1:18" ht="16.5" thickBot="1">
      <c r="A20" s="1"/>
      <c r="B20" s="69">
        <f>SUM(B6:B19)</f>
        <v>1043.3</v>
      </c>
      <c r="C20" s="35" t="s">
        <v>66</v>
      </c>
      <c r="D20" s="69">
        <f>SUM(D6:D19)</f>
        <v>0</v>
      </c>
      <c r="E20" s="69">
        <f>SUM(E6:E19)</f>
        <v>440.54</v>
      </c>
      <c r="F20" s="69">
        <f>SUM(F6:F19)</f>
        <v>935</v>
      </c>
      <c r="G20" s="35" t="s">
        <v>66</v>
      </c>
      <c r="H20" s="1"/>
      <c r="I20" s="175" t="s">
        <v>116</v>
      </c>
      <c r="L20" s="178">
        <f>K19-K10-K12</f>
        <v>18019.439999999995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71" t="str">
        <f>'2018'!A21</f>
        <v>Waterloo</v>
      </c>
      <c r="C22" s="272"/>
      <c r="D22" s="272"/>
      <c r="E22" s="272"/>
      <c r="F22" s="272"/>
      <c r="G22" s="273"/>
      <c r="H22" s="1"/>
      <c r="I22" s="284" t="s">
        <v>6</v>
      </c>
      <c r="J22" s="272"/>
      <c r="K22" s="272"/>
      <c r="L22" s="273"/>
      <c r="M22" s="1"/>
      <c r="R22" s="3"/>
    </row>
    <row r="23" spans="1:18" ht="16.149999999999999" customHeight="1" thickBot="1">
      <c r="A23" s="1"/>
      <c r="B23" s="274"/>
      <c r="C23" s="275"/>
      <c r="D23" s="275"/>
      <c r="E23" s="275"/>
      <c r="F23" s="275"/>
      <c r="G23" s="276"/>
      <c r="H23" s="1"/>
      <c r="I23" s="274"/>
      <c r="J23" s="275"/>
      <c r="K23" s="275"/>
      <c r="L23" s="276"/>
      <c r="M23" s="1"/>
      <c r="R23" s="3"/>
    </row>
    <row r="24" spans="1:18" ht="15.75">
      <c r="A24" s="1"/>
      <c r="B24" s="279" t="s">
        <v>10</v>
      </c>
      <c r="C24" s="278"/>
      <c r="D24" s="277" t="s">
        <v>11</v>
      </c>
      <c r="E24" s="277"/>
      <c r="F24" s="277"/>
      <c r="G24" s="278"/>
      <c r="H24" s="1"/>
      <c r="I24" s="124" t="s">
        <v>33</v>
      </c>
      <c r="J24" s="33" t="s">
        <v>133</v>
      </c>
      <c r="K24" s="285" t="s">
        <v>134</v>
      </c>
      <c r="L24" s="286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68</v>
      </c>
      <c r="E25" s="66" t="s">
        <v>69</v>
      </c>
      <c r="F25" s="66" t="s">
        <v>32</v>
      </c>
      <c r="G25" s="73" t="s">
        <v>33</v>
      </c>
      <c r="H25" s="1"/>
      <c r="I25" s="189">
        <v>2</v>
      </c>
      <c r="J25" s="3" t="s">
        <v>468</v>
      </c>
      <c r="K25" s="287">
        <v>134.94</v>
      </c>
      <c r="L25" s="288"/>
      <c r="M25" s="1"/>
      <c r="R25" s="3"/>
    </row>
    <row r="26" spans="1:18" ht="15.75">
      <c r="A26" s="1"/>
      <c r="B26" s="67">
        <v>900</v>
      </c>
      <c r="C26" s="79" t="s">
        <v>42</v>
      </c>
      <c r="D26" s="70">
        <v>900</v>
      </c>
      <c r="E26" s="71"/>
      <c r="F26" s="71"/>
      <c r="G26" s="34" t="s">
        <v>42</v>
      </c>
      <c r="H26" s="1"/>
      <c r="I26" s="190">
        <v>2</v>
      </c>
      <c r="J26" s="36" t="s">
        <v>476</v>
      </c>
      <c r="K26" s="280">
        <v>83.04</v>
      </c>
      <c r="L26" s="281"/>
      <c r="M26" s="1"/>
      <c r="R26" s="3"/>
    </row>
    <row r="27" spans="1:18" ht="15.75">
      <c r="A27" s="1"/>
      <c r="B27" s="68">
        <v>170</v>
      </c>
      <c r="C27" s="79" t="s">
        <v>44</v>
      </c>
      <c r="D27" s="70">
        <v>104.38</v>
      </c>
      <c r="E27" s="71"/>
      <c r="F27" s="71"/>
      <c r="G27" s="34" t="s">
        <v>44</v>
      </c>
      <c r="H27" s="1"/>
      <c r="I27" s="190">
        <v>2</v>
      </c>
      <c r="J27" s="36" t="s">
        <v>277</v>
      </c>
      <c r="K27" s="280">
        <v>786.42</v>
      </c>
      <c r="L27" s="281"/>
      <c r="M27" s="1"/>
      <c r="R27" s="3"/>
    </row>
    <row r="28" spans="1:18" ht="15.75">
      <c r="A28" s="1"/>
      <c r="B28" s="68">
        <v>40</v>
      </c>
      <c r="C28" s="79" t="s">
        <v>45</v>
      </c>
      <c r="D28" s="70"/>
      <c r="E28" s="71"/>
      <c r="F28" s="71"/>
      <c r="G28" s="34" t="s">
        <v>45</v>
      </c>
      <c r="H28" s="1"/>
      <c r="I28" s="190">
        <v>9</v>
      </c>
      <c r="J28" s="36" t="s">
        <v>514</v>
      </c>
      <c r="K28" s="280">
        <v>26.77</v>
      </c>
      <c r="L28" s="281"/>
      <c r="M28" s="1"/>
      <c r="R28" s="3"/>
    </row>
    <row r="29" spans="1:18" ht="15.75">
      <c r="A29" s="1"/>
      <c r="B29" s="68">
        <v>18</v>
      </c>
      <c r="C29" s="79" t="s">
        <v>41</v>
      </c>
      <c r="D29" s="70">
        <v>17.46</v>
      </c>
      <c r="E29" s="71"/>
      <c r="F29" s="71"/>
      <c r="G29" s="34" t="s">
        <v>41</v>
      </c>
      <c r="H29" s="1"/>
      <c r="I29" s="190">
        <v>4</v>
      </c>
      <c r="J29" s="36" t="s">
        <v>518</v>
      </c>
      <c r="K29" s="280">
        <v>0.02</v>
      </c>
      <c r="L29" s="281"/>
      <c r="M29" s="1"/>
      <c r="R29" s="3"/>
    </row>
    <row r="30" spans="1:18" ht="15.75">
      <c r="A30" s="1"/>
      <c r="B30" s="68"/>
      <c r="C30" s="79"/>
      <c r="D30" s="70"/>
      <c r="E30" s="71"/>
      <c r="F30" s="71"/>
      <c r="G30" s="34"/>
      <c r="H30" s="1"/>
      <c r="I30" s="190"/>
      <c r="J30" s="36"/>
      <c r="K30" s="280"/>
      <c r="L30" s="281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90"/>
      <c r="J31" s="36"/>
      <c r="K31" s="280"/>
      <c r="L31" s="281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90"/>
      <c r="J32" s="36"/>
      <c r="K32" s="280"/>
      <c r="L32" s="281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90"/>
      <c r="J33" s="36"/>
      <c r="K33" s="280"/>
      <c r="L33" s="281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90"/>
      <c r="J34" s="36"/>
      <c r="K34" s="280"/>
      <c r="L34" s="281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90"/>
      <c r="J35" s="36"/>
      <c r="K35" s="280"/>
      <c r="L35" s="281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90"/>
      <c r="J36" s="36"/>
      <c r="K36" s="280"/>
      <c r="L36" s="281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90"/>
      <c r="J37" s="36"/>
      <c r="K37" s="280"/>
      <c r="L37" s="281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191"/>
      <c r="J38" s="38"/>
      <c r="K38" s="282"/>
      <c r="L38" s="283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1128</v>
      </c>
      <c r="C40" s="35" t="s">
        <v>66</v>
      </c>
      <c r="D40" s="69">
        <f>SUM(D26:D39)</f>
        <v>1021.84</v>
      </c>
      <c r="E40" s="69">
        <f>SUM(E26:E39)</f>
        <v>0</v>
      </c>
      <c r="F40" s="69">
        <f>SUM(F26:F39)</f>
        <v>0</v>
      </c>
      <c r="G40" s="35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71" t="str">
        <f>'2018'!A22</f>
        <v>Comida+Limpieza</v>
      </c>
      <c r="C42" s="272"/>
      <c r="D42" s="272"/>
      <c r="E42" s="272"/>
      <c r="F42" s="272"/>
      <c r="G42" s="273"/>
      <c r="H42" s="1"/>
      <c r="M42" s="1"/>
      <c r="R42" s="3"/>
    </row>
    <row r="43" spans="1:18" ht="16.149999999999999" customHeight="1" thickBot="1">
      <c r="A43" s="1"/>
      <c r="B43" s="274"/>
      <c r="C43" s="275"/>
      <c r="D43" s="275"/>
      <c r="E43" s="275"/>
      <c r="F43" s="275"/>
      <c r="G43" s="276"/>
      <c r="H43" s="1"/>
      <c r="M43" s="1"/>
      <c r="R43" s="3"/>
    </row>
    <row r="44" spans="1:18" ht="15.75">
      <c r="A44" s="1"/>
      <c r="B44" s="279" t="s">
        <v>10</v>
      </c>
      <c r="C44" s="278"/>
      <c r="D44" s="277" t="s">
        <v>11</v>
      </c>
      <c r="E44" s="277"/>
      <c r="F44" s="277"/>
      <c r="G44" s="278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68</v>
      </c>
      <c r="E45" s="66" t="s">
        <v>69</v>
      </c>
      <c r="F45" s="66" t="s">
        <v>32</v>
      </c>
      <c r="G45" s="73" t="s">
        <v>394</v>
      </c>
      <c r="H45" s="1"/>
      <c r="M45" s="1"/>
      <c r="R45" s="3"/>
    </row>
    <row r="46" spans="1:18" ht="15.75">
      <c r="A46" s="1"/>
      <c r="B46" s="67">
        <v>502</v>
      </c>
      <c r="C46" s="37"/>
      <c r="D46" s="70">
        <f>56.85+3.97+19.6</f>
        <v>80.42</v>
      </c>
      <c r="E46" s="71"/>
      <c r="F46" s="71"/>
      <c r="G46" s="90" t="s">
        <v>471</v>
      </c>
      <c r="H46" s="1"/>
      <c r="M46" s="1"/>
      <c r="R46" s="3"/>
    </row>
    <row r="47" spans="1:18" ht="15.75">
      <c r="A47" s="1"/>
      <c r="B47" s="68">
        <v>28</v>
      </c>
      <c r="C47" s="34" t="s">
        <v>110</v>
      </c>
      <c r="D47" s="70">
        <f>86.61+69.18</f>
        <v>155.79000000000002</v>
      </c>
      <c r="E47" s="71"/>
      <c r="F47" s="71"/>
      <c r="G47" s="34" t="s">
        <v>472</v>
      </c>
      <c r="H47" s="1"/>
      <c r="M47" s="1"/>
      <c r="R47" s="3"/>
    </row>
    <row r="48" spans="1:18" ht="15.75">
      <c r="A48" s="1"/>
      <c r="B48" s="68"/>
      <c r="C48" s="34"/>
      <c r="D48" s="70">
        <f>10.03</f>
        <v>10.029999999999999</v>
      </c>
      <c r="E48" s="71"/>
      <c r="F48" s="71"/>
      <c r="G48" s="34" t="s">
        <v>464</v>
      </c>
      <c r="H48" s="1"/>
      <c r="M48" s="1"/>
      <c r="R48" s="3"/>
    </row>
    <row r="49" spans="1:18" ht="15.75">
      <c r="A49" s="1"/>
      <c r="B49" s="68"/>
      <c r="C49" s="34"/>
      <c r="D49" s="70">
        <v>35.24</v>
      </c>
      <c r="E49" s="71"/>
      <c r="F49" s="71"/>
      <c r="G49" s="34" t="s">
        <v>480</v>
      </c>
      <c r="H49" s="1"/>
      <c r="M49" s="1"/>
      <c r="R49" s="3"/>
    </row>
    <row r="50" spans="1:18" ht="15.75">
      <c r="A50" s="1"/>
      <c r="B50" s="68"/>
      <c r="C50" s="34"/>
      <c r="D50" s="70">
        <v>11.59</v>
      </c>
      <c r="E50" s="71"/>
      <c r="F50" s="71"/>
      <c r="G50" s="34" t="s">
        <v>483</v>
      </c>
      <c r="H50" s="1"/>
      <c r="M50" s="1"/>
      <c r="R50" s="3"/>
    </row>
    <row r="51" spans="1:18" ht="15.75">
      <c r="A51" s="1"/>
      <c r="B51" s="68"/>
      <c r="C51" s="34"/>
      <c r="D51" s="70">
        <f>1.55</f>
        <v>1.55</v>
      </c>
      <c r="E51" s="71"/>
      <c r="F51" s="71"/>
      <c r="G51" s="34" t="s">
        <v>500</v>
      </c>
      <c r="H51" s="1"/>
      <c r="M51" s="1"/>
      <c r="R51" s="3"/>
    </row>
    <row r="52" spans="1:18" ht="15.75">
      <c r="A52" s="1"/>
      <c r="B52" s="68"/>
      <c r="C52" s="34"/>
      <c r="D52" s="70">
        <v>51.03</v>
      </c>
      <c r="E52" s="71"/>
      <c r="F52" s="71"/>
      <c r="G52" s="34" t="s">
        <v>503</v>
      </c>
      <c r="H52" s="1"/>
      <c r="M52" s="1"/>
      <c r="R52" s="3"/>
    </row>
    <row r="53" spans="1:18" ht="15.75">
      <c r="A53" s="1"/>
      <c r="B53" s="68"/>
      <c r="C53" s="34"/>
      <c r="D53" s="70">
        <v>43.57</v>
      </c>
      <c r="E53" s="71"/>
      <c r="F53" s="71"/>
      <c r="G53" s="34" t="s">
        <v>513</v>
      </c>
      <c r="H53" s="1"/>
      <c r="M53" s="1"/>
      <c r="R53" s="3"/>
    </row>
    <row r="54" spans="1:18" ht="15.75">
      <c r="A54" s="1"/>
      <c r="B54" s="68"/>
      <c r="C54" s="34"/>
      <c r="D54" s="70"/>
      <c r="E54" s="71"/>
      <c r="F54" s="71"/>
      <c r="G54" s="34"/>
      <c r="H54" s="1"/>
      <c r="M54" s="1"/>
      <c r="R54" s="3"/>
    </row>
    <row r="55" spans="1:18" ht="15.75">
      <c r="A55" s="1"/>
      <c r="B55" s="68"/>
      <c r="C55" s="34"/>
      <c r="D55" s="70"/>
      <c r="E55" s="71"/>
      <c r="F55" s="71"/>
      <c r="G55" s="34"/>
      <c r="H55" s="1"/>
      <c r="M55" s="1"/>
      <c r="R55" s="3"/>
    </row>
    <row r="56" spans="1:18" ht="15.75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/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530</v>
      </c>
      <c r="C60" s="35" t="s">
        <v>66</v>
      </c>
      <c r="D60" s="69">
        <f>SUM(D46:D59)</f>
        <v>389.21999999999997</v>
      </c>
      <c r="E60" s="69">
        <f>SUM(E46:E59)</f>
        <v>0</v>
      </c>
      <c r="F60" s="69">
        <f>SUM(F46:F59)</f>
        <v>0</v>
      </c>
      <c r="G60" s="35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71" t="str">
        <f>'2018'!A23</f>
        <v>Ocio</v>
      </c>
      <c r="C62" s="272"/>
      <c r="D62" s="272"/>
      <c r="E62" s="272"/>
      <c r="F62" s="272"/>
      <c r="G62" s="273"/>
      <c r="H62" s="1"/>
      <c r="M62" s="1"/>
      <c r="R62" s="3"/>
    </row>
    <row r="63" spans="1:18" ht="16.149999999999999" customHeight="1" thickBot="1">
      <c r="A63" s="1"/>
      <c r="B63" s="274"/>
      <c r="C63" s="275"/>
      <c r="D63" s="275"/>
      <c r="E63" s="275"/>
      <c r="F63" s="275"/>
      <c r="G63" s="276"/>
      <c r="H63" s="1"/>
      <c r="M63" s="1"/>
      <c r="R63" s="3"/>
    </row>
    <row r="64" spans="1:18" ht="15.75">
      <c r="A64" s="1"/>
      <c r="B64" s="279" t="s">
        <v>10</v>
      </c>
      <c r="C64" s="278"/>
      <c r="D64" s="277" t="s">
        <v>11</v>
      </c>
      <c r="E64" s="277"/>
      <c r="F64" s="277"/>
      <c r="G64" s="278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68</v>
      </c>
      <c r="E65" s="66" t="s">
        <v>69</v>
      </c>
      <c r="F65" s="66" t="s">
        <v>32</v>
      </c>
      <c r="G65" s="73" t="s">
        <v>394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/>
      <c r="E66" s="71"/>
      <c r="F66" s="71">
        <v>10</v>
      </c>
      <c r="G66" s="37" t="s">
        <v>461</v>
      </c>
      <c r="H66" s="1"/>
      <c r="M66" s="1"/>
      <c r="R66" s="3"/>
    </row>
    <row r="67" spans="1:18" ht="15.75">
      <c r="A67" s="1"/>
      <c r="B67" s="68">
        <v>71</v>
      </c>
      <c r="C67" s="34" t="s">
        <v>448</v>
      </c>
      <c r="D67" s="70">
        <f>25.75</f>
        <v>25.75</v>
      </c>
      <c r="E67" s="71"/>
      <c r="F67" s="71">
        <v>1</v>
      </c>
      <c r="G67" s="91" t="s">
        <v>462</v>
      </c>
      <c r="H67" s="1"/>
      <c r="M67" s="1"/>
      <c r="R67" s="3"/>
    </row>
    <row r="68" spans="1:18" ht="15.75">
      <c r="A68" s="1"/>
      <c r="B68" s="68"/>
      <c r="C68" s="34"/>
      <c r="D68" s="70">
        <f>15.3+43</f>
        <v>58.3</v>
      </c>
      <c r="E68" s="71"/>
      <c r="F68" s="71">
        <f>18+30</f>
        <v>48</v>
      </c>
      <c r="G68" s="34" t="s">
        <v>473</v>
      </c>
      <c r="H68" s="1">
        <v>106.3</v>
      </c>
      <c r="I68" s="175" t="s">
        <v>309</v>
      </c>
      <c r="M68" s="1"/>
      <c r="R68" s="3"/>
    </row>
    <row r="69" spans="1:18" ht="15.75">
      <c r="A69" s="1"/>
      <c r="B69" s="68"/>
      <c r="C69" s="34"/>
      <c r="D69" s="70"/>
      <c r="E69" s="71"/>
      <c r="F69" s="71">
        <v>13.9</v>
      </c>
      <c r="G69" s="34" t="s">
        <v>482</v>
      </c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>
        <f>6.5+5+2+4.5</f>
        <v>18</v>
      </c>
      <c r="G70" s="34" t="s">
        <v>486</v>
      </c>
      <c r="H70" s="1"/>
      <c r="M70" s="1"/>
      <c r="R70" s="3"/>
    </row>
    <row r="71" spans="1:18" ht="15.75">
      <c r="A71" s="1"/>
      <c r="B71" s="68"/>
      <c r="C71" s="34"/>
      <c r="D71" s="70">
        <v>30.95</v>
      </c>
      <c r="E71" s="71"/>
      <c r="F71" s="71"/>
      <c r="G71" s="34" t="s">
        <v>429</v>
      </c>
      <c r="H71" s="1"/>
      <c r="M71" s="1"/>
      <c r="R71" s="3"/>
    </row>
    <row r="72" spans="1:18" ht="15.75">
      <c r="A72" s="1"/>
      <c r="B72" s="68"/>
      <c r="C72" s="34"/>
      <c r="D72" s="70"/>
      <c r="E72" s="71"/>
      <c r="F72" s="71"/>
      <c r="G72" s="34"/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221</v>
      </c>
      <c r="C80" s="35" t="s">
        <v>66</v>
      </c>
      <c r="D80" s="69">
        <f>SUM(D66:D79)</f>
        <v>115</v>
      </c>
      <c r="E80" s="69">
        <f>SUM(E66:E79)</f>
        <v>0</v>
      </c>
      <c r="F80" s="69">
        <f>SUM(F66:F79)</f>
        <v>90.9</v>
      </c>
      <c r="G80" s="35" t="s">
        <v>66</v>
      </c>
      <c r="H80" s="202">
        <f>SUM(D80:F80)-H68</f>
        <v>99.600000000000009</v>
      </c>
      <c r="I80" s="175" t="s">
        <v>488</v>
      </c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71" t="str">
        <f>'2018'!A24</f>
        <v>Transportes</v>
      </c>
      <c r="C82" s="272"/>
      <c r="D82" s="272"/>
      <c r="E82" s="272"/>
      <c r="F82" s="272"/>
      <c r="G82" s="273"/>
      <c r="H82" s="1"/>
      <c r="M82" s="1"/>
      <c r="R82" s="3"/>
    </row>
    <row r="83" spans="1:18" ht="16.149999999999999" customHeight="1" thickBot="1">
      <c r="A83" s="1"/>
      <c r="B83" s="274"/>
      <c r="C83" s="275"/>
      <c r="D83" s="275"/>
      <c r="E83" s="275"/>
      <c r="F83" s="275"/>
      <c r="G83" s="276"/>
      <c r="H83" s="1"/>
      <c r="M83" s="1"/>
      <c r="R83" s="3"/>
    </row>
    <row r="84" spans="1:18" ht="15.75">
      <c r="A84" s="1"/>
      <c r="B84" s="279" t="s">
        <v>10</v>
      </c>
      <c r="C84" s="278"/>
      <c r="D84" s="277" t="s">
        <v>11</v>
      </c>
      <c r="E84" s="277"/>
      <c r="F84" s="277"/>
      <c r="G84" s="278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68</v>
      </c>
      <c r="E85" s="66" t="s">
        <v>69</v>
      </c>
      <c r="F85" s="66" t="s">
        <v>32</v>
      </c>
      <c r="G85" s="73" t="s">
        <v>394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>
        <f>53.39+49.42+50.44</f>
        <v>153.25</v>
      </c>
      <c r="E86" s="71"/>
      <c r="F86" s="71"/>
      <c r="G86" s="34" t="s">
        <v>511</v>
      </c>
      <c r="H86" s="1"/>
      <c r="M86" s="1"/>
      <c r="R86" s="3"/>
    </row>
    <row r="87" spans="1:18" ht="15.75">
      <c r="A87" s="1"/>
      <c r="B87" s="68"/>
      <c r="C87" s="34"/>
      <c r="D87" s="70"/>
      <c r="E87" s="71">
        <v>6.3</v>
      </c>
      <c r="F87" s="71"/>
      <c r="G87" s="34" t="s">
        <v>467</v>
      </c>
      <c r="H87" s="1"/>
      <c r="M87" s="1"/>
      <c r="R87" s="3"/>
    </row>
    <row r="88" spans="1:18" ht="15.75">
      <c r="A88" s="1"/>
      <c r="B88" s="68"/>
      <c r="C88" s="34"/>
      <c r="D88" s="70"/>
      <c r="E88" s="71"/>
      <c r="F88" s="71"/>
      <c r="G88" s="34"/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/>
      <c r="H89" s="1"/>
      <c r="M89" s="1"/>
      <c r="R89" s="3"/>
    </row>
    <row r="90" spans="1:18" ht="15.75">
      <c r="A90" s="1"/>
      <c r="B90" s="68"/>
      <c r="C90" s="34"/>
      <c r="D90" s="70"/>
      <c r="E90" s="71"/>
      <c r="F90" s="71"/>
      <c r="G90" s="34"/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66</v>
      </c>
      <c r="D100" s="69">
        <f>SUM(D86:D99)</f>
        <v>153.25</v>
      </c>
      <c r="E100" s="69">
        <f>SUM(E86:E99)</f>
        <v>6.3</v>
      </c>
      <c r="F100" s="69">
        <f>SUM(F86:F99)</f>
        <v>0</v>
      </c>
      <c r="G100" s="35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71" t="str">
        <f>'2018'!A25</f>
        <v>Coche</v>
      </c>
      <c r="C102" s="272"/>
      <c r="D102" s="272"/>
      <c r="E102" s="272"/>
      <c r="F102" s="272"/>
      <c r="G102" s="273"/>
      <c r="H102" s="1"/>
      <c r="M102" s="1"/>
      <c r="R102" s="3"/>
    </row>
    <row r="103" spans="1:18" ht="16.149999999999999" customHeight="1" thickBot="1">
      <c r="A103" s="1"/>
      <c r="B103" s="274"/>
      <c r="C103" s="275"/>
      <c r="D103" s="275"/>
      <c r="E103" s="275"/>
      <c r="F103" s="275"/>
      <c r="G103" s="276"/>
      <c r="H103" s="1"/>
      <c r="M103" s="1"/>
      <c r="R103" s="3"/>
    </row>
    <row r="104" spans="1:18" ht="15.75">
      <c r="A104" s="1"/>
      <c r="B104" s="279" t="s">
        <v>10</v>
      </c>
      <c r="C104" s="278"/>
      <c r="D104" s="277" t="s">
        <v>11</v>
      </c>
      <c r="E104" s="277"/>
      <c r="F104" s="277"/>
      <c r="G104" s="278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68</v>
      </c>
      <c r="E105" s="66" t="s">
        <v>69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67">
        <v>260</v>
      </c>
      <c r="C106" s="36" t="s">
        <v>55</v>
      </c>
      <c r="D106" s="70">
        <v>258.47000000000003</v>
      </c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68">
        <v>71</v>
      </c>
      <c r="C107" s="36" t="s">
        <v>56</v>
      </c>
      <c r="D107" s="70">
        <v>70.349999999999994</v>
      </c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68">
        <v>69</v>
      </c>
      <c r="C108" s="36" t="s">
        <v>46</v>
      </c>
      <c r="D108" s="70"/>
      <c r="E108" s="71"/>
      <c r="F108" s="71"/>
      <c r="G108" s="94" t="s">
        <v>88</v>
      </c>
      <c r="H108" s="1"/>
      <c r="M108" s="1"/>
      <c r="R108" s="3"/>
    </row>
    <row r="109" spans="1:18" ht="15.75">
      <c r="A109" s="1"/>
      <c r="B109" s="68"/>
      <c r="C109" s="36"/>
      <c r="D109" s="70"/>
      <c r="E109" s="71"/>
      <c r="F109" s="71"/>
      <c r="G109" s="91"/>
      <c r="H109" s="1"/>
      <c r="M109" s="1"/>
      <c r="R109" s="3"/>
    </row>
    <row r="110" spans="1:18" ht="15.75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68"/>
      <c r="C111" s="79"/>
      <c r="D111" s="70"/>
      <c r="E111" s="71"/>
      <c r="F111" s="71"/>
      <c r="G111" s="94"/>
      <c r="H111" s="1"/>
      <c r="M111" s="1"/>
      <c r="R111" s="3"/>
    </row>
    <row r="112" spans="1:18" ht="15.75">
      <c r="A112" s="1"/>
      <c r="B112" s="68"/>
      <c r="C112" s="92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68"/>
      <c r="C113" s="93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68"/>
      <c r="C114" s="92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66</v>
      </c>
      <c r="D120" s="69">
        <f>SUM(D106:D119)</f>
        <v>328.82000000000005</v>
      </c>
      <c r="E120" s="69">
        <f>SUM(E106:E119)</f>
        <v>0</v>
      </c>
      <c r="F120" s="69">
        <f>SUM(F106:F119)</f>
        <v>0</v>
      </c>
      <c r="G120" s="35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71" t="str">
        <f>'2018'!A26</f>
        <v>Teléfono</v>
      </c>
      <c r="C122" s="272"/>
      <c r="D122" s="272"/>
      <c r="E122" s="272"/>
      <c r="F122" s="272"/>
      <c r="G122" s="273"/>
      <c r="H122" s="1"/>
      <c r="M122" s="1"/>
      <c r="R122" s="3"/>
    </row>
    <row r="123" spans="1:18" ht="16.149999999999999" customHeight="1" thickBot="1">
      <c r="A123" s="1"/>
      <c r="B123" s="274"/>
      <c r="C123" s="275"/>
      <c r="D123" s="275"/>
      <c r="E123" s="275"/>
      <c r="F123" s="275"/>
      <c r="G123" s="276"/>
      <c r="H123" s="1"/>
      <c r="M123" s="1"/>
      <c r="R123" s="3"/>
    </row>
    <row r="124" spans="1:18" ht="15.75">
      <c r="A124" s="1"/>
      <c r="B124" s="279" t="s">
        <v>10</v>
      </c>
      <c r="C124" s="278"/>
      <c r="D124" s="277" t="s">
        <v>11</v>
      </c>
      <c r="E124" s="277"/>
      <c r="F124" s="277"/>
      <c r="G124" s="278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68</v>
      </c>
      <c r="E125" s="66" t="s">
        <v>69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>
        <v>27.5</v>
      </c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v>12.5</v>
      </c>
      <c r="C127" s="34" t="s">
        <v>58</v>
      </c>
      <c r="D127" s="70"/>
      <c r="E127" s="71"/>
      <c r="F127" s="71"/>
      <c r="G127" s="34" t="s">
        <v>199</v>
      </c>
      <c r="H127" s="1"/>
      <c r="M127" s="1"/>
      <c r="R127" s="3"/>
    </row>
    <row r="128" spans="1:18" ht="15.75">
      <c r="A128" s="1"/>
      <c r="B128" s="68">
        <v>8</v>
      </c>
      <c r="C128" s="34" t="s">
        <v>338</v>
      </c>
      <c r="D128" s="70">
        <v>10</v>
      </c>
      <c r="E128" s="71"/>
      <c r="F128" s="71"/>
      <c r="G128" s="34" t="s">
        <v>220</v>
      </c>
      <c r="H128" s="1"/>
      <c r="M128" s="1"/>
      <c r="R128" s="3"/>
    </row>
    <row r="129" spans="1:18" ht="15.75">
      <c r="A129" s="1"/>
      <c r="B129" s="68"/>
      <c r="C129" s="34"/>
      <c r="D129" s="70"/>
      <c r="E129" s="71">
        <v>7.99</v>
      </c>
      <c r="F129" s="71"/>
      <c r="G129" s="34" t="s">
        <v>338</v>
      </c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48</v>
      </c>
      <c r="C140" s="35" t="s">
        <v>66</v>
      </c>
      <c r="D140" s="69">
        <f>SUM(D126:D139)</f>
        <v>37.5</v>
      </c>
      <c r="E140" s="69">
        <f>SUM(E126:E139)</f>
        <v>7.99</v>
      </c>
      <c r="F140" s="69">
        <f>SUM(F126:F139)</f>
        <v>0</v>
      </c>
      <c r="G140" s="35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71" t="str">
        <f>'2018'!A27</f>
        <v>Gatos</v>
      </c>
      <c r="C142" s="272"/>
      <c r="D142" s="272"/>
      <c r="E142" s="272"/>
      <c r="F142" s="272"/>
      <c r="G142" s="273"/>
      <c r="H142" s="1"/>
      <c r="M142" s="1"/>
      <c r="R142" s="3"/>
    </row>
    <row r="143" spans="1:18" ht="16.149999999999999" customHeight="1" thickBot="1">
      <c r="A143" s="1"/>
      <c r="B143" s="274"/>
      <c r="C143" s="275"/>
      <c r="D143" s="275"/>
      <c r="E143" s="275"/>
      <c r="F143" s="275"/>
      <c r="G143" s="276"/>
      <c r="H143" s="1"/>
      <c r="M143" s="1"/>
      <c r="R143" s="3"/>
    </row>
    <row r="144" spans="1:18" ht="15.75">
      <c r="A144" s="1"/>
      <c r="B144" s="279" t="s">
        <v>10</v>
      </c>
      <c r="C144" s="278"/>
      <c r="D144" s="277" t="s">
        <v>11</v>
      </c>
      <c r="E144" s="277"/>
      <c r="F144" s="277"/>
      <c r="G144" s="278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68</v>
      </c>
      <c r="E145" s="66" t="s">
        <v>69</v>
      </c>
      <c r="F145" s="66" t="s">
        <v>32</v>
      </c>
      <c r="G145" s="73" t="s">
        <v>394</v>
      </c>
      <c r="H145" s="1"/>
      <c r="M145" s="1"/>
      <c r="R145" s="3"/>
    </row>
    <row r="146" spans="1:22" ht="15.75">
      <c r="A146" s="1"/>
      <c r="B146" s="67">
        <v>50</v>
      </c>
      <c r="C146" s="37" t="s">
        <v>43</v>
      </c>
      <c r="D146" s="70"/>
      <c r="E146" s="71"/>
      <c r="F146" s="71"/>
      <c r="G146" s="34"/>
      <c r="H146" s="1"/>
      <c r="M146" s="1"/>
      <c r="R146" s="3"/>
    </row>
    <row r="147" spans="1:22" ht="15.75">
      <c r="A147" s="1"/>
      <c r="B147" s="68"/>
      <c r="C147" s="34"/>
      <c r="D147" s="70"/>
      <c r="E147" s="71"/>
      <c r="F147" s="71"/>
      <c r="G147" s="34"/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/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50</v>
      </c>
      <c r="C160" s="35" t="s">
        <v>66</v>
      </c>
      <c r="D160" s="69">
        <f>SUM(D146:D159)</f>
        <v>0</v>
      </c>
      <c r="E160" s="69">
        <f>SUM(E146:E159)</f>
        <v>0</v>
      </c>
      <c r="F160" s="69">
        <f>SUM(F146:F159)</f>
        <v>0</v>
      </c>
      <c r="G160" s="35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71" t="str">
        <f>'2018'!A28</f>
        <v>Vacaciones</v>
      </c>
      <c r="C162" s="272"/>
      <c r="D162" s="272"/>
      <c r="E162" s="272"/>
      <c r="F162" s="272"/>
      <c r="G162" s="273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74"/>
      <c r="C163" s="275"/>
      <c r="D163" s="275"/>
      <c r="E163" s="275"/>
      <c r="F163" s="275"/>
      <c r="G163" s="27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79" t="s">
        <v>10</v>
      </c>
      <c r="C164" s="278"/>
      <c r="D164" s="277" t="s">
        <v>11</v>
      </c>
      <c r="E164" s="277"/>
      <c r="F164" s="277"/>
      <c r="G164" s="27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68</v>
      </c>
      <c r="E165" s="66" t="s">
        <v>69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>
        <v>9.5</v>
      </c>
      <c r="E166" s="71"/>
      <c r="F166" s="71"/>
      <c r="G166" s="34" t="s">
        <v>452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/>
      <c r="C167" s="34"/>
      <c r="D167" s="70"/>
      <c r="E167" s="71"/>
      <c r="F167" s="71"/>
      <c r="G167" s="3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/>
      <c r="G168" s="3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200</v>
      </c>
      <c r="C180" s="35" t="s">
        <v>66</v>
      </c>
      <c r="D180" s="69">
        <f>SUM(D166:D179)</f>
        <v>9.5</v>
      </c>
      <c r="E180" s="69">
        <f>SUM(E166:E179)</f>
        <v>0</v>
      </c>
      <c r="F180" s="69">
        <f>SUM(F166:F179)</f>
        <v>0</v>
      </c>
      <c r="G180" s="35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71" t="str">
        <f>'2018'!A29</f>
        <v>Ropa</v>
      </c>
      <c r="C182" s="272"/>
      <c r="D182" s="272"/>
      <c r="E182" s="272"/>
      <c r="F182" s="272"/>
      <c r="G182" s="273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74"/>
      <c r="C183" s="275"/>
      <c r="D183" s="275"/>
      <c r="E183" s="275"/>
      <c r="F183" s="275"/>
      <c r="G183" s="27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79" t="s">
        <v>10</v>
      </c>
      <c r="C184" s="278"/>
      <c r="D184" s="277" t="s">
        <v>11</v>
      </c>
      <c r="E184" s="277"/>
      <c r="F184" s="277"/>
      <c r="G184" s="27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68</v>
      </c>
      <c r="E185" s="66" t="s">
        <v>69</v>
      </c>
      <c r="F185" s="66" t="s">
        <v>32</v>
      </c>
      <c r="G185" s="73" t="s">
        <v>394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60</v>
      </c>
      <c r="C186" s="37" t="s">
        <v>43</v>
      </c>
      <c r="D186" s="70">
        <v>29.99</v>
      </c>
      <c r="E186" s="71"/>
      <c r="F186" s="71"/>
      <c r="G186" s="34" t="s">
        <v>457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>
        <v>35</v>
      </c>
      <c r="E187" s="71"/>
      <c r="F187" s="71"/>
      <c r="G187" s="34" t="s">
        <v>456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>
        <v>19.989999999999998</v>
      </c>
      <c r="E188" s="71"/>
      <c r="F188" s="71"/>
      <c r="G188" s="34" t="s">
        <v>455</v>
      </c>
    </row>
    <row r="189" spans="1:22">
      <c r="B189" s="68"/>
      <c r="C189" s="34"/>
      <c r="D189" s="70">
        <v>5.99</v>
      </c>
      <c r="E189" s="71"/>
      <c r="F189" s="71"/>
      <c r="G189" s="34" t="s">
        <v>501</v>
      </c>
    </row>
    <row r="190" spans="1:22">
      <c r="B190" s="68"/>
      <c r="C190" s="34"/>
      <c r="D190" s="70">
        <f>60.26-D290</f>
        <v>29.099999999999998</v>
      </c>
      <c r="E190" s="71"/>
      <c r="F190" s="71"/>
      <c r="G190" s="34" t="s">
        <v>504</v>
      </c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60</v>
      </c>
      <c r="C200" s="35" t="s">
        <v>66</v>
      </c>
      <c r="D200" s="69">
        <f>SUM(D186:D199)</f>
        <v>120.06999999999998</v>
      </c>
      <c r="E200" s="69">
        <f>SUM(E186:E199)</f>
        <v>0</v>
      </c>
      <c r="F200" s="69">
        <f>SUM(F186:F199)</f>
        <v>0</v>
      </c>
      <c r="G200" s="35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71" t="str">
        <f>'2018'!A30</f>
        <v>Belleza</v>
      </c>
      <c r="C202" s="272"/>
      <c r="D202" s="272"/>
      <c r="E202" s="272"/>
      <c r="F202" s="272"/>
      <c r="G202" s="273"/>
    </row>
    <row r="203" spans="2:7" ht="15" customHeight="1" thickBot="1">
      <c r="B203" s="274"/>
      <c r="C203" s="275"/>
      <c r="D203" s="275"/>
      <c r="E203" s="275"/>
      <c r="F203" s="275"/>
      <c r="G203" s="276"/>
    </row>
    <row r="204" spans="2:7">
      <c r="B204" s="279" t="s">
        <v>10</v>
      </c>
      <c r="C204" s="278"/>
      <c r="D204" s="277" t="s">
        <v>11</v>
      </c>
      <c r="E204" s="277"/>
      <c r="F204" s="277"/>
      <c r="G204" s="278"/>
    </row>
    <row r="205" spans="2:7">
      <c r="B205" s="65" t="s">
        <v>32</v>
      </c>
      <c r="C205" s="73" t="s">
        <v>33</v>
      </c>
      <c r="D205" s="65" t="s">
        <v>68</v>
      </c>
      <c r="E205" s="66" t="s">
        <v>69</v>
      </c>
      <c r="F205" s="66" t="s">
        <v>32</v>
      </c>
      <c r="G205" s="73" t="s">
        <v>394</v>
      </c>
    </row>
    <row r="206" spans="2:7">
      <c r="B206" s="67">
        <v>35</v>
      </c>
      <c r="C206" s="37"/>
      <c r="D206" s="70">
        <f>20.05-D288</f>
        <v>10.050000000000001</v>
      </c>
      <c r="E206" s="71"/>
      <c r="F206" s="71"/>
      <c r="G206" s="34" t="s">
        <v>498</v>
      </c>
    </row>
    <row r="207" spans="2:7">
      <c r="B207" s="68"/>
      <c r="C207" s="34"/>
      <c r="D207" s="70"/>
      <c r="E207" s="71"/>
      <c r="F207" s="71"/>
      <c r="G207" s="34"/>
    </row>
    <row r="208" spans="2:7">
      <c r="B208" s="68"/>
      <c r="C208" s="34"/>
      <c r="D208" s="70"/>
      <c r="E208" s="71"/>
      <c r="F208" s="71"/>
      <c r="G208" s="34"/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66</v>
      </c>
      <c r="D220" s="69">
        <f>SUM(D206:D219)</f>
        <v>10.050000000000001</v>
      </c>
      <c r="E220" s="69">
        <f>SUM(E206:E219)</f>
        <v>0</v>
      </c>
      <c r="F220" s="69">
        <f>SUM(F206:F219)</f>
        <v>0</v>
      </c>
      <c r="G220" s="35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71" t="str">
        <f>'2018'!A31</f>
        <v>Deportes</v>
      </c>
      <c r="C222" s="272"/>
      <c r="D222" s="272"/>
      <c r="E222" s="272"/>
      <c r="F222" s="272"/>
      <c r="G222" s="273"/>
    </row>
    <row r="223" spans="2:7" ht="15" customHeight="1" thickBot="1">
      <c r="B223" s="274"/>
      <c r="C223" s="275"/>
      <c r="D223" s="275"/>
      <c r="E223" s="275"/>
      <c r="F223" s="275"/>
      <c r="G223" s="276"/>
    </row>
    <row r="224" spans="2:7">
      <c r="B224" s="279" t="s">
        <v>10</v>
      </c>
      <c r="C224" s="278"/>
      <c r="D224" s="277" t="s">
        <v>11</v>
      </c>
      <c r="E224" s="277"/>
      <c r="F224" s="277"/>
      <c r="G224" s="278"/>
    </row>
    <row r="225" spans="2:7">
      <c r="B225" s="65" t="s">
        <v>32</v>
      </c>
      <c r="C225" s="73" t="s">
        <v>33</v>
      </c>
      <c r="D225" s="65" t="s">
        <v>68</v>
      </c>
      <c r="E225" s="66" t="s">
        <v>69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>
        <v>20</v>
      </c>
      <c r="E226" s="71"/>
      <c r="F226" s="71"/>
      <c r="G226" s="71" t="s">
        <v>50</v>
      </c>
    </row>
    <row r="227" spans="2:7">
      <c r="B227" s="68">
        <v>65</v>
      </c>
      <c r="C227" s="34" t="s">
        <v>102</v>
      </c>
      <c r="D227" s="70"/>
      <c r="E227" s="71"/>
      <c r="F227" s="71"/>
      <c r="G227" s="34"/>
    </row>
    <row r="228" spans="2:7">
      <c r="B228" s="68">
        <v>5</v>
      </c>
      <c r="C228" s="34" t="s">
        <v>46</v>
      </c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90</v>
      </c>
      <c r="C240" s="35" t="s">
        <v>66</v>
      </c>
      <c r="D240" s="69">
        <f>SUM(D226:D239)</f>
        <v>20</v>
      </c>
      <c r="E240" s="69">
        <f>SUM(E226:E239)</f>
        <v>0</v>
      </c>
      <c r="F240" s="69">
        <f>SUM(F226:F239)</f>
        <v>0</v>
      </c>
      <c r="G240" s="35" t="s">
        <v>66</v>
      </c>
    </row>
    <row r="241" spans="2:8" ht="15.75" thickBot="1">
      <c r="B241" s="3"/>
      <c r="C241" s="3"/>
      <c r="D241" s="3"/>
      <c r="E241" s="3"/>
    </row>
    <row r="242" spans="2:8" ht="14.45" customHeight="1">
      <c r="B242" s="271" t="str">
        <f>'2018'!A32</f>
        <v>Hogar</v>
      </c>
      <c r="C242" s="272"/>
      <c r="D242" s="272"/>
      <c r="E242" s="272"/>
      <c r="F242" s="272"/>
      <c r="G242" s="273"/>
    </row>
    <row r="243" spans="2:8" ht="15" customHeight="1" thickBot="1">
      <c r="B243" s="274"/>
      <c r="C243" s="275"/>
      <c r="D243" s="275"/>
      <c r="E243" s="275"/>
      <c r="F243" s="275"/>
      <c r="G243" s="276"/>
    </row>
    <row r="244" spans="2:8" ht="15" customHeight="1">
      <c r="B244" s="279" t="s">
        <v>10</v>
      </c>
      <c r="C244" s="278"/>
      <c r="D244" s="277" t="s">
        <v>11</v>
      </c>
      <c r="E244" s="277"/>
      <c r="F244" s="277"/>
      <c r="G244" s="278"/>
    </row>
    <row r="245" spans="2:8" ht="15" customHeight="1">
      <c r="B245" s="65" t="s">
        <v>32</v>
      </c>
      <c r="C245" s="73" t="s">
        <v>33</v>
      </c>
      <c r="D245" s="65" t="s">
        <v>68</v>
      </c>
      <c r="E245" s="66" t="s">
        <v>69</v>
      </c>
      <c r="F245" s="66" t="s">
        <v>32</v>
      </c>
      <c r="G245" s="73" t="s">
        <v>394</v>
      </c>
    </row>
    <row r="246" spans="2:8" ht="15" customHeight="1">
      <c r="B246" s="68">
        <v>80</v>
      </c>
      <c r="C246" s="79"/>
      <c r="D246" s="70">
        <v>10</v>
      </c>
      <c r="E246" s="71"/>
      <c r="F246" s="71"/>
      <c r="G246" s="34" t="s">
        <v>474</v>
      </c>
    </row>
    <row r="247" spans="2:8" ht="15" customHeight="1">
      <c r="B247" s="68"/>
      <c r="C247" s="34"/>
      <c r="D247" s="70">
        <f>28.31</f>
        <v>28.31</v>
      </c>
      <c r="E247" s="71"/>
      <c r="F247" s="71"/>
      <c r="G247" s="34" t="s">
        <v>481</v>
      </c>
    </row>
    <row r="248" spans="2:8">
      <c r="B248" s="68"/>
      <c r="C248" s="34"/>
      <c r="D248" s="70">
        <f>57.39-D289</f>
        <v>49.55</v>
      </c>
      <c r="E248" s="71"/>
      <c r="F248" s="71"/>
      <c r="G248" s="34" t="s">
        <v>505</v>
      </c>
      <c r="H248" s="203"/>
    </row>
    <row r="249" spans="2:8">
      <c r="B249" s="68"/>
      <c r="C249" s="34"/>
      <c r="D249" s="70">
        <v>129</v>
      </c>
      <c r="E249" s="71"/>
      <c r="F249" s="71"/>
      <c r="G249" s="34" t="s">
        <v>508</v>
      </c>
    </row>
    <row r="250" spans="2:8">
      <c r="B250" s="68"/>
      <c r="C250" s="34"/>
      <c r="D250" s="70">
        <v>271.56</v>
      </c>
      <c r="E250" s="71"/>
      <c r="F250" s="71"/>
      <c r="G250" s="34" t="s">
        <v>512</v>
      </c>
    </row>
    <row r="251" spans="2:8">
      <c r="B251" s="68"/>
      <c r="C251" s="34"/>
      <c r="D251" s="70">
        <v>14.06</v>
      </c>
      <c r="E251" s="71"/>
      <c r="F251" s="71"/>
      <c r="G251" s="34" t="s">
        <v>515</v>
      </c>
    </row>
    <row r="252" spans="2:8">
      <c r="B252" s="68"/>
      <c r="C252" s="34"/>
      <c r="D252" s="70"/>
      <c r="E252" s="71"/>
      <c r="F252" s="71"/>
      <c r="G252" s="34"/>
    </row>
    <row r="253" spans="2:8">
      <c r="B253" s="68"/>
      <c r="C253" s="34"/>
      <c r="D253" s="70"/>
      <c r="E253" s="71"/>
      <c r="F253" s="71"/>
      <c r="G253" s="34"/>
    </row>
    <row r="254" spans="2:8">
      <c r="B254" s="68"/>
      <c r="C254" s="34"/>
      <c r="D254" s="70"/>
      <c r="E254" s="71"/>
      <c r="F254" s="71"/>
      <c r="G254" s="34"/>
    </row>
    <row r="255" spans="2:8">
      <c r="B255" s="68"/>
      <c r="C255" s="34"/>
      <c r="D255" s="70"/>
      <c r="E255" s="71"/>
      <c r="F255" s="71"/>
      <c r="G255" s="34"/>
    </row>
    <row r="256" spans="2:8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80</v>
      </c>
      <c r="C260" s="35" t="s">
        <v>66</v>
      </c>
      <c r="D260" s="69">
        <f>SUM(D246:D259)</f>
        <v>502.48</v>
      </c>
      <c r="E260" s="69">
        <f>SUM(E246:E259)</f>
        <v>0</v>
      </c>
      <c r="F260" s="69">
        <f>SUM(F246:F259)</f>
        <v>0</v>
      </c>
      <c r="G260" s="35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71" t="str">
        <f>'2018'!A33</f>
        <v>Formación</v>
      </c>
      <c r="C262" s="272"/>
      <c r="D262" s="272"/>
      <c r="E262" s="272"/>
      <c r="F262" s="272"/>
      <c r="G262" s="273"/>
    </row>
    <row r="263" spans="2:7" ht="15" customHeight="1" thickBot="1">
      <c r="B263" s="274"/>
      <c r="C263" s="275"/>
      <c r="D263" s="275"/>
      <c r="E263" s="275"/>
      <c r="F263" s="275"/>
      <c r="G263" s="276"/>
    </row>
    <row r="264" spans="2:7">
      <c r="B264" s="279" t="s">
        <v>10</v>
      </c>
      <c r="C264" s="278"/>
      <c r="D264" s="277" t="s">
        <v>11</v>
      </c>
      <c r="E264" s="277"/>
      <c r="F264" s="277"/>
      <c r="G264" s="278"/>
    </row>
    <row r="265" spans="2:7">
      <c r="B265" s="65" t="s">
        <v>32</v>
      </c>
      <c r="C265" s="73" t="s">
        <v>33</v>
      </c>
      <c r="D265" s="65" t="s">
        <v>68</v>
      </c>
      <c r="E265" s="66" t="s">
        <v>69</v>
      </c>
      <c r="F265" s="66" t="s">
        <v>32</v>
      </c>
      <c r="G265" s="73" t="s">
        <v>33</v>
      </c>
    </row>
    <row r="266" spans="2:7">
      <c r="B266" s="67">
        <v>10</v>
      </c>
      <c r="C266" s="37"/>
      <c r="D266" s="70"/>
      <c r="E266" s="71"/>
      <c r="F266" s="71"/>
      <c r="G266" s="34"/>
    </row>
    <row r="267" spans="2:7">
      <c r="B267" s="68"/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7">
      <c r="B273" s="68"/>
      <c r="C273" s="34"/>
      <c r="D273" s="70"/>
      <c r="E273" s="71"/>
      <c r="F273" s="71"/>
      <c r="G273" s="34"/>
    </row>
    <row r="274" spans="2:7">
      <c r="B274" s="68"/>
      <c r="C274" s="34"/>
      <c r="D274" s="70"/>
      <c r="E274" s="71"/>
      <c r="F274" s="71"/>
      <c r="G274" s="34"/>
    </row>
    <row r="275" spans="2:7">
      <c r="B275" s="68"/>
      <c r="C275" s="34"/>
      <c r="D275" s="70"/>
      <c r="E275" s="71"/>
      <c r="F275" s="71"/>
      <c r="G275" s="34"/>
    </row>
    <row r="276" spans="2:7">
      <c r="B276" s="68"/>
      <c r="C276" s="34"/>
      <c r="D276" s="70"/>
      <c r="E276" s="71"/>
      <c r="F276" s="71"/>
      <c r="G276" s="34"/>
    </row>
    <row r="277" spans="2:7">
      <c r="B277" s="68"/>
      <c r="C277" s="34"/>
      <c r="D277" s="70"/>
      <c r="E277" s="71"/>
      <c r="F277" s="71"/>
      <c r="G277" s="34"/>
    </row>
    <row r="278" spans="2:7">
      <c r="B278" s="68"/>
      <c r="C278" s="34"/>
      <c r="D278" s="70"/>
      <c r="E278" s="71"/>
      <c r="F278" s="71"/>
      <c r="G278" s="34"/>
    </row>
    <row r="279" spans="2:7" ht="15.75" thickBot="1">
      <c r="B279" s="69"/>
      <c r="C279" s="35"/>
      <c r="D279" s="69"/>
      <c r="E279" s="72"/>
      <c r="F279" s="72"/>
      <c r="G279" s="35"/>
    </row>
    <row r="280" spans="2:7" ht="15.75" thickBot="1">
      <c r="B280" s="69">
        <f>SUM(B266:B279)</f>
        <v>10</v>
      </c>
      <c r="C280" s="35" t="s">
        <v>66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271" t="str">
        <f>'2018'!A34</f>
        <v>Regalos</v>
      </c>
      <c r="C282" s="272"/>
      <c r="D282" s="272"/>
      <c r="E282" s="272"/>
      <c r="F282" s="272"/>
      <c r="G282" s="273"/>
    </row>
    <row r="283" spans="2:7" ht="15" customHeight="1" thickBot="1">
      <c r="B283" s="274"/>
      <c r="C283" s="275"/>
      <c r="D283" s="275"/>
      <c r="E283" s="275"/>
      <c r="F283" s="275"/>
      <c r="G283" s="276"/>
    </row>
    <row r="284" spans="2:7">
      <c r="B284" s="279" t="s">
        <v>10</v>
      </c>
      <c r="C284" s="278"/>
      <c r="D284" s="277" t="s">
        <v>11</v>
      </c>
      <c r="E284" s="277"/>
      <c r="F284" s="277"/>
      <c r="G284" s="278"/>
    </row>
    <row r="285" spans="2:7">
      <c r="B285" s="65" t="s">
        <v>32</v>
      </c>
      <c r="C285" s="73" t="s">
        <v>33</v>
      </c>
      <c r="D285" s="65" t="s">
        <v>68</v>
      </c>
      <c r="E285" s="66" t="s">
        <v>69</v>
      </c>
      <c r="F285" s="66" t="s">
        <v>32</v>
      </c>
      <c r="G285" s="73" t="s">
        <v>394</v>
      </c>
    </row>
    <row r="286" spans="2:7">
      <c r="B286" s="67">
        <v>120</v>
      </c>
      <c r="C286" s="37" t="s">
        <v>36</v>
      </c>
      <c r="D286" s="70">
        <f>6.5</f>
        <v>6.5</v>
      </c>
      <c r="E286" s="71"/>
      <c r="F286" s="71"/>
      <c r="G286" s="34" t="s">
        <v>453</v>
      </c>
    </row>
    <row r="287" spans="2:7">
      <c r="B287" s="68">
        <v>200</v>
      </c>
      <c r="C287" s="34" t="s">
        <v>428</v>
      </c>
      <c r="D287" s="70"/>
      <c r="E287" s="71">
        <v>20.04</v>
      </c>
      <c r="F287" s="71"/>
      <c r="G287" s="34" t="s">
        <v>495</v>
      </c>
    </row>
    <row r="288" spans="2:7">
      <c r="B288" s="68"/>
      <c r="C288" s="34"/>
      <c r="D288" s="70">
        <v>10</v>
      </c>
      <c r="E288" s="71"/>
      <c r="F288" s="71"/>
      <c r="G288" s="34" t="s">
        <v>497</v>
      </c>
    </row>
    <row r="289" spans="2:7">
      <c r="B289" s="68"/>
      <c r="C289" s="34"/>
      <c r="D289" s="70">
        <f>7.84</f>
        <v>7.84</v>
      </c>
      <c r="E289" s="71"/>
      <c r="F289" s="71"/>
      <c r="G289" s="34" t="s">
        <v>506</v>
      </c>
    </row>
    <row r="290" spans="2:7">
      <c r="B290" s="68"/>
      <c r="C290" s="34"/>
      <c r="D290" s="70">
        <f>39-D289</f>
        <v>31.16</v>
      </c>
      <c r="E290" s="71"/>
      <c r="F290" s="71"/>
      <c r="G290" s="34" t="s">
        <v>507</v>
      </c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320</v>
      </c>
      <c r="C300" s="35" t="s">
        <v>66</v>
      </c>
      <c r="D300" s="69">
        <f>SUM(D286:D299)</f>
        <v>55.5</v>
      </c>
      <c r="E300" s="69">
        <f>SUM(E286:E299)</f>
        <v>20.04</v>
      </c>
      <c r="F300" s="69">
        <f>SUM(F286:F299)</f>
        <v>0</v>
      </c>
      <c r="G300" s="35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71" t="str">
        <f>'2018'!A35</f>
        <v>Salud</v>
      </c>
      <c r="C302" s="272"/>
      <c r="D302" s="272"/>
      <c r="E302" s="272"/>
      <c r="F302" s="272"/>
      <c r="G302" s="273"/>
    </row>
    <row r="303" spans="2:7" ht="15" customHeight="1" thickBot="1">
      <c r="B303" s="274"/>
      <c r="C303" s="275"/>
      <c r="D303" s="275"/>
      <c r="E303" s="275"/>
      <c r="F303" s="275"/>
      <c r="G303" s="276"/>
    </row>
    <row r="304" spans="2:7">
      <c r="B304" s="279" t="s">
        <v>10</v>
      </c>
      <c r="C304" s="278"/>
      <c r="D304" s="277" t="s">
        <v>11</v>
      </c>
      <c r="E304" s="277"/>
      <c r="F304" s="277"/>
      <c r="G304" s="278"/>
    </row>
    <row r="305" spans="2:7">
      <c r="B305" s="65" t="s">
        <v>32</v>
      </c>
      <c r="C305" s="73" t="s">
        <v>33</v>
      </c>
      <c r="D305" s="65" t="s">
        <v>68</v>
      </c>
      <c r="E305" s="66" t="s">
        <v>69</v>
      </c>
      <c r="F305" s="66" t="s">
        <v>32</v>
      </c>
      <c r="G305" s="73" t="s">
        <v>394</v>
      </c>
    </row>
    <row r="306" spans="2:7">
      <c r="B306" s="67">
        <v>100</v>
      </c>
      <c r="C306" s="37" t="s">
        <v>60</v>
      </c>
      <c r="D306" s="70">
        <f>34.5*2</f>
        <v>69</v>
      </c>
      <c r="E306" s="71"/>
      <c r="F306" s="71"/>
      <c r="G306" s="34" t="s">
        <v>226</v>
      </c>
    </row>
    <row r="307" spans="2:7">
      <c r="B307" s="119"/>
      <c r="C307" s="79"/>
      <c r="D307" s="70">
        <f>44.33+13.65</f>
        <v>57.98</v>
      </c>
      <c r="E307" s="71"/>
      <c r="F307" s="71"/>
      <c r="G307" s="34" t="s">
        <v>463</v>
      </c>
    </row>
    <row r="308" spans="2:7">
      <c r="B308" s="119"/>
      <c r="C308" s="79"/>
      <c r="D308" s="70">
        <v>42.55</v>
      </c>
      <c r="E308" s="71"/>
      <c r="F308" s="71"/>
      <c r="G308" s="34" t="s">
        <v>484</v>
      </c>
    </row>
    <row r="309" spans="2:7">
      <c r="B309" s="68"/>
      <c r="C309" s="34"/>
      <c r="D309" s="70" t="s">
        <v>485</v>
      </c>
      <c r="E309" s="71"/>
      <c r="F309" s="71"/>
      <c r="G309" s="34"/>
    </row>
    <row r="310" spans="2:7">
      <c r="B310" s="68"/>
      <c r="C310" s="34"/>
      <c r="D310" s="70"/>
      <c r="E310" s="71"/>
      <c r="F310" s="71"/>
      <c r="G310" s="34"/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66</v>
      </c>
      <c r="D320" s="69">
        <f>SUM(D306:D319)</f>
        <v>169.52999999999997</v>
      </c>
      <c r="E320" s="69">
        <f>SUM(E306:E319)</f>
        <v>0</v>
      </c>
      <c r="F320" s="69">
        <f>SUM(F306:F319)</f>
        <v>0</v>
      </c>
      <c r="G320" s="35" t="s">
        <v>66</v>
      </c>
    </row>
    <row r="321" spans="2:7" ht="15.75" thickBot="1"/>
    <row r="322" spans="2:7" ht="14.45" customHeight="1">
      <c r="B322" s="271" t="str">
        <f>'2018'!A36</f>
        <v>Martina</v>
      </c>
      <c r="C322" s="272"/>
      <c r="D322" s="272"/>
      <c r="E322" s="272"/>
      <c r="F322" s="272"/>
      <c r="G322" s="273"/>
    </row>
    <row r="323" spans="2:7" ht="15" customHeight="1" thickBot="1">
      <c r="B323" s="274"/>
      <c r="C323" s="275"/>
      <c r="D323" s="275"/>
      <c r="E323" s="275"/>
      <c r="F323" s="275"/>
      <c r="G323" s="276"/>
    </row>
    <row r="324" spans="2:7">
      <c r="B324" s="279" t="s">
        <v>10</v>
      </c>
      <c r="C324" s="278"/>
      <c r="D324" s="277" t="s">
        <v>11</v>
      </c>
      <c r="E324" s="277"/>
      <c r="F324" s="277"/>
      <c r="G324" s="278"/>
    </row>
    <row r="325" spans="2:7">
      <c r="B325" s="65" t="s">
        <v>32</v>
      </c>
      <c r="C325" s="73" t="s">
        <v>33</v>
      </c>
      <c r="D325" s="65" t="s">
        <v>68</v>
      </c>
      <c r="E325" s="66" t="s">
        <v>69</v>
      </c>
      <c r="F325" s="66" t="s">
        <v>32</v>
      </c>
      <c r="G325" s="73" t="s">
        <v>394</v>
      </c>
    </row>
    <row r="326" spans="2:7">
      <c r="B326" s="67">
        <v>10</v>
      </c>
      <c r="C326" s="37"/>
      <c r="D326" s="70"/>
      <c r="E326" s="71">
        <v>39.9</v>
      </c>
      <c r="F326" s="71"/>
      <c r="G326" s="34" t="s">
        <v>459</v>
      </c>
    </row>
    <row r="327" spans="2:7">
      <c r="B327" s="68"/>
      <c r="C327" s="34"/>
      <c r="D327" s="70"/>
      <c r="E327" s="71">
        <v>120.56</v>
      </c>
      <c r="F327" s="71"/>
      <c r="G327" s="34" t="s">
        <v>491</v>
      </c>
    </row>
    <row r="328" spans="2:7">
      <c r="B328" s="68"/>
      <c r="C328" s="34"/>
      <c r="D328" s="70">
        <v>12.25</v>
      </c>
      <c r="E328" s="71"/>
      <c r="F328" s="71"/>
      <c r="G328" s="34" t="s">
        <v>502</v>
      </c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10</v>
      </c>
      <c r="C340" s="35" t="s">
        <v>66</v>
      </c>
      <c r="D340" s="69">
        <f>SUM(D326:D339)</f>
        <v>12.25</v>
      </c>
      <c r="E340" s="69">
        <f>SUM(E326:E339)</f>
        <v>160.46</v>
      </c>
      <c r="F340" s="69">
        <f>SUM(F326:F339)</f>
        <v>0</v>
      </c>
      <c r="G340" s="35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71" t="str">
        <f>'2018'!A37</f>
        <v>Impuestos</v>
      </c>
      <c r="C342" s="272"/>
      <c r="D342" s="272"/>
      <c r="E342" s="272"/>
      <c r="F342" s="272"/>
      <c r="G342" s="273"/>
    </row>
    <row r="343" spans="2:7" ht="15" customHeight="1" thickBot="1">
      <c r="B343" s="274"/>
      <c r="C343" s="275"/>
      <c r="D343" s="275"/>
      <c r="E343" s="275"/>
      <c r="F343" s="275"/>
      <c r="G343" s="276"/>
    </row>
    <row r="344" spans="2:7">
      <c r="B344" s="279" t="s">
        <v>10</v>
      </c>
      <c r="C344" s="278"/>
      <c r="D344" s="277" t="s">
        <v>11</v>
      </c>
      <c r="E344" s="277"/>
      <c r="F344" s="277"/>
      <c r="G344" s="278"/>
    </row>
    <row r="345" spans="2:7">
      <c r="B345" s="65" t="s">
        <v>32</v>
      </c>
      <c r="C345" s="73" t="s">
        <v>33</v>
      </c>
      <c r="D345" s="65" t="s">
        <v>68</v>
      </c>
      <c r="E345" s="66" t="s">
        <v>69</v>
      </c>
      <c r="F345" s="66" t="s">
        <v>32</v>
      </c>
      <c r="G345" s="73" t="s">
        <v>394</v>
      </c>
    </row>
    <row r="346" spans="2:7">
      <c r="B346" s="67">
        <v>30</v>
      </c>
      <c r="C346" s="37" t="s">
        <v>119</v>
      </c>
      <c r="D346" s="70">
        <v>86</v>
      </c>
      <c r="E346" s="71"/>
      <c r="F346" s="71"/>
      <c r="G346" s="34" t="s">
        <v>478</v>
      </c>
    </row>
    <row r="347" spans="2:7">
      <c r="B347" s="68"/>
      <c r="C347" s="34"/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30</v>
      </c>
      <c r="C360" s="35" t="s">
        <v>66</v>
      </c>
      <c r="D360" s="69">
        <f>SUM(D346:D359)</f>
        <v>86</v>
      </c>
      <c r="E360" s="69">
        <f>SUM(E346:E359)</f>
        <v>0</v>
      </c>
      <c r="F360" s="69">
        <f>SUM(F346:F359)</f>
        <v>0</v>
      </c>
      <c r="G360" s="35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71" t="str">
        <f>'2018'!A38</f>
        <v>Gastos Curros</v>
      </c>
      <c r="C362" s="272"/>
      <c r="D362" s="272"/>
      <c r="E362" s="272"/>
      <c r="F362" s="272"/>
      <c r="G362" s="273"/>
    </row>
    <row r="363" spans="2:7" ht="15" customHeight="1" thickBot="1">
      <c r="B363" s="274"/>
      <c r="C363" s="275"/>
      <c r="D363" s="275"/>
      <c r="E363" s="275"/>
      <c r="F363" s="275"/>
      <c r="G363" s="276"/>
    </row>
    <row r="364" spans="2:7">
      <c r="B364" s="279" t="s">
        <v>10</v>
      </c>
      <c r="C364" s="278"/>
      <c r="D364" s="277" t="s">
        <v>11</v>
      </c>
      <c r="E364" s="277"/>
      <c r="F364" s="277"/>
      <c r="G364" s="278"/>
    </row>
    <row r="365" spans="2:7">
      <c r="B365" s="65" t="s">
        <v>32</v>
      </c>
      <c r="C365" s="73" t="s">
        <v>33</v>
      </c>
      <c r="D365" s="65" t="s">
        <v>68</v>
      </c>
      <c r="E365" s="66" t="s">
        <v>69</v>
      </c>
      <c r="F365" s="66" t="s">
        <v>32</v>
      </c>
      <c r="G365" s="73" t="s">
        <v>394</v>
      </c>
    </row>
    <row r="366" spans="2:7">
      <c r="B366" s="67">
        <v>103</v>
      </c>
      <c r="C366" s="37" t="s">
        <v>36</v>
      </c>
      <c r="D366" s="70"/>
      <c r="E366" s="71"/>
      <c r="F366" s="71">
        <f>4.45+3.4+3.4+4+3.4+3.4+3.4+3.4+4.45+3.4+3.4+3.4+2.65-D51+4.5+4.7+3.4</f>
        <v>57.199999999999996</v>
      </c>
      <c r="G366" s="91" t="s">
        <v>91</v>
      </c>
    </row>
    <row r="367" spans="2:7">
      <c r="B367" s="68"/>
      <c r="C367" s="34"/>
      <c r="D367" s="70">
        <v>7.7</v>
      </c>
      <c r="E367" s="71"/>
      <c r="F367" s="71"/>
      <c r="G367" s="91" t="s">
        <v>492</v>
      </c>
    </row>
    <row r="368" spans="2:7">
      <c r="B368" s="68"/>
      <c r="C368" s="34"/>
      <c r="D368" s="70"/>
      <c r="E368" s="71">
        <f>57.08-E287-E507</f>
        <v>25.77</v>
      </c>
      <c r="F368" s="71"/>
      <c r="G368" s="34" t="s">
        <v>493</v>
      </c>
    </row>
    <row r="369" spans="2:7">
      <c r="B369" s="68"/>
      <c r="C369" s="34"/>
      <c r="D369" s="70"/>
      <c r="E369" s="71"/>
      <c r="F369" s="71"/>
      <c r="G369" s="34"/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103</v>
      </c>
      <c r="C380" s="35" t="s">
        <v>66</v>
      </c>
      <c r="D380" s="69">
        <f>SUM(D366:D379)</f>
        <v>7.7</v>
      </c>
      <c r="E380" s="69">
        <f>SUM(E366:E379)</f>
        <v>25.77</v>
      </c>
      <c r="F380" s="69">
        <f>SUM(F366:F379)</f>
        <v>57.199999999999996</v>
      </c>
      <c r="G380" s="35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71" t="str">
        <f>'2018'!A39</f>
        <v>Dreamed Holidays</v>
      </c>
      <c r="C382" s="272"/>
      <c r="D382" s="272"/>
      <c r="E382" s="272"/>
      <c r="F382" s="272"/>
      <c r="G382" s="273"/>
    </row>
    <row r="383" spans="2:7" ht="15" customHeight="1" thickBot="1">
      <c r="B383" s="274"/>
      <c r="C383" s="275"/>
      <c r="D383" s="275"/>
      <c r="E383" s="275"/>
      <c r="F383" s="275"/>
      <c r="G383" s="276"/>
    </row>
    <row r="384" spans="2:7">
      <c r="B384" s="279" t="s">
        <v>10</v>
      </c>
      <c r="C384" s="278"/>
      <c r="D384" s="277" t="s">
        <v>11</v>
      </c>
      <c r="E384" s="277"/>
      <c r="F384" s="277"/>
      <c r="G384" s="278"/>
    </row>
    <row r="385" spans="2:7">
      <c r="B385" s="65" t="s">
        <v>32</v>
      </c>
      <c r="C385" s="73" t="s">
        <v>33</v>
      </c>
      <c r="D385" s="65" t="s">
        <v>68</v>
      </c>
      <c r="E385" s="66" t="s">
        <v>69</v>
      </c>
      <c r="F385" s="66" t="s">
        <v>32</v>
      </c>
      <c r="G385" s="73" t="s">
        <v>33</v>
      </c>
    </row>
    <row r="386" spans="2:7">
      <c r="B386" s="67">
        <v>10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10</v>
      </c>
      <c r="C400" s="35" t="s">
        <v>66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71" t="str">
        <f>'2018'!A40</f>
        <v>Financieros</v>
      </c>
      <c r="C402" s="272"/>
      <c r="D402" s="272"/>
      <c r="E402" s="272"/>
      <c r="F402" s="272"/>
      <c r="G402" s="273"/>
    </row>
    <row r="403" spans="2:7" ht="15" customHeight="1" thickBot="1">
      <c r="B403" s="274"/>
      <c r="C403" s="275"/>
      <c r="D403" s="275"/>
      <c r="E403" s="275"/>
      <c r="F403" s="275"/>
      <c r="G403" s="276"/>
    </row>
    <row r="404" spans="2:7">
      <c r="B404" s="279" t="s">
        <v>10</v>
      </c>
      <c r="C404" s="278"/>
      <c r="D404" s="277" t="s">
        <v>11</v>
      </c>
      <c r="E404" s="277"/>
      <c r="F404" s="277"/>
      <c r="G404" s="278"/>
    </row>
    <row r="405" spans="2:7">
      <c r="B405" s="65" t="s">
        <v>32</v>
      </c>
      <c r="C405" s="73" t="s">
        <v>33</v>
      </c>
      <c r="D405" s="65" t="s">
        <v>68</v>
      </c>
      <c r="E405" s="66" t="s">
        <v>69</v>
      </c>
      <c r="F405" s="66" t="s">
        <v>32</v>
      </c>
      <c r="G405" s="73" t="s">
        <v>33</v>
      </c>
    </row>
    <row r="406" spans="2:7">
      <c r="B406" s="67"/>
      <c r="C406" s="37"/>
      <c r="D406" s="70"/>
      <c r="E406" s="71"/>
      <c r="F406" s="71"/>
      <c r="G406" s="34"/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0</v>
      </c>
      <c r="C420" s="35" t="s">
        <v>66</v>
      </c>
      <c r="D420" s="69">
        <f>SUM(D406:D419)</f>
        <v>0</v>
      </c>
      <c r="E420" s="69">
        <f>SUM(E406:E419)</f>
        <v>0</v>
      </c>
      <c r="F420" s="69">
        <f>SUM(F406:F419)</f>
        <v>0</v>
      </c>
      <c r="G420" s="35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71" t="str">
        <f>'2018'!A41</f>
        <v>Ahorros Colchón</v>
      </c>
      <c r="C422" s="289"/>
      <c r="D422" s="289"/>
      <c r="E422" s="289"/>
      <c r="F422" s="289"/>
      <c r="G422" s="290"/>
    </row>
    <row r="423" spans="2:7" ht="15" customHeight="1" thickBot="1">
      <c r="B423" s="291"/>
      <c r="C423" s="292"/>
      <c r="D423" s="292"/>
      <c r="E423" s="292"/>
      <c r="F423" s="292"/>
      <c r="G423" s="293"/>
    </row>
    <row r="424" spans="2:7">
      <c r="B424" s="279" t="s">
        <v>10</v>
      </c>
      <c r="C424" s="278"/>
      <c r="D424" s="277" t="s">
        <v>11</v>
      </c>
      <c r="E424" s="277"/>
      <c r="F424" s="277"/>
      <c r="G424" s="278"/>
    </row>
    <row r="425" spans="2:7">
      <c r="B425" s="65" t="s">
        <v>32</v>
      </c>
      <c r="C425" s="73" t="s">
        <v>33</v>
      </c>
      <c r="D425" s="65" t="s">
        <v>68</v>
      </c>
      <c r="E425" s="66" t="s">
        <v>69</v>
      </c>
      <c r="F425" s="66" t="s">
        <v>32</v>
      </c>
      <c r="G425" s="73" t="s">
        <v>33</v>
      </c>
    </row>
    <row r="426" spans="2:7">
      <c r="B426" s="67">
        <f>-4618.3+'2018'!AA17</f>
        <v>-190.40000000000055</v>
      </c>
      <c r="C426" s="37" t="s">
        <v>405</v>
      </c>
      <c r="D426" s="70"/>
      <c r="E426" s="71"/>
      <c r="F426" s="71"/>
      <c r="G426" s="34"/>
    </row>
    <row r="427" spans="2:7">
      <c r="B427" s="68"/>
      <c r="C427" s="34"/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-190.40000000000055</v>
      </c>
      <c r="C440" s="35" t="s">
        <v>66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71" t="str">
        <f>'2018'!A42</f>
        <v>Dinero Bloqueado</v>
      </c>
      <c r="C442" s="289"/>
      <c r="D442" s="289"/>
      <c r="E442" s="289"/>
      <c r="F442" s="289"/>
      <c r="G442" s="290"/>
    </row>
    <row r="443" spans="2:7" ht="15" customHeight="1" thickBot="1">
      <c r="B443" s="291"/>
      <c r="C443" s="292"/>
      <c r="D443" s="292"/>
      <c r="E443" s="292"/>
      <c r="F443" s="292"/>
      <c r="G443" s="293"/>
    </row>
    <row r="444" spans="2:7">
      <c r="B444" s="279" t="s">
        <v>10</v>
      </c>
      <c r="C444" s="278"/>
      <c r="D444" s="277" t="s">
        <v>11</v>
      </c>
      <c r="E444" s="277"/>
      <c r="F444" s="277"/>
      <c r="G444" s="278"/>
    </row>
    <row r="445" spans="2:7">
      <c r="B445" s="65" t="s">
        <v>32</v>
      </c>
      <c r="C445" s="73" t="s">
        <v>33</v>
      </c>
      <c r="D445" s="65" t="s">
        <v>68</v>
      </c>
      <c r="E445" s="66" t="s">
        <v>69</v>
      </c>
      <c r="F445" s="66" t="s">
        <v>32</v>
      </c>
      <c r="G445" s="73" t="s">
        <v>33</v>
      </c>
    </row>
    <row r="446" spans="2:7">
      <c r="B446" s="67"/>
      <c r="C446" s="37"/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0</v>
      </c>
      <c r="C460" s="35" t="s">
        <v>66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71" t="str">
        <f>'2018'!A43</f>
        <v>Cartama Finanazas</v>
      </c>
      <c r="C462" s="289"/>
      <c r="D462" s="289"/>
      <c r="E462" s="289"/>
      <c r="F462" s="289"/>
      <c r="G462" s="290"/>
    </row>
    <row r="463" spans="2:7" ht="15" customHeight="1" thickBot="1">
      <c r="B463" s="291"/>
      <c r="C463" s="292"/>
      <c r="D463" s="292"/>
      <c r="E463" s="292"/>
      <c r="F463" s="292"/>
      <c r="G463" s="293"/>
    </row>
    <row r="464" spans="2:7">
      <c r="B464" s="279" t="s">
        <v>10</v>
      </c>
      <c r="C464" s="278"/>
      <c r="D464" s="277" t="s">
        <v>11</v>
      </c>
      <c r="E464" s="277"/>
      <c r="F464" s="277"/>
      <c r="G464" s="278"/>
    </row>
    <row r="465" spans="2:7">
      <c r="B465" s="65" t="s">
        <v>32</v>
      </c>
      <c r="C465" s="73" t="s">
        <v>33</v>
      </c>
      <c r="D465" s="65" t="s">
        <v>68</v>
      </c>
      <c r="E465" s="66" t="s">
        <v>69</v>
      </c>
      <c r="F465" s="66" t="s">
        <v>32</v>
      </c>
      <c r="G465" s="73" t="s">
        <v>33</v>
      </c>
    </row>
    <row r="466" spans="2:7">
      <c r="B466" s="67"/>
      <c r="C466" s="37"/>
      <c r="D466" s="70"/>
      <c r="E466" s="71"/>
      <c r="F466" s="71"/>
      <c r="G466" s="34"/>
    </row>
    <row r="467" spans="2:7">
      <c r="B467" s="68"/>
      <c r="C467" s="34"/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0</v>
      </c>
      <c r="C480" s="35" t="s">
        <v>66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66</v>
      </c>
    </row>
    <row r="481" spans="2:7" ht="15.75" thickBot="1"/>
    <row r="482" spans="2:7" ht="14.45" customHeight="1">
      <c r="B482" s="271" t="str">
        <f>'2018'!A44</f>
        <v>NULO</v>
      </c>
      <c r="C482" s="289"/>
      <c r="D482" s="289"/>
      <c r="E482" s="289"/>
      <c r="F482" s="289"/>
      <c r="G482" s="290"/>
    </row>
    <row r="483" spans="2:7" ht="15" customHeight="1" thickBot="1">
      <c r="B483" s="291"/>
      <c r="C483" s="292"/>
      <c r="D483" s="292"/>
      <c r="E483" s="292"/>
      <c r="F483" s="292"/>
      <c r="G483" s="293"/>
    </row>
    <row r="484" spans="2:7">
      <c r="B484" s="279" t="s">
        <v>10</v>
      </c>
      <c r="C484" s="278"/>
      <c r="D484" s="277" t="s">
        <v>11</v>
      </c>
      <c r="E484" s="277"/>
      <c r="F484" s="277"/>
      <c r="G484" s="278"/>
    </row>
    <row r="485" spans="2:7">
      <c r="B485" s="65" t="s">
        <v>32</v>
      </c>
      <c r="C485" s="73" t="s">
        <v>33</v>
      </c>
      <c r="D485" s="65" t="s">
        <v>68</v>
      </c>
      <c r="E485" s="66" t="s">
        <v>69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66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71" t="str">
        <f>'2018'!A45</f>
        <v>OTROS</v>
      </c>
      <c r="C502" s="289"/>
      <c r="D502" s="289"/>
      <c r="E502" s="289"/>
      <c r="F502" s="289"/>
      <c r="G502" s="290"/>
    </row>
    <row r="503" spans="2:7" ht="15" customHeight="1" thickBot="1">
      <c r="B503" s="291"/>
      <c r="C503" s="292"/>
      <c r="D503" s="292"/>
      <c r="E503" s="292"/>
      <c r="F503" s="292"/>
      <c r="G503" s="293"/>
    </row>
    <row r="504" spans="2:7">
      <c r="B504" s="279" t="s">
        <v>10</v>
      </c>
      <c r="C504" s="278"/>
      <c r="D504" s="277" t="s">
        <v>11</v>
      </c>
      <c r="E504" s="277"/>
      <c r="F504" s="277"/>
      <c r="G504" s="278"/>
    </row>
    <row r="505" spans="2:7">
      <c r="B505" s="65" t="s">
        <v>32</v>
      </c>
      <c r="C505" s="73" t="s">
        <v>33</v>
      </c>
      <c r="D505" s="65" t="s">
        <v>68</v>
      </c>
      <c r="E505" s="66" t="s">
        <v>69</v>
      </c>
      <c r="F505" s="66" t="s">
        <v>32</v>
      </c>
      <c r="G505" s="73" t="s">
        <v>33</v>
      </c>
    </row>
    <row r="506" spans="2:7">
      <c r="B506" s="67"/>
      <c r="C506" s="37"/>
      <c r="D506" s="70">
        <v>7.53</v>
      </c>
      <c r="E506" s="71"/>
      <c r="F506" s="71"/>
      <c r="G506" s="34" t="s">
        <v>494</v>
      </c>
    </row>
    <row r="507" spans="2:7">
      <c r="B507" s="68"/>
      <c r="C507" s="34"/>
      <c r="D507" s="70"/>
      <c r="E507" s="71">
        <v>11.27</v>
      </c>
      <c r="F507" s="71"/>
      <c r="G507" s="34" t="s">
        <v>496</v>
      </c>
    </row>
    <row r="508" spans="2:7">
      <c r="B508" s="68"/>
      <c r="C508" s="34"/>
      <c r="D508" s="70"/>
      <c r="E508" s="71">
        <v>49</v>
      </c>
      <c r="F508" s="71"/>
      <c r="G508" s="34" t="s">
        <v>519</v>
      </c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>
        <f>SUM(B506:B519)</f>
        <v>0</v>
      </c>
      <c r="C520" s="35" t="s">
        <v>66</v>
      </c>
      <c r="D520" s="69">
        <f>SUM(D506:D519)</f>
        <v>7.53</v>
      </c>
      <c r="E520" s="69">
        <f>SUM(E506:E519)</f>
        <v>60.269999999999996</v>
      </c>
      <c r="F520" s="69">
        <f>SUM(F506:F519)</f>
        <v>0</v>
      </c>
      <c r="G520" s="35" t="s">
        <v>66</v>
      </c>
    </row>
  </sheetData>
  <mergeCells count="111"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700-000000000000}"/>
    <hyperlink ref="I22" location="Trimestre!C39:F40" display="TELÉFONO" xr:uid="{00000000-0004-0000-0700-000001000000}"/>
    <hyperlink ref="I22:L23" location="'2018'!AA7:AD7" display="INGRESOS" xr:uid="{00000000-0004-0000-0700-000002000000}"/>
    <hyperlink ref="B2" location="Trimestre!C25:F26" display="HIPOTECA" xr:uid="{00000000-0004-0000-0700-000003000000}"/>
    <hyperlink ref="B2:G3" location="'2018'!AA20:AD20" display="'2018'!AA20:AD20" xr:uid="{00000000-0004-0000-0700-000004000000}"/>
    <hyperlink ref="B22" location="Trimestre!C25:F26" display="HIPOTECA" xr:uid="{00000000-0004-0000-0700-000005000000}"/>
    <hyperlink ref="B22:G23" location="'2018'!AA21:AD21" display="'2018'!AA21:AD21" xr:uid="{00000000-0004-0000-0700-000006000000}"/>
    <hyperlink ref="B42" location="Trimestre!C25:F26" display="HIPOTECA" xr:uid="{00000000-0004-0000-0700-000007000000}"/>
    <hyperlink ref="B42:G43" location="'2018'!AA22:AD22" display="'2018'!AA22:AD22" xr:uid="{00000000-0004-0000-0700-000008000000}"/>
    <hyperlink ref="B62" location="Trimestre!C25:F26" display="HIPOTECA" xr:uid="{00000000-0004-0000-0700-000009000000}"/>
    <hyperlink ref="B62:G63" location="'2018'!AA23:AD23" display="'2018'!AA23:AD23" xr:uid="{00000000-0004-0000-0700-00000A000000}"/>
    <hyperlink ref="B82" location="Trimestre!C25:F26" display="HIPOTECA" xr:uid="{00000000-0004-0000-0700-00000B000000}"/>
    <hyperlink ref="B82:G83" location="'2018'!AA24:AD24" display="'2018'!AA24:AD24" xr:uid="{00000000-0004-0000-0700-00000C000000}"/>
    <hyperlink ref="B102" location="Trimestre!C25:F26" display="HIPOTECA" xr:uid="{00000000-0004-0000-0700-00000D000000}"/>
    <hyperlink ref="B102:G103" location="'2018'!AA25:AD25" display="'2018'!AA25:AD25" xr:uid="{00000000-0004-0000-0700-00000E000000}"/>
    <hyperlink ref="B122" location="Trimestre!C25:F26" display="HIPOTECA" xr:uid="{00000000-0004-0000-0700-00000F000000}"/>
    <hyperlink ref="B122:G123" location="'2018'!AA26:AD26" display="'2018'!AA26:AD26" xr:uid="{00000000-0004-0000-0700-000010000000}"/>
    <hyperlink ref="B142" location="Trimestre!C25:F26" display="HIPOTECA" xr:uid="{00000000-0004-0000-0700-000011000000}"/>
    <hyperlink ref="B142:G143" location="'2018'!AA27:AD27" display="'2018'!AA27:AD27" xr:uid="{00000000-0004-0000-0700-000012000000}"/>
    <hyperlink ref="B162" location="Trimestre!C25:F26" display="HIPOTECA" xr:uid="{00000000-0004-0000-0700-000013000000}"/>
    <hyperlink ref="B162:G163" location="'2018'!AA28:AD28" display="'2018'!AA28:AD28" xr:uid="{00000000-0004-0000-0700-000014000000}"/>
    <hyperlink ref="B182" location="Trimestre!C25:F26" display="HIPOTECA" xr:uid="{00000000-0004-0000-0700-000015000000}"/>
    <hyperlink ref="B182:G183" location="'2018'!AA29:AD29" display="'2018'!AA29:AD29" xr:uid="{00000000-0004-0000-0700-000016000000}"/>
    <hyperlink ref="B202" location="Trimestre!C25:F26" display="HIPOTECA" xr:uid="{00000000-0004-0000-0700-000017000000}"/>
    <hyperlink ref="B202:G203" location="'2018'!AA30:AD30" display="'2018'!AA30:AD30" xr:uid="{00000000-0004-0000-0700-000018000000}"/>
    <hyperlink ref="B222" location="Trimestre!C25:F26" display="HIPOTECA" xr:uid="{00000000-0004-0000-0700-000019000000}"/>
    <hyperlink ref="B222:G223" location="'2018'!AA31:AD31" display="'2018'!AA31:AD31" xr:uid="{00000000-0004-0000-0700-00001A000000}"/>
    <hyperlink ref="B242" location="Trimestre!C25:F26" display="HIPOTECA" xr:uid="{00000000-0004-0000-0700-00001B000000}"/>
    <hyperlink ref="B242:G243" location="'2018'!AA32:AD32" display="'2018'!AA32:AD32" xr:uid="{00000000-0004-0000-0700-00001C000000}"/>
    <hyperlink ref="B262" location="Trimestre!C25:F26" display="HIPOTECA" xr:uid="{00000000-0004-0000-0700-00001D000000}"/>
    <hyperlink ref="B262:G263" location="'2018'!AA33:AD33" display="'2018'!AA33:AD33" xr:uid="{00000000-0004-0000-0700-00001E000000}"/>
    <hyperlink ref="B282" location="Trimestre!C25:F26" display="HIPOTECA" xr:uid="{00000000-0004-0000-0700-00001F000000}"/>
    <hyperlink ref="B282:G283" location="'2018'!AA34:AD34" display="'2018'!AA34:AD34" xr:uid="{00000000-0004-0000-0700-000020000000}"/>
    <hyperlink ref="B302" location="Trimestre!C25:F26" display="HIPOTECA" xr:uid="{00000000-0004-0000-0700-000021000000}"/>
    <hyperlink ref="B302:G303" location="'2018'!AA35:AD35" display="'2018'!AA35:AD35" xr:uid="{00000000-0004-0000-0700-000022000000}"/>
    <hyperlink ref="B322" location="Trimestre!C25:F26" display="HIPOTECA" xr:uid="{00000000-0004-0000-0700-000023000000}"/>
    <hyperlink ref="B322:G323" location="'2018'!AA36:AD36" display="'2018'!AA36:AD36" xr:uid="{00000000-0004-0000-0700-000024000000}"/>
    <hyperlink ref="B342" location="Trimestre!C25:F26" display="HIPOTECA" xr:uid="{00000000-0004-0000-0700-000025000000}"/>
    <hyperlink ref="B342:G343" location="'2018'!AA37:AD37" display="'2018'!AA37:AD37" xr:uid="{00000000-0004-0000-0700-000026000000}"/>
    <hyperlink ref="B362" location="Trimestre!C25:F26" display="HIPOTECA" xr:uid="{00000000-0004-0000-0700-000027000000}"/>
    <hyperlink ref="B362:G363" location="'2018'!AA38:AD38" display="'2018'!AA38:AD38" xr:uid="{00000000-0004-0000-0700-000028000000}"/>
    <hyperlink ref="B382" location="Trimestre!C25:F26" display="HIPOTECA" xr:uid="{00000000-0004-0000-0700-000029000000}"/>
    <hyperlink ref="B382:G383" location="'2018'!AA39:AD39" display="'2018'!AA39:AD39" xr:uid="{00000000-0004-0000-0700-00002A000000}"/>
    <hyperlink ref="B402" location="Trimestre!C25:F26" display="HIPOTECA" xr:uid="{00000000-0004-0000-0700-00002B000000}"/>
    <hyperlink ref="B402:G403" location="'2018'!AA40:AD40" display="'2018'!AA40:AD40" xr:uid="{00000000-0004-0000-0700-00002C000000}"/>
    <hyperlink ref="B422" location="Trimestre!C25:F26" display="HIPOTECA" xr:uid="{00000000-0004-0000-0700-00002D000000}"/>
    <hyperlink ref="B422:G423" location="'2018'!AA41:AD41" display="'2018'!AA41:AD41" xr:uid="{00000000-0004-0000-0700-00002E000000}"/>
    <hyperlink ref="B442" location="Trimestre!C25:F26" display="HIPOTECA" xr:uid="{00000000-0004-0000-0700-00002F000000}"/>
    <hyperlink ref="B442:G443" location="'2018'!AA42:AD42" display="'2018'!AA42:AD42" xr:uid="{00000000-0004-0000-0700-000030000000}"/>
    <hyperlink ref="B462" location="Trimestre!C25:F26" display="HIPOTECA" xr:uid="{00000000-0004-0000-0700-000031000000}"/>
    <hyperlink ref="B462:G463" location="'2018'!AA43:AD43" display="'2018'!AA43:AD43" xr:uid="{00000000-0004-0000-0700-000032000000}"/>
    <hyperlink ref="B482" location="Trimestre!C25:F26" display="HIPOTECA" xr:uid="{00000000-0004-0000-0700-000033000000}"/>
    <hyperlink ref="B482:G483" location="'2018'!AA44:AD44" display="'2018'!AA44:AD44" xr:uid="{00000000-0004-0000-0700-000034000000}"/>
    <hyperlink ref="B502" location="Trimestre!C25:F26" display="HIPOTECA" xr:uid="{00000000-0004-0000-0700-000035000000}"/>
    <hyperlink ref="B502:G503" location="'2018'!AA45:AD45" display="'2018'!AA45:AD45" xr:uid="{00000000-0004-0000-0700-000036000000}"/>
    <hyperlink ref="I2:L3" location="'2018'!AA4:AD4" display="SALDO REAL" xr:uid="{00000000-0004-0000-0700-000037000000}"/>
  </hyperlink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V520"/>
  <sheetViews>
    <sheetView topLeftCell="A7" workbookViewId="0">
      <selection activeCell="F30" sqref="F30"/>
    </sheetView>
  </sheetViews>
  <sheetFormatPr defaultColWidth="11.42578125" defaultRowHeight="15"/>
  <cols>
    <col min="1" max="1" width="11.42578125" style="175"/>
    <col min="2" max="2" width="10" style="175" customWidth="1"/>
    <col min="3" max="3" width="33.28515625" style="175" customWidth="1"/>
    <col min="4" max="6" width="10" style="175" customWidth="1"/>
    <col min="7" max="7" width="33.28515625" style="175" customWidth="1"/>
    <col min="8" max="9" width="11.42578125" style="175"/>
    <col min="10" max="10" width="31.28515625" style="175" customWidth="1"/>
    <col min="11" max="16384" width="11.42578125" style="175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71" t="str">
        <f>'2018'!A20</f>
        <v>Cártama Gastos</v>
      </c>
      <c r="C2" s="272"/>
      <c r="D2" s="272"/>
      <c r="E2" s="272"/>
      <c r="F2" s="272"/>
      <c r="G2" s="273"/>
      <c r="H2" s="1"/>
      <c r="I2" s="284" t="s">
        <v>4</v>
      </c>
      <c r="J2" s="272"/>
      <c r="K2" s="272"/>
      <c r="L2" s="273"/>
      <c r="M2" s="1"/>
      <c r="N2" s="1"/>
      <c r="R2" s="3"/>
    </row>
    <row r="3" spans="1:22" ht="16.5" thickBot="1">
      <c r="A3" s="1"/>
      <c r="B3" s="274"/>
      <c r="C3" s="275"/>
      <c r="D3" s="275"/>
      <c r="E3" s="275"/>
      <c r="F3" s="275"/>
      <c r="G3" s="276"/>
      <c r="H3" s="1"/>
      <c r="I3" s="274"/>
      <c r="J3" s="275"/>
      <c r="K3" s="275"/>
      <c r="L3" s="276"/>
      <c r="M3" s="1"/>
      <c r="N3" s="1"/>
      <c r="R3" s="3"/>
    </row>
    <row r="4" spans="1:22" ht="15.75">
      <c r="A4" s="1"/>
      <c r="B4" s="279" t="s">
        <v>10</v>
      </c>
      <c r="C4" s="278"/>
      <c r="D4" s="277" t="s">
        <v>11</v>
      </c>
      <c r="E4" s="277"/>
      <c r="F4" s="277"/>
      <c r="G4" s="278"/>
      <c r="H4" s="1"/>
      <c r="I4" s="124" t="s">
        <v>70</v>
      </c>
      <c r="J4" s="195" t="s">
        <v>71</v>
      </c>
      <c r="K4" s="285" t="s">
        <v>72</v>
      </c>
      <c r="L4" s="286"/>
      <c r="M4" s="1"/>
      <c r="N4" s="1"/>
      <c r="R4" s="3"/>
    </row>
    <row r="5" spans="1:22" ht="15.75">
      <c r="A5" s="1" t="s">
        <v>614</v>
      </c>
      <c r="B5" s="65" t="s">
        <v>32</v>
      </c>
      <c r="C5" s="73" t="s">
        <v>33</v>
      </c>
      <c r="D5" s="65" t="s">
        <v>68</v>
      </c>
      <c r="E5" s="66" t="s">
        <v>69</v>
      </c>
      <c r="F5" s="66" t="s">
        <v>32</v>
      </c>
      <c r="G5" s="73" t="s">
        <v>33</v>
      </c>
      <c r="H5" s="1"/>
      <c r="I5" s="196" t="s">
        <v>73</v>
      </c>
      <c r="J5" s="197" t="s">
        <v>74</v>
      </c>
      <c r="K5" s="287">
        <f>2534.79-49</f>
        <v>2485.79</v>
      </c>
      <c r="L5" s="288"/>
      <c r="M5" s="1"/>
      <c r="N5" s="1"/>
      <c r="R5" s="3"/>
    </row>
    <row r="6" spans="1:22" ht="15.75">
      <c r="A6" s="202">
        <f t="shared" ref="A6:A15" si="0">12*B6</f>
        <v>4788</v>
      </c>
      <c r="B6" s="67">
        <v>399</v>
      </c>
      <c r="C6" s="37" t="s">
        <v>312</v>
      </c>
      <c r="D6" s="70"/>
      <c r="E6" s="71"/>
      <c r="F6" s="71"/>
      <c r="G6" s="34" t="s">
        <v>35</v>
      </c>
      <c r="H6" s="1"/>
      <c r="I6" s="198" t="s">
        <v>73</v>
      </c>
      <c r="J6" s="197" t="s">
        <v>75</v>
      </c>
      <c r="K6" s="280">
        <v>550</v>
      </c>
      <c r="L6" s="281"/>
      <c r="M6" s="1" t="s">
        <v>395</v>
      </c>
      <c r="N6" s="1"/>
      <c r="R6" s="3"/>
    </row>
    <row r="7" spans="1:22" ht="15.75">
      <c r="A7" s="202">
        <f t="shared" si="0"/>
        <v>720</v>
      </c>
      <c r="B7" s="68">
        <v>60</v>
      </c>
      <c r="C7" s="34" t="s">
        <v>326</v>
      </c>
      <c r="D7" s="70"/>
      <c r="E7" s="71"/>
      <c r="F7" s="71"/>
      <c r="G7" s="34" t="s">
        <v>106</v>
      </c>
      <c r="H7" s="117"/>
      <c r="I7" s="198" t="s">
        <v>76</v>
      </c>
      <c r="J7" s="197" t="s">
        <v>77</v>
      </c>
      <c r="K7" s="280">
        <v>6661.07</v>
      </c>
      <c r="L7" s="281"/>
      <c r="M7" s="1"/>
      <c r="N7" s="1"/>
      <c r="R7" s="3"/>
    </row>
    <row r="8" spans="1:22" ht="15.75">
      <c r="A8" s="202">
        <f t="shared" si="0"/>
        <v>0</v>
      </c>
      <c r="B8" s="68">
        <v>0</v>
      </c>
      <c r="C8" s="34" t="s">
        <v>38</v>
      </c>
      <c r="D8" s="70"/>
      <c r="E8" s="175">
        <v>108.71</v>
      </c>
      <c r="F8" s="71"/>
      <c r="G8" s="34" t="s">
        <v>38</v>
      </c>
      <c r="H8" s="1"/>
      <c r="I8" s="198" t="s">
        <v>76</v>
      </c>
      <c r="J8" s="197" t="s">
        <v>78</v>
      </c>
      <c r="K8" s="280">
        <v>7000</v>
      </c>
      <c r="L8" s="281"/>
      <c r="M8" s="1"/>
      <c r="N8" s="1"/>
      <c r="R8" s="3"/>
    </row>
    <row r="9" spans="1:22" ht="15.75">
      <c r="A9" s="202">
        <f t="shared" si="0"/>
        <v>0</v>
      </c>
      <c r="B9" s="68">
        <v>0</v>
      </c>
      <c r="C9" s="34" t="s">
        <v>40</v>
      </c>
      <c r="D9" s="70"/>
      <c r="E9" s="71"/>
      <c r="F9" s="71"/>
      <c r="G9" s="34" t="s">
        <v>40</v>
      </c>
      <c r="H9" s="1"/>
      <c r="I9" s="198" t="s">
        <v>76</v>
      </c>
      <c r="J9" s="197" t="s">
        <v>268</v>
      </c>
      <c r="K9" s="280">
        <v>659.77</v>
      </c>
      <c r="L9" s="281"/>
      <c r="M9" s="1"/>
      <c r="N9" s="1"/>
      <c r="R9" s="3"/>
    </row>
    <row r="10" spans="1:22" ht="15.75">
      <c r="A10" s="202">
        <f t="shared" si="0"/>
        <v>144</v>
      </c>
      <c r="B10" s="68">
        <v>12</v>
      </c>
      <c r="C10" s="34" t="s">
        <v>39</v>
      </c>
      <c r="D10" s="70"/>
      <c r="E10" s="71">
        <v>12</v>
      </c>
      <c r="F10" s="71"/>
      <c r="G10" s="34" t="s">
        <v>39</v>
      </c>
      <c r="H10" s="1"/>
      <c r="I10" s="198" t="s">
        <v>76</v>
      </c>
      <c r="J10" s="197" t="s">
        <v>115</v>
      </c>
      <c r="K10" s="280">
        <v>1800.04</v>
      </c>
      <c r="L10" s="281"/>
      <c r="M10" s="1" t="s">
        <v>266</v>
      </c>
      <c r="N10" s="1"/>
      <c r="R10" s="3"/>
    </row>
    <row r="11" spans="1:22" ht="15.75">
      <c r="A11" s="202">
        <f>12*B11</f>
        <v>372</v>
      </c>
      <c r="B11" s="68">
        <v>31</v>
      </c>
      <c r="C11" s="34" t="s">
        <v>37</v>
      </c>
      <c r="D11" s="70"/>
      <c r="E11" s="71">
        <v>30.24</v>
      </c>
      <c r="F11" s="71"/>
      <c r="G11" s="34" t="s">
        <v>37</v>
      </c>
      <c r="H11" s="1"/>
      <c r="I11" s="198" t="s">
        <v>93</v>
      </c>
      <c r="J11" s="197" t="s">
        <v>94</v>
      </c>
      <c r="K11" s="280">
        <f>220+20</f>
        <v>240</v>
      </c>
      <c r="L11" s="281"/>
      <c r="M11" s="1"/>
      <c r="N11" s="1"/>
      <c r="R11" s="3"/>
    </row>
    <row r="12" spans="1:22" ht="15.75">
      <c r="A12" s="202"/>
      <c r="B12" s="68">
        <v>20</v>
      </c>
      <c r="C12" s="34" t="s">
        <v>466</v>
      </c>
      <c r="D12" s="70"/>
      <c r="E12" s="71"/>
      <c r="F12" s="71"/>
      <c r="G12" s="34"/>
      <c r="H12" s="1"/>
      <c r="I12" s="198" t="s">
        <v>304</v>
      </c>
      <c r="J12" s="197" t="s">
        <v>305</v>
      </c>
      <c r="K12" s="280">
        <v>5092.08</v>
      </c>
      <c r="L12" s="281"/>
      <c r="M12" s="178"/>
      <c r="N12" s="1"/>
      <c r="R12" s="3"/>
    </row>
    <row r="13" spans="1:22" ht="15.75">
      <c r="A13" s="202"/>
      <c r="B13" s="68">
        <v>-285</v>
      </c>
      <c r="C13" s="34" t="s">
        <v>470</v>
      </c>
      <c r="D13" s="70"/>
      <c r="E13" s="71"/>
      <c r="F13" s="71"/>
      <c r="G13" s="34"/>
      <c r="H13" s="1"/>
      <c r="I13" s="198"/>
      <c r="J13" s="197"/>
      <c r="K13" s="280"/>
      <c r="L13" s="281"/>
      <c r="M13" s="1"/>
      <c r="N13" s="1"/>
      <c r="R13" s="3"/>
    </row>
    <row r="14" spans="1:22" ht="15.75">
      <c r="A14" s="202">
        <f t="shared" si="0"/>
        <v>300</v>
      </c>
      <c r="B14" s="68">
        <v>25</v>
      </c>
      <c r="C14" s="34" t="s">
        <v>207</v>
      </c>
      <c r="D14" s="70"/>
      <c r="E14" s="71"/>
      <c r="F14" s="71"/>
      <c r="G14" s="34"/>
      <c r="H14" s="1"/>
      <c r="I14" s="198"/>
      <c r="J14" s="197"/>
      <c r="K14" s="280"/>
      <c r="L14" s="281"/>
      <c r="M14" s="1"/>
      <c r="N14" s="1"/>
      <c r="R14" s="3"/>
    </row>
    <row r="15" spans="1:22" ht="15.75">
      <c r="A15" s="202">
        <f t="shared" si="0"/>
        <v>84</v>
      </c>
      <c r="B15" s="68">
        <v>7</v>
      </c>
      <c r="C15" s="34" t="s">
        <v>353</v>
      </c>
      <c r="D15" s="70"/>
      <c r="E15" s="71"/>
      <c r="F15" s="71"/>
      <c r="G15" s="34"/>
      <c r="H15" s="1"/>
      <c r="I15" s="198"/>
      <c r="J15" s="197"/>
      <c r="K15" s="280"/>
      <c r="L15" s="281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198"/>
      <c r="J16" s="197"/>
      <c r="K16" s="280"/>
      <c r="L16" s="281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198"/>
      <c r="J17" s="197"/>
      <c r="K17" s="280"/>
      <c r="L17" s="281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199"/>
      <c r="J18" s="200"/>
      <c r="K18" s="282"/>
      <c r="L18" s="283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83</v>
      </c>
      <c r="J19" s="38"/>
      <c r="K19" s="282">
        <f>SUM(K5:K18)</f>
        <v>24488.75</v>
      </c>
      <c r="L19" s="283"/>
      <c r="M19" s="1"/>
      <c r="N19" s="1"/>
      <c r="R19" s="3"/>
    </row>
    <row r="20" spans="1:18" ht="16.5" thickBot="1">
      <c r="A20" s="202">
        <f>SUM(A6:A15)</f>
        <v>6408</v>
      </c>
      <c r="B20" s="69">
        <f>SUM(B6:B19)</f>
        <v>269</v>
      </c>
      <c r="C20" s="35" t="s">
        <v>66</v>
      </c>
      <c r="D20" s="69">
        <f>SUM(D6:D19)</f>
        <v>0</v>
      </c>
      <c r="E20" s="69">
        <f>SUM(E6:E19)</f>
        <v>150.94999999999999</v>
      </c>
      <c r="F20" s="69">
        <f>SUM(F6:F19)</f>
        <v>0</v>
      </c>
      <c r="G20" s="35" t="s">
        <v>66</v>
      </c>
      <c r="H20" s="1"/>
      <c r="I20" s="175" t="s">
        <v>116</v>
      </c>
      <c r="L20" s="178">
        <f>K19-K10-K12</f>
        <v>17596.629999999997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71" t="str">
        <f>'2018'!A21</f>
        <v>Waterloo</v>
      </c>
      <c r="C22" s="272"/>
      <c r="D22" s="272"/>
      <c r="E22" s="272"/>
      <c r="F22" s="272"/>
      <c r="G22" s="273"/>
      <c r="H22" s="1"/>
      <c r="I22" s="284" t="s">
        <v>6</v>
      </c>
      <c r="J22" s="272"/>
      <c r="K22" s="272"/>
      <c r="L22" s="273"/>
      <c r="M22" s="1"/>
      <c r="R22" s="3"/>
    </row>
    <row r="23" spans="1:18" ht="16.149999999999999" customHeight="1" thickBot="1">
      <c r="A23" s="1"/>
      <c r="B23" s="274"/>
      <c r="C23" s="275"/>
      <c r="D23" s="275"/>
      <c r="E23" s="275"/>
      <c r="F23" s="275"/>
      <c r="G23" s="276"/>
      <c r="H23" s="1"/>
      <c r="I23" s="274"/>
      <c r="J23" s="275"/>
      <c r="K23" s="275"/>
      <c r="L23" s="276"/>
      <c r="M23" s="1"/>
      <c r="R23" s="3"/>
    </row>
    <row r="24" spans="1:18" ht="15.75">
      <c r="A24" s="1"/>
      <c r="B24" s="279" t="s">
        <v>10</v>
      </c>
      <c r="C24" s="278"/>
      <c r="D24" s="277" t="s">
        <v>11</v>
      </c>
      <c r="E24" s="277"/>
      <c r="F24" s="277"/>
      <c r="G24" s="278"/>
      <c r="H24" s="1"/>
      <c r="I24" s="124" t="s">
        <v>33</v>
      </c>
      <c r="J24" s="33" t="s">
        <v>133</v>
      </c>
      <c r="K24" s="285" t="s">
        <v>134</v>
      </c>
      <c r="L24" s="286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68</v>
      </c>
      <c r="E25" s="66" t="s">
        <v>69</v>
      </c>
      <c r="F25" s="66" t="s">
        <v>32</v>
      </c>
      <c r="G25" s="73" t="s">
        <v>33</v>
      </c>
      <c r="H25" s="1"/>
      <c r="I25" s="189">
        <v>2</v>
      </c>
      <c r="J25" s="3" t="s">
        <v>520</v>
      </c>
      <c r="K25" s="287">
        <v>269.88</v>
      </c>
      <c r="L25" s="288"/>
      <c r="M25" s="1"/>
      <c r="R25" s="3"/>
    </row>
    <row r="26" spans="1:18" ht="15.75">
      <c r="A26" s="1"/>
      <c r="B26" s="67">
        <v>900</v>
      </c>
      <c r="C26" s="79" t="s">
        <v>42</v>
      </c>
      <c r="D26" s="70">
        <v>900</v>
      </c>
      <c r="E26" s="71"/>
      <c r="F26" s="71"/>
      <c r="G26" s="34" t="s">
        <v>42</v>
      </c>
      <c r="H26" s="1"/>
      <c r="I26" s="190">
        <v>9</v>
      </c>
      <c r="J26" s="36" t="s">
        <v>529</v>
      </c>
      <c r="K26" s="280">
        <v>49</v>
      </c>
      <c r="L26" s="281"/>
      <c r="M26" s="1"/>
      <c r="R26" s="3"/>
    </row>
    <row r="27" spans="1:18" ht="15.75">
      <c r="A27" s="1"/>
      <c r="B27" s="68">
        <v>170</v>
      </c>
      <c r="C27" s="79" t="s">
        <v>44</v>
      </c>
      <c r="D27" s="70">
        <v>167</v>
      </c>
      <c r="E27" s="71"/>
      <c r="F27" s="71"/>
      <c r="G27" s="34" t="s">
        <v>44</v>
      </c>
      <c r="H27" s="1"/>
      <c r="I27" s="190"/>
      <c r="J27" s="36"/>
      <c r="K27" s="280"/>
      <c r="L27" s="281"/>
      <c r="M27" s="1"/>
      <c r="R27" s="3"/>
    </row>
    <row r="28" spans="1:18" ht="15.75">
      <c r="A28" s="1"/>
      <c r="B28" s="68">
        <v>40</v>
      </c>
      <c r="C28" s="79" t="s">
        <v>45</v>
      </c>
      <c r="D28" s="70"/>
      <c r="E28" s="71"/>
      <c r="F28" s="71"/>
      <c r="G28" s="34" t="s">
        <v>45</v>
      </c>
      <c r="H28" s="1"/>
      <c r="I28" s="190"/>
      <c r="J28" s="36"/>
      <c r="K28" s="280"/>
      <c r="L28" s="281"/>
      <c r="M28" s="1"/>
      <c r="R28" s="3"/>
    </row>
    <row r="29" spans="1:18" ht="15.75">
      <c r="A29" s="1"/>
      <c r="B29" s="68">
        <v>18</v>
      </c>
      <c r="C29" s="79" t="s">
        <v>41</v>
      </c>
      <c r="D29" s="70">
        <v>17.46</v>
      </c>
      <c r="E29" s="71"/>
      <c r="F29" s="71"/>
      <c r="G29" s="34" t="s">
        <v>41</v>
      </c>
      <c r="H29" s="1"/>
      <c r="I29" s="190"/>
      <c r="J29" s="36"/>
      <c r="K29" s="280"/>
      <c r="L29" s="281"/>
      <c r="M29" s="1"/>
      <c r="R29" s="3"/>
    </row>
    <row r="30" spans="1:18" ht="15.75">
      <c r="A30" s="1"/>
      <c r="B30" s="68"/>
      <c r="C30" s="79"/>
      <c r="D30" s="70"/>
      <c r="E30" s="71"/>
      <c r="F30" s="71"/>
      <c r="G30" s="34"/>
      <c r="H30" s="1"/>
      <c r="I30" s="190"/>
      <c r="J30" s="36"/>
      <c r="K30" s="280"/>
      <c r="L30" s="281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90"/>
      <c r="J31" s="36"/>
      <c r="K31" s="280"/>
      <c r="L31" s="281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90"/>
      <c r="J32" s="36"/>
      <c r="K32" s="280"/>
      <c r="L32" s="281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90"/>
      <c r="J33" s="36"/>
      <c r="K33" s="280"/>
      <c r="L33" s="281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90"/>
      <c r="J34" s="36"/>
      <c r="K34" s="280"/>
      <c r="L34" s="281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90"/>
      <c r="J35" s="36"/>
      <c r="K35" s="280"/>
      <c r="L35" s="281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90"/>
      <c r="J36" s="36"/>
      <c r="K36" s="280"/>
      <c r="L36" s="281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90"/>
      <c r="J37" s="36"/>
      <c r="K37" s="280"/>
      <c r="L37" s="281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191"/>
      <c r="J38" s="38"/>
      <c r="K38" s="282"/>
      <c r="L38" s="283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1128</v>
      </c>
      <c r="C40" s="35" t="s">
        <v>66</v>
      </c>
      <c r="D40" s="69">
        <f>SUM(D26:D39)</f>
        <v>1084.46</v>
      </c>
      <c r="E40" s="69">
        <f>SUM(E26:E39)</f>
        <v>0</v>
      </c>
      <c r="F40" s="69">
        <f>SUM(F26:F39)</f>
        <v>0</v>
      </c>
      <c r="G40" s="35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71" t="str">
        <f>'2018'!A22</f>
        <v>Comida+Limpieza</v>
      </c>
      <c r="C42" s="272"/>
      <c r="D42" s="272"/>
      <c r="E42" s="272"/>
      <c r="F42" s="272"/>
      <c r="G42" s="273"/>
      <c r="H42" s="1"/>
      <c r="M42" s="1"/>
      <c r="R42" s="3"/>
    </row>
    <row r="43" spans="1:18" ht="16.149999999999999" customHeight="1" thickBot="1">
      <c r="A43" s="1"/>
      <c r="B43" s="274"/>
      <c r="C43" s="275"/>
      <c r="D43" s="275"/>
      <c r="E43" s="275"/>
      <c r="F43" s="275"/>
      <c r="G43" s="276"/>
      <c r="H43" s="1"/>
      <c r="M43" s="1"/>
      <c r="R43" s="3"/>
    </row>
    <row r="44" spans="1:18" ht="15.75">
      <c r="A44" s="1"/>
      <c r="B44" s="279" t="s">
        <v>10</v>
      </c>
      <c r="C44" s="278"/>
      <c r="D44" s="277" t="s">
        <v>11</v>
      </c>
      <c r="E44" s="277"/>
      <c r="F44" s="277"/>
      <c r="G44" s="278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68</v>
      </c>
      <c r="E45" s="66" t="s">
        <v>69</v>
      </c>
      <c r="F45" s="66" t="s">
        <v>32</v>
      </c>
      <c r="G45" s="73" t="s">
        <v>394</v>
      </c>
      <c r="H45" s="1"/>
      <c r="M45" s="1"/>
      <c r="R45" s="3"/>
    </row>
    <row r="46" spans="1:18" ht="15.75">
      <c r="A46" s="1"/>
      <c r="B46" s="67">
        <v>472</v>
      </c>
      <c r="C46" s="37"/>
      <c r="D46" s="70">
        <f>73.6</f>
        <v>73.599999999999994</v>
      </c>
      <c r="E46" s="71"/>
      <c r="F46" s="71"/>
      <c r="G46" s="90" t="s">
        <v>535</v>
      </c>
      <c r="H46" s="1"/>
      <c r="M46" s="1"/>
      <c r="R46" s="3"/>
    </row>
    <row r="47" spans="1:18" ht="15.75">
      <c r="A47" s="1"/>
      <c r="B47" s="68">
        <v>28</v>
      </c>
      <c r="C47" s="34" t="s">
        <v>110</v>
      </c>
      <c r="D47" s="70">
        <f>56.65</f>
        <v>56.65</v>
      </c>
      <c r="E47" s="71"/>
      <c r="F47" s="71"/>
      <c r="G47" s="34" t="s">
        <v>522</v>
      </c>
      <c r="H47" s="1"/>
      <c r="M47" s="1"/>
      <c r="R47" s="3"/>
    </row>
    <row r="48" spans="1:18" ht="15.75">
      <c r="A48" s="1"/>
      <c r="B48" s="68"/>
      <c r="C48" s="34"/>
      <c r="D48" s="70">
        <f>17.09</f>
        <v>17.09</v>
      </c>
      <c r="E48" s="71"/>
      <c r="F48" s="71"/>
      <c r="G48" s="34" t="s">
        <v>523</v>
      </c>
      <c r="H48" s="1"/>
      <c r="M48" s="1"/>
      <c r="R48" s="3"/>
    </row>
    <row r="49" spans="1:18" ht="15.75">
      <c r="A49" s="1"/>
      <c r="B49" s="68"/>
      <c r="C49" s="34"/>
      <c r="D49" s="70">
        <v>8.35</v>
      </c>
      <c r="E49" s="71"/>
      <c r="F49" s="71"/>
      <c r="G49" s="34" t="s">
        <v>526</v>
      </c>
      <c r="H49" s="1"/>
      <c r="M49" s="1"/>
      <c r="R49" s="3"/>
    </row>
    <row r="50" spans="1:18" ht="15.75">
      <c r="A50" s="1"/>
      <c r="B50" s="68"/>
      <c r="C50" s="34"/>
      <c r="D50" s="70">
        <v>6.27</v>
      </c>
      <c r="E50" s="71"/>
      <c r="F50" s="71"/>
      <c r="G50" s="34" t="s">
        <v>527</v>
      </c>
      <c r="H50" s="1"/>
      <c r="M50" s="1"/>
      <c r="R50" s="3"/>
    </row>
    <row r="51" spans="1:18" ht="15.75">
      <c r="A51" s="1"/>
      <c r="B51" s="68"/>
      <c r="C51" s="34"/>
      <c r="D51" s="70">
        <f>79.42-D148</f>
        <v>72.63</v>
      </c>
      <c r="E51" s="71"/>
      <c r="F51" s="71"/>
      <c r="G51" s="34" t="s">
        <v>538</v>
      </c>
      <c r="H51" s="1"/>
      <c r="M51" s="1"/>
      <c r="R51" s="3"/>
    </row>
    <row r="52" spans="1:18" ht="15.75">
      <c r="A52" s="1"/>
      <c r="B52" s="68"/>
      <c r="C52" s="34"/>
      <c r="D52" s="70">
        <v>19</v>
      </c>
      <c r="E52" s="71"/>
      <c r="F52" s="71"/>
      <c r="G52" s="34" t="s">
        <v>540</v>
      </c>
      <c r="H52" s="1"/>
      <c r="M52" s="1"/>
      <c r="R52" s="3"/>
    </row>
    <row r="53" spans="1:18" ht="15.75">
      <c r="A53" s="1"/>
      <c r="B53" s="68"/>
      <c r="C53" s="34"/>
      <c r="D53" s="70">
        <f>49.03-D149</f>
        <v>4.0300000000000011</v>
      </c>
      <c r="E53" s="71"/>
      <c r="F53" s="71"/>
      <c r="G53" s="34" t="s">
        <v>545</v>
      </c>
      <c r="H53" s="1"/>
      <c r="M53" s="1"/>
      <c r="R53" s="3"/>
    </row>
    <row r="54" spans="1:18" ht="15.75">
      <c r="A54" s="1"/>
      <c r="B54" s="68"/>
      <c r="C54" s="34"/>
      <c r="D54" s="70">
        <v>8.59</v>
      </c>
      <c r="E54" s="71"/>
      <c r="F54" s="71"/>
      <c r="G54" s="34" t="s">
        <v>547</v>
      </c>
      <c r="H54" s="1"/>
      <c r="M54" s="1"/>
      <c r="R54" s="3"/>
    </row>
    <row r="55" spans="1:18" ht="15.75">
      <c r="A55" s="1"/>
      <c r="B55" s="68"/>
      <c r="C55" s="34"/>
      <c r="D55" s="70">
        <f>58.47</f>
        <v>58.47</v>
      </c>
      <c r="E55" s="71"/>
      <c r="F55" s="71"/>
      <c r="G55" s="34" t="s">
        <v>548</v>
      </c>
      <c r="H55" s="1"/>
      <c r="M55" s="1"/>
      <c r="R55" s="3"/>
    </row>
    <row r="56" spans="1:18" ht="15.75">
      <c r="A56" s="1"/>
      <c r="B56" s="68"/>
      <c r="C56" s="34"/>
      <c r="D56" s="70">
        <f>45.18</f>
        <v>45.18</v>
      </c>
      <c r="E56" s="71"/>
      <c r="F56" s="71"/>
      <c r="G56" s="34" t="s">
        <v>549</v>
      </c>
      <c r="H56" s="1"/>
      <c r="M56" s="1"/>
      <c r="R56" s="3"/>
    </row>
    <row r="57" spans="1:18" ht="15.75">
      <c r="A57" s="1"/>
      <c r="B57" s="68"/>
      <c r="C57" s="34"/>
      <c r="D57" s="70">
        <f>8.76+9.34</f>
        <v>18.100000000000001</v>
      </c>
      <c r="E57" s="71"/>
      <c r="F57" s="71"/>
      <c r="G57" s="34" t="s">
        <v>569</v>
      </c>
      <c r="H57" s="1"/>
      <c r="M57" s="1"/>
      <c r="R57" s="3"/>
    </row>
    <row r="58" spans="1:18" ht="15.75">
      <c r="A58" s="1"/>
      <c r="B58" s="68"/>
      <c r="C58" s="34"/>
      <c r="D58" s="70">
        <f>9.15+43.15-D167</f>
        <v>19.149999999999999</v>
      </c>
      <c r="E58" s="71"/>
      <c r="F58" s="71"/>
      <c r="G58" s="34" t="s">
        <v>568</v>
      </c>
      <c r="H58" s="1"/>
      <c r="M58" s="1"/>
      <c r="R58" s="3"/>
    </row>
    <row r="59" spans="1:18" ht="16.5" thickBot="1">
      <c r="A59" s="1"/>
      <c r="B59" s="69"/>
      <c r="C59" s="35"/>
      <c r="D59" s="69">
        <v>8.7799999999999994</v>
      </c>
      <c r="E59" s="72"/>
      <c r="F59" s="72"/>
      <c r="G59" s="35" t="s">
        <v>567</v>
      </c>
      <c r="H59" s="1"/>
      <c r="M59" s="1"/>
      <c r="R59" s="3"/>
    </row>
    <row r="60" spans="1:18" ht="16.5" thickBot="1">
      <c r="A60" s="1"/>
      <c r="B60" s="69">
        <f>SUM(B46:B59)</f>
        <v>500</v>
      </c>
      <c r="C60" s="35" t="s">
        <v>66</v>
      </c>
      <c r="D60" s="69">
        <f>SUM(D46:D59)</f>
        <v>415.88999999999993</v>
      </c>
      <c r="E60" s="69">
        <f>SUM(E46:E59)</f>
        <v>0</v>
      </c>
      <c r="F60" s="69">
        <f>SUM(F46:F59)</f>
        <v>0</v>
      </c>
      <c r="G60" s="35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71" t="str">
        <f>'2018'!A23</f>
        <v>Ocio</v>
      </c>
      <c r="C62" s="272"/>
      <c r="D62" s="272"/>
      <c r="E62" s="272"/>
      <c r="F62" s="272"/>
      <c r="G62" s="273"/>
      <c r="H62" s="1"/>
      <c r="M62" s="1"/>
      <c r="R62" s="3"/>
    </row>
    <row r="63" spans="1:18" ht="16.149999999999999" customHeight="1" thickBot="1">
      <c r="A63" s="1"/>
      <c r="B63" s="274"/>
      <c r="C63" s="275"/>
      <c r="D63" s="275"/>
      <c r="E63" s="275"/>
      <c r="F63" s="275"/>
      <c r="G63" s="276"/>
      <c r="H63" s="1"/>
      <c r="M63" s="1"/>
      <c r="R63" s="3"/>
    </row>
    <row r="64" spans="1:18" ht="15.75">
      <c r="A64" s="1"/>
      <c r="B64" s="279" t="s">
        <v>10</v>
      </c>
      <c r="C64" s="278"/>
      <c r="D64" s="277" t="s">
        <v>11</v>
      </c>
      <c r="E64" s="277"/>
      <c r="F64" s="277"/>
      <c r="G64" s="278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68</v>
      </c>
      <c r="E65" s="66" t="s">
        <v>69</v>
      </c>
      <c r="F65" s="66" t="s">
        <v>32</v>
      </c>
      <c r="G65" s="73" t="s">
        <v>394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/>
      <c r="E66" s="71"/>
      <c r="F66" s="71">
        <v>4</v>
      </c>
      <c r="G66" s="37" t="s">
        <v>521</v>
      </c>
      <c r="H66" s="1"/>
      <c r="M66" s="1"/>
      <c r="R66" s="3"/>
    </row>
    <row r="67" spans="1:18" ht="15.75">
      <c r="A67" s="1"/>
      <c r="B67" s="68">
        <v>106.3</v>
      </c>
      <c r="C67" s="34" t="s">
        <v>489</v>
      </c>
      <c r="D67" s="70">
        <f>22.8</f>
        <v>22.8</v>
      </c>
      <c r="E67" s="71"/>
      <c r="F67" s="71">
        <v>3</v>
      </c>
      <c r="G67" s="91" t="s">
        <v>532</v>
      </c>
      <c r="H67" s="1"/>
      <c r="M67" s="1"/>
      <c r="R67" s="3"/>
    </row>
    <row r="68" spans="1:18" ht="15.75">
      <c r="A68" s="1"/>
      <c r="B68" s="68"/>
      <c r="C68" s="34"/>
      <c r="D68" s="70">
        <v>10.95</v>
      </c>
      <c r="E68" s="71"/>
      <c r="F68" s="71"/>
      <c r="G68" s="34" t="s">
        <v>531</v>
      </c>
      <c r="H68" s="1"/>
      <c r="M68" s="1"/>
      <c r="R68" s="3"/>
    </row>
    <row r="69" spans="1:18" ht="15.75">
      <c r="A69" s="1"/>
      <c r="B69" s="68"/>
      <c r="C69" s="34"/>
      <c r="D69" s="70">
        <v>15.95</v>
      </c>
      <c r="E69" s="71"/>
      <c r="F69" s="71"/>
      <c r="G69" s="34" t="s">
        <v>543</v>
      </c>
      <c r="H69" s="1"/>
      <c r="M69" s="1"/>
      <c r="R69" s="3"/>
    </row>
    <row r="70" spans="1:18" ht="15.75">
      <c r="A70" s="1"/>
      <c r="B70" s="68"/>
      <c r="C70" s="34"/>
      <c r="D70" s="70">
        <v>58.6</v>
      </c>
      <c r="E70" s="71"/>
      <c r="F70" s="71"/>
      <c r="G70" s="34" t="s">
        <v>555</v>
      </c>
      <c r="H70" s="1"/>
      <c r="M70" s="1"/>
      <c r="R70" s="3"/>
    </row>
    <row r="71" spans="1:18" ht="15.75">
      <c r="A71" s="1"/>
      <c r="B71" s="68"/>
      <c r="C71" s="34"/>
      <c r="D71" s="70">
        <f>35+85.7</f>
        <v>120.7</v>
      </c>
      <c r="E71" s="71"/>
      <c r="F71" s="71"/>
      <c r="G71" s="34" t="s">
        <v>550</v>
      </c>
      <c r="H71" s="1"/>
      <c r="M71" s="1"/>
      <c r="R71" s="3"/>
    </row>
    <row r="72" spans="1:18" ht="15.75">
      <c r="A72" s="1"/>
      <c r="B72" s="68"/>
      <c r="C72" s="34"/>
      <c r="D72" s="70">
        <v>22.8</v>
      </c>
      <c r="E72" s="71"/>
      <c r="F72" s="71"/>
      <c r="G72" s="34" t="s">
        <v>559</v>
      </c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256.3</v>
      </c>
      <c r="C80" s="35" t="s">
        <v>66</v>
      </c>
      <c r="D80" s="69">
        <f>SUM(D66:D79)</f>
        <v>251.8</v>
      </c>
      <c r="E80" s="69">
        <f>SUM(E66:E79)</f>
        <v>0</v>
      </c>
      <c r="F80" s="69">
        <f>SUM(F66:F79)</f>
        <v>7</v>
      </c>
      <c r="G80" s="35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71" t="str">
        <f>'2018'!A24</f>
        <v>Transportes</v>
      </c>
      <c r="C82" s="272"/>
      <c r="D82" s="272"/>
      <c r="E82" s="272"/>
      <c r="F82" s="272"/>
      <c r="G82" s="273"/>
      <c r="H82" s="1"/>
      <c r="M82" s="1"/>
      <c r="R82" s="3"/>
    </row>
    <row r="83" spans="1:18" ht="16.149999999999999" customHeight="1" thickBot="1">
      <c r="A83" s="1"/>
      <c r="B83" s="274"/>
      <c r="C83" s="275"/>
      <c r="D83" s="275"/>
      <c r="E83" s="275"/>
      <c r="F83" s="275"/>
      <c r="G83" s="276"/>
      <c r="H83" s="1"/>
      <c r="M83" s="1"/>
      <c r="R83" s="3"/>
    </row>
    <row r="84" spans="1:18" ht="15.75">
      <c r="A84" s="1"/>
      <c r="B84" s="279" t="s">
        <v>10</v>
      </c>
      <c r="C84" s="278"/>
      <c r="D84" s="277" t="s">
        <v>11</v>
      </c>
      <c r="E84" s="277"/>
      <c r="F84" s="277"/>
      <c r="G84" s="278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68</v>
      </c>
      <c r="E85" s="66" t="s">
        <v>69</v>
      </c>
      <c r="F85" s="66" t="s">
        <v>32</v>
      </c>
      <c r="G85" s="73" t="s">
        <v>394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>
        <v>52.69</v>
      </c>
      <c r="E86" s="71"/>
      <c r="F86" s="71"/>
      <c r="G86" s="34" t="s">
        <v>528</v>
      </c>
      <c r="H86" s="1"/>
      <c r="M86" s="1"/>
      <c r="R86" s="3"/>
    </row>
    <row r="87" spans="1:18" ht="15.75">
      <c r="A87" s="1"/>
      <c r="B87" s="68"/>
      <c r="C87" s="34"/>
      <c r="D87" s="70">
        <v>51.57</v>
      </c>
      <c r="E87" s="71"/>
      <c r="F87" s="71"/>
      <c r="G87" s="34" t="s">
        <v>552</v>
      </c>
      <c r="H87" s="1"/>
      <c r="M87" s="1"/>
      <c r="R87" s="3"/>
    </row>
    <row r="88" spans="1:18" ht="15.75">
      <c r="A88" s="1"/>
      <c r="B88" s="68"/>
      <c r="C88" s="34"/>
      <c r="D88" s="70">
        <v>4.8</v>
      </c>
      <c r="E88" s="71"/>
      <c r="F88" s="71"/>
      <c r="G88" s="34" t="s">
        <v>557</v>
      </c>
      <c r="H88" s="1"/>
      <c r="M88" s="1"/>
      <c r="R88" s="3"/>
    </row>
    <row r="89" spans="1:18" ht="15.75">
      <c r="A89" s="1"/>
      <c r="B89" s="68"/>
      <c r="C89" s="34"/>
      <c r="D89" s="70">
        <v>11.9</v>
      </c>
      <c r="E89" s="71"/>
      <c r="F89" s="71"/>
      <c r="G89" s="34" t="s">
        <v>558</v>
      </c>
      <c r="H89" s="1"/>
      <c r="M89" s="1"/>
      <c r="R89" s="3"/>
    </row>
    <row r="90" spans="1:18" ht="15.75">
      <c r="A90" s="1"/>
      <c r="B90" s="68"/>
      <c r="C90" s="34"/>
      <c r="D90" s="70">
        <v>43.96</v>
      </c>
      <c r="E90" s="71"/>
      <c r="F90" s="71"/>
      <c r="G90" s="34" t="s">
        <v>564</v>
      </c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66</v>
      </c>
      <c r="D100" s="69">
        <f>SUM(D86:D99)</f>
        <v>164.92</v>
      </c>
      <c r="E100" s="69">
        <f>SUM(E86:E99)</f>
        <v>0</v>
      </c>
      <c r="F100" s="69">
        <f>SUM(F86:F99)</f>
        <v>0</v>
      </c>
      <c r="G100" s="35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71" t="str">
        <f>'2018'!A25</f>
        <v>Coche</v>
      </c>
      <c r="C102" s="272"/>
      <c r="D102" s="272"/>
      <c r="E102" s="272"/>
      <c r="F102" s="272"/>
      <c r="G102" s="273"/>
      <c r="H102" s="1"/>
      <c r="M102" s="1"/>
      <c r="R102" s="3"/>
    </row>
    <row r="103" spans="1:18" ht="16.149999999999999" customHeight="1" thickBot="1">
      <c r="A103" s="1"/>
      <c r="B103" s="274"/>
      <c r="C103" s="275"/>
      <c r="D103" s="275"/>
      <c r="E103" s="275"/>
      <c r="F103" s="275"/>
      <c r="G103" s="276"/>
      <c r="H103" s="1"/>
      <c r="M103" s="1"/>
      <c r="R103" s="3"/>
    </row>
    <row r="104" spans="1:18" ht="15.75">
      <c r="A104" s="1"/>
      <c r="B104" s="279" t="s">
        <v>10</v>
      </c>
      <c r="C104" s="278"/>
      <c r="D104" s="277" t="s">
        <v>11</v>
      </c>
      <c r="E104" s="277"/>
      <c r="F104" s="277"/>
      <c r="G104" s="278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68</v>
      </c>
      <c r="E105" s="66" t="s">
        <v>69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67">
        <v>260</v>
      </c>
      <c r="C106" s="36" t="s">
        <v>55</v>
      </c>
      <c r="D106" s="70">
        <v>258.47000000000003</v>
      </c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68">
        <v>71</v>
      </c>
      <c r="C107" s="36" t="s">
        <v>56</v>
      </c>
      <c r="D107" s="70">
        <v>70.349999999999994</v>
      </c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68">
        <v>69</v>
      </c>
      <c r="C108" s="36" t="s">
        <v>46</v>
      </c>
      <c r="D108" s="70"/>
      <c r="E108" s="71"/>
      <c r="F108" s="71"/>
      <c r="G108" s="94" t="s">
        <v>88</v>
      </c>
      <c r="H108" s="1"/>
      <c r="M108" s="1"/>
      <c r="R108" s="3"/>
    </row>
    <row r="109" spans="1:18" ht="15.75">
      <c r="A109" s="1"/>
      <c r="B109" s="68"/>
      <c r="C109" s="36"/>
      <c r="D109" s="70"/>
      <c r="E109" s="71"/>
      <c r="F109" s="71"/>
      <c r="G109" s="91"/>
      <c r="H109" s="1"/>
      <c r="M109" s="1"/>
      <c r="R109" s="3"/>
    </row>
    <row r="110" spans="1:18" ht="15.75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68"/>
      <c r="C111" s="79"/>
      <c r="D111" s="70"/>
      <c r="E111" s="71"/>
      <c r="F111" s="71"/>
      <c r="G111" s="94"/>
      <c r="H111" s="1"/>
      <c r="M111" s="1"/>
      <c r="R111" s="3"/>
    </row>
    <row r="112" spans="1:18" ht="15.75">
      <c r="A112" s="1"/>
      <c r="B112" s="68"/>
      <c r="C112" s="92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68"/>
      <c r="C113" s="93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68"/>
      <c r="C114" s="92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66</v>
      </c>
      <c r="D120" s="69">
        <f>SUM(D106:D119)</f>
        <v>328.82000000000005</v>
      </c>
      <c r="E120" s="69">
        <f>SUM(E106:E119)</f>
        <v>0</v>
      </c>
      <c r="F120" s="69">
        <f>SUM(F106:F119)</f>
        <v>0</v>
      </c>
      <c r="G120" s="35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71" t="str">
        <f>'2018'!A26</f>
        <v>Teléfono</v>
      </c>
      <c r="C122" s="272"/>
      <c r="D122" s="272"/>
      <c r="E122" s="272"/>
      <c r="F122" s="272"/>
      <c r="G122" s="273"/>
      <c r="H122" s="1"/>
      <c r="M122" s="1"/>
      <c r="R122" s="3"/>
    </row>
    <row r="123" spans="1:18" ht="16.149999999999999" customHeight="1" thickBot="1">
      <c r="A123" s="1"/>
      <c r="B123" s="274"/>
      <c r="C123" s="275"/>
      <c r="D123" s="275"/>
      <c r="E123" s="275"/>
      <c r="F123" s="275"/>
      <c r="G123" s="276"/>
      <c r="H123" s="1"/>
      <c r="M123" s="1"/>
      <c r="R123" s="3"/>
    </row>
    <row r="124" spans="1:18" ht="15.75">
      <c r="A124" s="1"/>
      <c r="B124" s="279" t="s">
        <v>10</v>
      </c>
      <c r="C124" s="278"/>
      <c r="D124" s="277" t="s">
        <v>11</v>
      </c>
      <c r="E124" s="277"/>
      <c r="F124" s="277"/>
      <c r="G124" s="278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68</v>
      </c>
      <c r="E125" s="66" t="s">
        <v>69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>
        <v>27.5</v>
      </c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v>12.5</v>
      </c>
      <c r="C127" s="34" t="s">
        <v>58</v>
      </c>
      <c r="D127" s="70">
        <v>15</v>
      </c>
      <c r="E127" s="71"/>
      <c r="F127" s="71"/>
      <c r="G127" s="34" t="s">
        <v>199</v>
      </c>
      <c r="H127" s="1"/>
      <c r="M127" s="1"/>
      <c r="R127" s="3"/>
    </row>
    <row r="128" spans="1:18" ht="15.75">
      <c r="A128" s="1"/>
      <c r="B128" s="68">
        <v>8</v>
      </c>
      <c r="C128" s="34" t="s">
        <v>338</v>
      </c>
      <c r="D128" s="70"/>
      <c r="E128" s="71"/>
      <c r="F128" s="71"/>
      <c r="G128" s="34" t="s">
        <v>220</v>
      </c>
      <c r="H128" s="1"/>
      <c r="M128" s="1"/>
      <c r="R128" s="3"/>
    </row>
    <row r="129" spans="1:18" ht="15.75">
      <c r="A129" s="1"/>
      <c r="B129" s="68"/>
      <c r="C129" s="34"/>
      <c r="D129" s="70">
        <v>7.99</v>
      </c>
      <c r="E129" s="71"/>
      <c r="F129" s="71"/>
      <c r="G129" s="34" t="s">
        <v>338</v>
      </c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48</v>
      </c>
      <c r="C140" s="35" t="s">
        <v>66</v>
      </c>
      <c r="D140" s="69">
        <f>SUM(D126:D139)</f>
        <v>50.49</v>
      </c>
      <c r="E140" s="69">
        <f>SUM(E126:E139)</f>
        <v>0</v>
      </c>
      <c r="F140" s="69">
        <f>SUM(F126:F139)</f>
        <v>0</v>
      </c>
      <c r="G140" s="35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71" t="str">
        <f>'2018'!A27</f>
        <v>Gatos</v>
      </c>
      <c r="C142" s="272"/>
      <c r="D142" s="272"/>
      <c r="E142" s="272"/>
      <c r="F142" s="272"/>
      <c r="G142" s="273"/>
      <c r="H142" s="1"/>
      <c r="M142" s="1"/>
      <c r="R142" s="3"/>
    </row>
    <row r="143" spans="1:18" ht="16.149999999999999" customHeight="1" thickBot="1">
      <c r="A143" s="1"/>
      <c r="B143" s="274"/>
      <c r="C143" s="275"/>
      <c r="D143" s="275"/>
      <c r="E143" s="275"/>
      <c r="F143" s="275"/>
      <c r="G143" s="276"/>
      <c r="H143" s="1"/>
      <c r="M143" s="1"/>
      <c r="R143" s="3"/>
    </row>
    <row r="144" spans="1:18" ht="15.75">
      <c r="A144" s="1"/>
      <c r="B144" s="279" t="s">
        <v>10</v>
      </c>
      <c r="C144" s="278"/>
      <c r="D144" s="277" t="s">
        <v>11</v>
      </c>
      <c r="E144" s="277"/>
      <c r="F144" s="277"/>
      <c r="G144" s="278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68</v>
      </c>
      <c r="E145" s="66" t="s">
        <v>69</v>
      </c>
      <c r="F145" s="66" t="s">
        <v>32</v>
      </c>
      <c r="G145" s="73" t="s">
        <v>394</v>
      </c>
      <c r="H145" s="1"/>
      <c r="M145" s="1"/>
      <c r="R145" s="3"/>
    </row>
    <row r="146" spans="1:22" ht="15.75">
      <c r="A146" s="1"/>
      <c r="B146" s="67">
        <v>50</v>
      </c>
      <c r="C146" s="37" t="s">
        <v>490</v>
      </c>
      <c r="D146" s="70">
        <v>31.56</v>
      </c>
      <c r="E146" s="71"/>
      <c r="F146" s="71"/>
      <c r="G146" s="34" t="s">
        <v>536</v>
      </c>
      <c r="H146" s="1"/>
      <c r="M146" s="1"/>
      <c r="R146" s="3"/>
    </row>
    <row r="147" spans="1:22" ht="15.75">
      <c r="A147" s="1"/>
      <c r="B147" s="68"/>
      <c r="C147" s="34"/>
      <c r="D147" s="70">
        <v>7.48</v>
      </c>
      <c r="E147" s="71"/>
      <c r="F147" s="71"/>
      <c r="G147" s="34" t="s">
        <v>537</v>
      </c>
      <c r="H147" s="1"/>
      <c r="M147" s="1"/>
      <c r="R147" s="3"/>
    </row>
    <row r="148" spans="1:22" ht="15.75">
      <c r="A148" s="1"/>
      <c r="B148" s="68"/>
      <c r="C148" s="34"/>
      <c r="D148" s="70">
        <v>6.79</v>
      </c>
      <c r="E148" s="71"/>
      <c r="F148" s="71"/>
      <c r="G148" s="34" t="s">
        <v>538</v>
      </c>
      <c r="H148" s="1"/>
      <c r="M148" s="1"/>
      <c r="R148" s="3"/>
    </row>
    <row r="149" spans="1:22" ht="15.75">
      <c r="A149" s="1"/>
      <c r="B149" s="68"/>
      <c r="C149" s="34"/>
      <c r="D149" s="70">
        <v>45</v>
      </c>
      <c r="E149" s="71"/>
      <c r="F149" s="71"/>
      <c r="G149" s="34" t="s">
        <v>545</v>
      </c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50</v>
      </c>
      <c r="C160" s="35" t="s">
        <v>66</v>
      </c>
      <c r="D160" s="69">
        <f>SUM(D146:D159)</f>
        <v>90.83</v>
      </c>
      <c r="E160" s="69">
        <f>SUM(E146:E159)</f>
        <v>0</v>
      </c>
      <c r="F160" s="69">
        <f>SUM(F146:F159)</f>
        <v>0</v>
      </c>
      <c r="G160" s="35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71" t="str">
        <f>'2018'!A28</f>
        <v>Vacaciones</v>
      </c>
      <c r="C162" s="272"/>
      <c r="D162" s="272"/>
      <c r="E162" s="272"/>
      <c r="F162" s="272"/>
      <c r="G162" s="273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74"/>
      <c r="C163" s="275"/>
      <c r="D163" s="275"/>
      <c r="E163" s="275"/>
      <c r="F163" s="275"/>
      <c r="G163" s="27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79" t="s">
        <v>10</v>
      </c>
      <c r="C164" s="278"/>
      <c r="D164" s="277" t="s">
        <v>11</v>
      </c>
      <c r="E164" s="277"/>
      <c r="F164" s="277"/>
      <c r="G164" s="27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68</v>
      </c>
      <c r="E165" s="66" t="s">
        <v>69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/>
      <c r="E166" s="71">
        <f>268.68</f>
        <v>268.68</v>
      </c>
      <c r="F166" s="71"/>
      <c r="G166" s="34" t="s">
        <v>546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/>
      <c r="C167" s="34"/>
      <c r="D167" s="70">
        <v>33.15</v>
      </c>
      <c r="E167" s="71"/>
      <c r="F167" s="71"/>
      <c r="G167" s="34" t="s">
        <v>570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>
        <v>3.05</v>
      </c>
      <c r="E168" s="71"/>
      <c r="F168" s="71"/>
      <c r="G168" s="34" t="s">
        <v>571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200</v>
      </c>
      <c r="C180" s="35" t="s">
        <v>66</v>
      </c>
      <c r="D180" s="69">
        <f>SUM(D166:D179)</f>
        <v>36.199999999999996</v>
      </c>
      <c r="E180" s="69">
        <f>SUM(E166:E179)</f>
        <v>268.68</v>
      </c>
      <c r="F180" s="69">
        <f>SUM(F166:F179)</f>
        <v>0</v>
      </c>
      <c r="G180" s="35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71" t="str">
        <f>'2018'!A29</f>
        <v>Ropa</v>
      </c>
      <c r="C182" s="272"/>
      <c r="D182" s="272"/>
      <c r="E182" s="272"/>
      <c r="F182" s="272"/>
      <c r="G182" s="273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74"/>
      <c r="C183" s="275"/>
      <c r="D183" s="275"/>
      <c r="E183" s="275"/>
      <c r="F183" s="275"/>
      <c r="G183" s="27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79" t="s">
        <v>10</v>
      </c>
      <c r="C184" s="278"/>
      <c r="D184" s="277" t="s">
        <v>11</v>
      </c>
      <c r="E184" s="277"/>
      <c r="F184" s="277"/>
      <c r="G184" s="27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68</v>
      </c>
      <c r="E185" s="66" t="s">
        <v>69</v>
      </c>
      <c r="F185" s="66" t="s">
        <v>32</v>
      </c>
      <c r="G185" s="73" t="s">
        <v>394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70</v>
      </c>
      <c r="C186" s="37" t="s">
        <v>43</v>
      </c>
      <c r="D186" s="70">
        <v>6</v>
      </c>
      <c r="E186" s="71"/>
      <c r="F186" s="71"/>
      <c r="G186" s="34" t="s">
        <v>551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>
        <v>144.05000000000001</v>
      </c>
      <c r="C187" s="34" t="s">
        <v>516</v>
      </c>
      <c r="D187" s="70">
        <v>19</v>
      </c>
      <c r="E187" s="71"/>
      <c r="F187" s="71"/>
      <c r="G187" s="34" t="s">
        <v>554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/>
      <c r="E188" s="71"/>
      <c r="F188" s="71"/>
      <c r="G188" s="34"/>
    </row>
    <row r="189" spans="1:22">
      <c r="B189" s="68"/>
      <c r="C189" s="34"/>
      <c r="D189" s="70"/>
      <c r="E189" s="71"/>
      <c r="F189" s="71"/>
      <c r="G189" s="34"/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214.05</v>
      </c>
      <c r="C200" s="35" t="s">
        <v>66</v>
      </c>
      <c r="D200" s="69">
        <f>SUM(D186:D199)</f>
        <v>25</v>
      </c>
      <c r="E200" s="69">
        <f>SUM(E186:E199)</f>
        <v>0</v>
      </c>
      <c r="F200" s="69">
        <f>SUM(F186:F199)</f>
        <v>0</v>
      </c>
      <c r="G200" s="35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71" t="str">
        <f>'2018'!A30</f>
        <v>Belleza</v>
      </c>
      <c r="C202" s="272"/>
      <c r="D202" s="272"/>
      <c r="E202" s="272"/>
      <c r="F202" s="272"/>
      <c r="G202" s="273"/>
    </row>
    <row r="203" spans="2:7" ht="15" customHeight="1" thickBot="1">
      <c r="B203" s="274"/>
      <c r="C203" s="275"/>
      <c r="D203" s="275"/>
      <c r="E203" s="275"/>
      <c r="F203" s="275"/>
      <c r="G203" s="276"/>
    </row>
    <row r="204" spans="2:7">
      <c r="B204" s="279" t="s">
        <v>10</v>
      </c>
      <c r="C204" s="278"/>
      <c r="D204" s="277" t="s">
        <v>11</v>
      </c>
      <c r="E204" s="277"/>
      <c r="F204" s="277"/>
      <c r="G204" s="278"/>
    </row>
    <row r="205" spans="2:7">
      <c r="B205" s="65" t="s">
        <v>32</v>
      </c>
      <c r="C205" s="73" t="s">
        <v>33</v>
      </c>
      <c r="D205" s="65" t="s">
        <v>68</v>
      </c>
      <c r="E205" s="66" t="s">
        <v>69</v>
      </c>
      <c r="F205" s="66" t="s">
        <v>32</v>
      </c>
      <c r="G205" s="73" t="s">
        <v>394</v>
      </c>
    </row>
    <row r="206" spans="2:7">
      <c r="B206" s="67">
        <v>35</v>
      </c>
      <c r="C206" s="37"/>
      <c r="D206" s="70">
        <v>20.63</v>
      </c>
      <c r="E206" s="71"/>
      <c r="F206" s="71"/>
      <c r="G206" s="34" t="s">
        <v>524</v>
      </c>
    </row>
    <row r="207" spans="2:7">
      <c r="B207" s="68"/>
      <c r="C207" s="34"/>
      <c r="D207" s="70">
        <v>40.15</v>
      </c>
      <c r="E207" s="71"/>
      <c r="F207" s="71"/>
      <c r="G207" s="34" t="s">
        <v>541</v>
      </c>
    </row>
    <row r="208" spans="2:7">
      <c r="B208" s="68"/>
      <c r="C208" s="34"/>
      <c r="D208" s="70">
        <v>16.600000000000001</v>
      </c>
      <c r="E208" s="71"/>
      <c r="F208" s="71"/>
      <c r="G208" s="34" t="s">
        <v>553</v>
      </c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66</v>
      </c>
      <c r="D220" s="69">
        <f>SUM(D206:D219)</f>
        <v>77.38</v>
      </c>
      <c r="E220" s="69">
        <f>SUM(E206:E219)</f>
        <v>0</v>
      </c>
      <c r="F220" s="69">
        <f>SUM(F206:F219)</f>
        <v>0</v>
      </c>
      <c r="G220" s="35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71" t="str">
        <f>'2018'!A31</f>
        <v>Deportes</v>
      </c>
      <c r="C222" s="272"/>
      <c r="D222" s="272"/>
      <c r="E222" s="272"/>
      <c r="F222" s="272"/>
      <c r="G222" s="273"/>
    </row>
    <row r="223" spans="2:7" ht="15" customHeight="1" thickBot="1">
      <c r="B223" s="274"/>
      <c r="C223" s="275"/>
      <c r="D223" s="275"/>
      <c r="E223" s="275"/>
      <c r="F223" s="275"/>
      <c r="G223" s="276"/>
    </row>
    <row r="224" spans="2:7">
      <c r="B224" s="279" t="s">
        <v>10</v>
      </c>
      <c r="C224" s="278"/>
      <c r="D224" s="277" t="s">
        <v>11</v>
      </c>
      <c r="E224" s="277"/>
      <c r="F224" s="277"/>
      <c r="G224" s="278"/>
    </row>
    <row r="225" spans="2:7">
      <c r="B225" s="65" t="s">
        <v>32</v>
      </c>
      <c r="C225" s="73" t="s">
        <v>33</v>
      </c>
      <c r="D225" s="65" t="s">
        <v>68</v>
      </c>
      <c r="E225" s="66" t="s">
        <v>69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/>
      <c r="E226" s="71"/>
      <c r="F226" s="71"/>
      <c r="G226" s="71" t="s">
        <v>50</v>
      </c>
    </row>
    <row r="227" spans="2:7">
      <c r="B227" s="68">
        <v>5</v>
      </c>
      <c r="C227" s="34" t="s">
        <v>46</v>
      </c>
      <c r="D227" s="70"/>
      <c r="E227" s="71"/>
      <c r="F227" s="71"/>
      <c r="G227" s="34"/>
    </row>
    <row r="228" spans="2:7">
      <c r="B228" s="68"/>
      <c r="C228" s="34"/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25</v>
      </c>
      <c r="C240" s="35" t="s">
        <v>66</v>
      </c>
      <c r="D240" s="69">
        <f>SUM(D226:D239)</f>
        <v>0</v>
      </c>
      <c r="E240" s="69">
        <f>SUM(E226:E239)</f>
        <v>0</v>
      </c>
      <c r="F240" s="69">
        <f>SUM(F226:F239)</f>
        <v>0</v>
      </c>
      <c r="G240" s="35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71" t="str">
        <f>'2018'!A32</f>
        <v>Hogar</v>
      </c>
      <c r="C242" s="272"/>
      <c r="D242" s="272"/>
      <c r="E242" s="272"/>
      <c r="F242" s="272"/>
      <c r="G242" s="273"/>
    </row>
    <row r="243" spans="2:7" ht="15" customHeight="1" thickBot="1">
      <c r="B243" s="274"/>
      <c r="C243" s="275"/>
      <c r="D243" s="275"/>
      <c r="E243" s="275"/>
      <c r="F243" s="275"/>
      <c r="G243" s="276"/>
    </row>
    <row r="244" spans="2:7" ht="15" customHeight="1">
      <c r="B244" s="279" t="s">
        <v>10</v>
      </c>
      <c r="C244" s="278"/>
      <c r="D244" s="277" t="s">
        <v>11</v>
      </c>
      <c r="E244" s="277"/>
      <c r="F244" s="277"/>
      <c r="G244" s="278"/>
    </row>
    <row r="245" spans="2:7" ht="15" customHeight="1">
      <c r="B245" s="65" t="s">
        <v>32</v>
      </c>
      <c r="C245" s="73" t="s">
        <v>33</v>
      </c>
      <c r="D245" s="65" t="s">
        <v>68</v>
      </c>
      <c r="E245" s="66" t="s">
        <v>69</v>
      </c>
      <c r="F245" s="66" t="s">
        <v>32</v>
      </c>
      <c r="G245" s="73" t="s">
        <v>394</v>
      </c>
    </row>
    <row r="246" spans="2:7" ht="15" customHeight="1">
      <c r="B246" s="68">
        <v>50</v>
      </c>
      <c r="C246" s="79" t="s">
        <v>517</v>
      </c>
      <c r="D246" s="70">
        <v>12.46</v>
      </c>
      <c r="E246" s="71"/>
      <c r="F246" s="71"/>
      <c r="G246" s="34" t="s">
        <v>525</v>
      </c>
    </row>
    <row r="247" spans="2:7" ht="15" customHeight="1">
      <c r="B247" s="68">
        <v>566.59</v>
      </c>
      <c r="C247" s="34" t="s">
        <v>516</v>
      </c>
      <c r="D247" s="70">
        <f>34.65-D286-D147</f>
        <v>23.169999999999998</v>
      </c>
      <c r="E247" s="71"/>
      <c r="F247" s="71"/>
      <c r="G247" s="34" t="s">
        <v>537</v>
      </c>
    </row>
    <row r="248" spans="2:7">
      <c r="B248" s="68"/>
      <c r="C248" s="34"/>
      <c r="D248" s="70"/>
      <c r="E248" s="71"/>
      <c r="F248" s="71"/>
      <c r="G248" s="34"/>
    </row>
    <row r="249" spans="2:7">
      <c r="B249" s="68"/>
      <c r="C249" s="34"/>
      <c r="D249" s="70"/>
      <c r="E249" s="71"/>
      <c r="F249" s="71"/>
      <c r="G249" s="34"/>
    </row>
    <row r="250" spans="2:7">
      <c r="B250" s="68"/>
      <c r="C250" s="34"/>
      <c r="D250" s="70"/>
      <c r="E250" s="71"/>
      <c r="F250" s="71"/>
      <c r="G250" s="34"/>
    </row>
    <row r="251" spans="2:7">
      <c r="B251" s="68"/>
      <c r="C251" s="34"/>
      <c r="D251" s="70"/>
      <c r="E251" s="71"/>
      <c r="F251" s="71"/>
      <c r="G251" s="34"/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616.59</v>
      </c>
      <c r="C260" s="35" t="s">
        <v>66</v>
      </c>
      <c r="D260" s="69">
        <f>SUM(D246:D259)</f>
        <v>35.629999999999995</v>
      </c>
      <c r="E260" s="69">
        <f>SUM(E246:E259)</f>
        <v>0</v>
      </c>
      <c r="F260" s="69">
        <f>SUM(F246:F259)</f>
        <v>0</v>
      </c>
      <c r="G260" s="35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71" t="str">
        <f>'2018'!A33</f>
        <v>Formación</v>
      </c>
      <c r="C262" s="272"/>
      <c r="D262" s="272"/>
      <c r="E262" s="272"/>
      <c r="F262" s="272"/>
      <c r="G262" s="273"/>
    </row>
    <row r="263" spans="2:7" ht="15" customHeight="1" thickBot="1">
      <c r="B263" s="274"/>
      <c r="C263" s="275"/>
      <c r="D263" s="275"/>
      <c r="E263" s="275"/>
      <c r="F263" s="275"/>
      <c r="G263" s="276"/>
    </row>
    <row r="264" spans="2:7">
      <c r="B264" s="279" t="s">
        <v>10</v>
      </c>
      <c r="C264" s="278"/>
      <c r="D264" s="277" t="s">
        <v>11</v>
      </c>
      <c r="E264" s="277"/>
      <c r="F264" s="277"/>
      <c r="G264" s="278"/>
    </row>
    <row r="265" spans="2:7">
      <c r="B265" s="65" t="s">
        <v>32</v>
      </c>
      <c r="C265" s="73" t="s">
        <v>33</v>
      </c>
      <c r="D265" s="65" t="s">
        <v>68</v>
      </c>
      <c r="E265" s="66" t="s">
        <v>69</v>
      </c>
      <c r="F265" s="66" t="s">
        <v>32</v>
      </c>
      <c r="G265" s="73" t="s">
        <v>33</v>
      </c>
    </row>
    <row r="266" spans="2:7">
      <c r="B266" s="67">
        <v>50</v>
      </c>
      <c r="C266" s="37" t="s">
        <v>517</v>
      </c>
      <c r="D266" s="70"/>
      <c r="E266" s="71"/>
      <c r="F266" s="71"/>
      <c r="G266" s="34"/>
    </row>
    <row r="267" spans="2:7">
      <c r="B267" s="68"/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7">
      <c r="B273" s="68"/>
      <c r="C273" s="34"/>
      <c r="D273" s="70"/>
      <c r="E273" s="71"/>
      <c r="F273" s="71"/>
      <c r="G273" s="34"/>
    </row>
    <row r="274" spans="2:7">
      <c r="B274" s="68"/>
      <c r="C274" s="34"/>
      <c r="D274" s="70"/>
      <c r="E274" s="71"/>
      <c r="F274" s="71"/>
      <c r="G274" s="34"/>
    </row>
    <row r="275" spans="2:7">
      <c r="B275" s="68"/>
      <c r="C275" s="34"/>
      <c r="D275" s="70"/>
      <c r="E275" s="71"/>
      <c r="F275" s="71"/>
      <c r="G275" s="34"/>
    </row>
    <row r="276" spans="2:7">
      <c r="B276" s="68"/>
      <c r="C276" s="34"/>
      <c r="D276" s="70"/>
      <c r="E276" s="71"/>
      <c r="F276" s="71"/>
      <c r="G276" s="34"/>
    </row>
    <row r="277" spans="2:7">
      <c r="B277" s="68"/>
      <c r="C277" s="34"/>
      <c r="D277" s="70"/>
      <c r="E277" s="71"/>
      <c r="F277" s="71"/>
      <c r="G277" s="34"/>
    </row>
    <row r="278" spans="2:7">
      <c r="B278" s="68"/>
      <c r="C278" s="34"/>
      <c r="D278" s="70"/>
      <c r="E278" s="71"/>
      <c r="F278" s="71"/>
      <c r="G278" s="34"/>
    </row>
    <row r="279" spans="2:7" ht="15.75" thickBot="1">
      <c r="B279" s="69"/>
      <c r="C279" s="35"/>
      <c r="D279" s="69"/>
      <c r="E279" s="72"/>
      <c r="F279" s="72"/>
      <c r="G279" s="35"/>
    </row>
    <row r="280" spans="2:7" ht="15.75" thickBot="1">
      <c r="B280" s="69">
        <f>SUM(B266:B279)</f>
        <v>50</v>
      </c>
      <c r="C280" s="35" t="s">
        <v>66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271" t="str">
        <f>'2018'!A34</f>
        <v>Regalos</v>
      </c>
      <c r="C282" s="272"/>
      <c r="D282" s="272"/>
      <c r="E282" s="272"/>
      <c r="F282" s="272"/>
      <c r="G282" s="273"/>
    </row>
    <row r="283" spans="2:7" ht="15" customHeight="1" thickBot="1">
      <c r="B283" s="274"/>
      <c r="C283" s="275"/>
      <c r="D283" s="275"/>
      <c r="E283" s="275"/>
      <c r="F283" s="275"/>
      <c r="G283" s="276"/>
    </row>
    <row r="284" spans="2:7">
      <c r="B284" s="279" t="s">
        <v>10</v>
      </c>
      <c r="C284" s="278"/>
      <c r="D284" s="277" t="s">
        <v>11</v>
      </c>
      <c r="E284" s="277"/>
      <c r="F284" s="277"/>
      <c r="G284" s="278"/>
    </row>
    <row r="285" spans="2:7">
      <c r="B285" s="65" t="s">
        <v>32</v>
      </c>
      <c r="C285" s="73" t="s">
        <v>33</v>
      </c>
      <c r="D285" s="65" t="s">
        <v>68</v>
      </c>
      <c r="E285" s="66" t="s">
        <v>69</v>
      </c>
      <c r="F285" s="66" t="s">
        <v>32</v>
      </c>
      <c r="G285" s="73" t="s">
        <v>394</v>
      </c>
    </row>
    <row r="286" spans="2:7">
      <c r="B286" s="67">
        <v>120</v>
      </c>
      <c r="C286" s="37" t="s">
        <v>36</v>
      </c>
      <c r="D286" s="70">
        <v>4</v>
      </c>
      <c r="E286" s="71"/>
      <c r="F286" s="71"/>
      <c r="G286" s="34" t="s">
        <v>539</v>
      </c>
    </row>
    <row r="287" spans="2:7">
      <c r="B287" s="68"/>
      <c r="C287" s="34"/>
      <c r="D287" s="70"/>
      <c r="E287" s="71"/>
      <c r="F287" s="71"/>
      <c r="G287" s="34"/>
    </row>
    <row r="288" spans="2:7">
      <c r="B288" s="68"/>
      <c r="C288" s="34"/>
      <c r="D288" s="70"/>
      <c r="E288" s="71"/>
      <c r="F288" s="71"/>
      <c r="G288" s="34"/>
    </row>
    <row r="289" spans="2:7">
      <c r="B289" s="68"/>
      <c r="C289" s="34"/>
      <c r="D289" s="70"/>
      <c r="E289" s="71"/>
      <c r="F289" s="71"/>
      <c r="G289" s="34"/>
    </row>
    <row r="290" spans="2:7">
      <c r="B290" s="68"/>
      <c r="C290" s="34"/>
      <c r="D290" s="70"/>
      <c r="E290" s="71"/>
      <c r="F290" s="71"/>
      <c r="G290" s="34"/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120</v>
      </c>
      <c r="C300" s="35" t="s">
        <v>66</v>
      </c>
      <c r="D300" s="69">
        <f>SUM(D286:D299)</f>
        <v>4</v>
      </c>
      <c r="E300" s="69">
        <f>SUM(E286:E299)</f>
        <v>0</v>
      </c>
      <c r="F300" s="69">
        <f>SUM(F286:F299)</f>
        <v>0</v>
      </c>
      <c r="G300" s="35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71" t="str">
        <f>'2018'!A35</f>
        <v>Salud</v>
      </c>
      <c r="C302" s="272"/>
      <c r="D302" s="272"/>
      <c r="E302" s="272"/>
      <c r="F302" s="272"/>
      <c r="G302" s="273"/>
    </row>
    <row r="303" spans="2:7" ht="15" customHeight="1" thickBot="1">
      <c r="B303" s="274"/>
      <c r="C303" s="275"/>
      <c r="D303" s="275"/>
      <c r="E303" s="275"/>
      <c r="F303" s="275"/>
      <c r="G303" s="276"/>
    </row>
    <row r="304" spans="2:7">
      <c r="B304" s="279" t="s">
        <v>10</v>
      </c>
      <c r="C304" s="278"/>
      <c r="D304" s="277" t="s">
        <v>11</v>
      </c>
      <c r="E304" s="277"/>
      <c r="F304" s="277"/>
      <c r="G304" s="278"/>
    </row>
    <row r="305" spans="2:7">
      <c r="B305" s="65" t="s">
        <v>32</v>
      </c>
      <c r="C305" s="73" t="s">
        <v>33</v>
      </c>
      <c r="D305" s="65" t="s">
        <v>68</v>
      </c>
      <c r="E305" s="66" t="s">
        <v>69</v>
      </c>
      <c r="F305" s="66" t="s">
        <v>32</v>
      </c>
      <c r="G305" s="73" t="s">
        <v>394</v>
      </c>
    </row>
    <row r="306" spans="2:7">
      <c r="B306" s="67">
        <v>100</v>
      </c>
      <c r="C306" s="37" t="s">
        <v>475</v>
      </c>
      <c r="D306" s="70">
        <v>125</v>
      </c>
      <c r="E306" s="71"/>
      <c r="F306" s="71"/>
      <c r="G306" s="34" t="s">
        <v>565</v>
      </c>
    </row>
    <row r="307" spans="2:7">
      <c r="B307" s="119"/>
      <c r="C307" s="79"/>
      <c r="D307" s="70"/>
      <c r="E307" s="71"/>
      <c r="F307" s="71"/>
      <c r="G307" s="34"/>
    </row>
    <row r="308" spans="2:7">
      <c r="B308" s="119"/>
      <c r="C308" s="79"/>
      <c r="D308" s="70"/>
      <c r="E308" s="71"/>
      <c r="F308" s="71"/>
      <c r="G308" s="34"/>
    </row>
    <row r="309" spans="2:7">
      <c r="B309" s="68"/>
      <c r="C309" s="34"/>
      <c r="D309" s="70"/>
      <c r="E309" s="71"/>
      <c r="F309" s="71"/>
      <c r="G309" s="34"/>
    </row>
    <row r="310" spans="2:7">
      <c r="B310" s="68"/>
      <c r="C310" s="34"/>
      <c r="D310" s="70"/>
      <c r="E310" s="71"/>
      <c r="F310" s="71"/>
      <c r="G310" s="34"/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66</v>
      </c>
      <c r="D320" s="69">
        <f>SUM(D306:D319)</f>
        <v>125</v>
      </c>
      <c r="E320" s="69">
        <f>SUM(E306:E319)</f>
        <v>0</v>
      </c>
      <c r="F320" s="69">
        <f>SUM(F306:F319)</f>
        <v>0</v>
      </c>
      <c r="G320" s="35" t="s">
        <v>66</v>
      </c>
    </row>
    <row r="321" spans="2:7" ht="15.75" thickBot="1"/>
    <row r="322" spans="2:7" ht="14.45" customHeight="1">
      <c r="B322" s="271" t="str">
        <f>'2018'!A36</f>
        <v>Martina</v>
      </c>
      <c r="C322" s="272"/>
      <c r="D322" s="272"/>
      <c r="E322" s="272"/>
      <c r="F322" s="272"/>
      <c r="G322" s="273"/>
    </row>
    <row r="323" spans="2:7" ht="15" customHeight="1" thickBot="1">
      <c r="B323" s="274"/>
      <c r="C323" s="275"/>
      <c r="D323" s="275"/>
      <c r="E323" s="275"/>
      <c r="F323" s="275"/>
      <c r="G323" s="276"/>
    </row>
    <row r="324" spans="2:7">
      <c r="B324" s="279" t="s">
        <v>10</v>
      </c>
      <c r="C324" s="278"/>
      <c r="D324" s="277" t="s">
        <v>11</v>
      </c>
      <c r="E324" s="277"/>
      <c r="F324" s="277"/>
      <c r="G324" s="278"/>
    </row>
    <row r="325" spans="2:7">
      <c r="B325" s="65" t="s">
        <v>32</v>
      </c>
      <c r="C325" s="73" t="s">
        <v>33</v>
      </c>
      <c r="D325" s="65" t="s">
        <v>68</v>
      </c>
      <c r="E325" s="66" t="s">
        <v>69</v>
      </c>
      <c r="F325" s="66" t="s">
        <v>32</v>
      </c>
      <c r="G325" s="73" t="s">
        <v>394</v>
      </c>
    </row>
    <row r="326" spans="2:7">
      <c r="B326" s="67">
        <v>90</v>
      </c>
      <c r="C326" s="37" t="s">
        <v>517</v>
      </c>
      <c r="D326" s="70">
        <v>4.3499999999999996</v>
      </c>
      <c r="E326" s="71"/>
      <c r="F326" s="71"/>
      <c r="G326" s="34" t="s">
        <v>560</v>
      </c>
    </row>
    <row r="327" spans="2:7">
      <c r="B327" s="68">
        <v>0.02</v>
      </c>
      <c r="C327" s="34" t="s">
        <v>518</v>
      </c>
      <c r="D327" s="70"/>
      <c r="E327" s="71"/>
      <c r="F327" s="71"/>
      <c r="G327" s="34"/>
    </row>
    <row r="328" spans="2:7">
      <c r="B328" s="68">
        <v>241.71</v>
      </c>
      <c r="C328" s="34" t="s">
        <v>516</v>
      </c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331.73</v>
      </c>
      <c r="C340" s="35" t="s">
        <v>66</v>
      </c>
      <c r="D340" s="69">
        <f>SUM(D326:D339)</f>
        <v>4.3499999999999996</v>
      </c>
      <c r="E340" s="69">
        <f>SUM(E326:E339)</f>
        <v>0</v>
      </c>
      <c r="F340" s="69">
        <f>SUM(F326:F339)</f>
        <v>0</v>
      </c>
      <c r="G340" s="35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71" t="str">
        <f>'2018'!A37</f>
        <v>Impuestos</v>
      </c>
      <c r="C342" s="272"/>
      <c r="D342" s="272"/>
      <c r="E342" s="272"/>
      <c r="F342" s="272"/>
      <c r="G342" s="273"/>
    </row>
    <row r="343" spans="2:7" ht="15" customHeight="1" thickBot="1">
      <c r="B343" s="274"/>
      <c r="C343" s="275"/>
      <c r="D343" s="275"/>
      <c r="E343" s="275"/>
      <c r="F343" s="275"/>
      <c r="G343" s="276"/>
    </row>
    <row r="344" spans="2:7">
      <c r="B344" s="279" t="s">
        <v>10</v>
      </c>
      <c r="C344" s="278"/>
      <c r="D344" s="277" t="s">
        <v>11</v>
      </c>
      <c r="E344" s="277"/>
      <c r="F344" s="277"/>
      <c r="G344" s="278"/>
    </row>
    <row r="345" spans="2:7">
      <c r="B345" s="65" t="s">
        <v>32</v>
      </c>
      <c r="C345" s="73" t="s">
        <v>33</v>
      </c>
      <c r="D345" s="65" t="s">
        <v>68</v>
      </c>
      <c r="E345" s="66" t="s">
        <v>69</v>
      </c>
      <c r="F345" s="66" t="s">
        <v>32</v>
      </c>
      <c r="G345" s="73" t="s">
        <v>394</v>
      </c>
    </row>
    <row r="346" spans="2:7">
      <c r="B346" s="67">
        <v>30</v>
      </c>
      <c r="C346" s="37" t="s">
        <v>119</v>
      </c>
      <c r="D346" s="70"/>
      <c r="E346" s="71"/>
      <c r="F346" s="71"/>
      <c r="G346" s="34"/>
    </row>
    <row r="347" spans="2:7">
      <c r="B347" s="68">
        <v>20</v>
      </c>
      <c r="C347" s="34" t="s">
        <v>477</v>
      </c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50</v>
      </c>
      <c r="C360" s="35" t="s">
        <v>66</v>
      </c>
      <c r="D360" s="69">
        <f>SUM(D346:D359)</f>
        <v>0</v>
      </c>
      <c r="E360" s="69">
        <f>SUM(E346:E359)</f>
        <v>0</v>
      </c>
      <c r="F360" s="69">
        <f>SUM(F346:F359)</f>
        <v>0</v>
      </c>
      <c r="G360" s="35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71" t="str">
        <f>'2018'!A38</f>
        <v>Gastos Curros</v>
      </c>
      <c r="C362" s="272"/>
      <c r="D362" s="272"/>
      <c r="E362" s="272"/>
      <c r="F362" s="272"/>
      <c r="G362" s="273"/>
    </row>
    <row r="363" spans="2:7" ht="15" customHeight="1" thickBot="1">
      <c r="B363" s="274"/>
      <c r="C363" s="275"/>
      <c r="D363" s="275"/>
      <c r="E363" s="275"/>
      <c r="F363" s="275"/>
      <c r="G363" s="276"/>
    </row>
    <row r="364" spans="2:7">
      <c r="B364" s="279" t="s">
        <v>10</v>
      </c>
      <c r="C364" s="278"/>
      <c r="D364" s="277" t="s">
        <v>11</v>
      </c>
      <c r="E364" s="277"/>
      <c r="F364" s="277"/>
      <c r="G364" s="278"/>
    </row>
    <row r="365" spans="2:7">
      <c r="B365" s="65" t="s">
        <v>32</v>
      </c>
      <c r="C365" s="73" t="s">
        <v>33</v>
      </c>
      <c r="D365" s="65" t="s">
        <v>68</v>
      </c>
      <c r="E365" s="66" t="s">
        <v>69</v>
      </c>
      <c r="F365" s="66" t="s">
        <v>32</v>
      </c>
      <c r="G365" s="73" t="s">
        <v>394</v>
      </c>
    </row>
    <row r="366" spans="2:7">
      <c r="B366" s="67">
        <v>70</v>
      </c>
      <c r="C366" s="37" t="s">
        <v>36</v>
      </c>
      <c r="D366" s="70"/>
      <c r="E366" s="71"/>
      <c r="F366" s="71">
        <f>4+2.8+3.5+3.7+3.4+2.8+3.4+2.8+4.45+2.8+5</f>
        <v>38.65</v>
      </c>
      <c r="G366" s="91" t="s">
        <v>91</v>
      </c>
    </row>
    <row r="367" spans="2:7">
      <c r="B367" s="68">
        <v>26.77</v>
      </c>
      <c r="C367" s="34" t="s">
        <v>514</v>
      </c>
      <c r="D367" s="70">
        <v>40.49</v>
      </c>
      <c r="E367" s="71"/>
      <c r="F367" s="71"/>
      <c r="G367" s="91" t="s">
        <v>542</v>
      </c>
    </row>
    <row r="368" spans="2:7">
      <c r="B368" s="68"/>
      <c r="C368" s="34"/>
      <c r="D368" s="70"/>
      <c r="E368" s="71">
        <v>57.65</v>
      </c>
      <c r="F368" s="71"/>
      <c r="G368" s="34" t="s">
        <v>544</v>
      </c>
    </row>
    <row r="369" spans="2:7">
      <c r="B369" s="68"/>
      <c r="C369" s="34"/>
      <c r="D369" s="70"/>
      <c r="E369" s="71"/>
      <c r="F369" s="71">
        <v>2.85</v>
      </c>
      <c r="G369" s="34" t="s">
        <v>556</v>
      </c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96.77</v>
      </c>
      <c r="C380" s="35" t="s">
        <v>66</v>
      </c>
      <c r="D380" s="69">
        <f>SUM(D366:D379)</f>
        <v>40.49</v>
      </c>
      <c r="E380" s="69">
        <f>SUM(E366:E379)</f>
        <v>57.65</v>
      </c>
      <c r="F380" s="69">
        <f>SUM(F366:F379)</f>
        <v>41.5</v>
      </c>
      <c r="G380" s="35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71" t="str">
        <f>'2018'!A39</f>
        <v>Dreamed Holidays</v>
      </c>
      <c r="C382" s="272"/>
      <c r="D382" s="272"/>
      <c r="E382" s="272"/>
      <c r="F382" s="272"/>
      <c r="G382" s="273"/>
    </row>
    <row r="383" spans="2:7" ht="15" customHeight="1" thickBot="1">
      <c r="B383" s="274"/>
      <c r="C383" s="275"/>
      <c r="D383" s="275"/>
      <c r="E383" s="275"/>
      <c r="F383" s="275"/>
      <c r="G383" s="276"/>
    </row>
    <row r="384" spans="2:7">
      <c r="B384" s="279" t="s">
        <v>10</v>
      </c>
      <c r="C384" s="278"/>
      <c r="D384" s="277" t="s">
        <v>11</v>
      </c>
      <c r="E384" s="277"/>
      <c r="F384" s="277"/>
      <c r="G384" s="278"/>
    </row>
    <row r="385" spans="2:7">
      <c r="B385" s="65" t="s">
        <v>32</v>
      </c>
      <c r="C385" s="73" t="s">
        <v>33</v>
      </c>
      <c r="D385" s="65" t="s">
        <v>68</v>
      </c>
      <c r="E385" s="66" t="s">
        <v>69</v>
      </c>
      <c r="F385" s="66" t="s">
        <v>32</v>
      </c>
      <c r="G385" s="73" t="s">
        <v>33</v>
      </c>
    </row>
    <row r="386" spans="2:7">
      <c r="B386" s="67">
        <v>10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10</v>
      </c>
      <c r="C400" s="35" t="s">
        <v>66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71" t="str">
        <f>'2018'!A40</f>
        <v>Financieros</v>
      </c>
      <c r="C402" s="272"/>
      <c r="D402" s="272"/>
      <c r="E402" s="272"/>
      <c r="F402" s="272"/>
      <c r="G402" s="273"/>
    </row>
    <row r="403" spans="2:7" ht="15" customHeight="1" thickBot="1">
      <c r="B403" s="274"/>
      <c r="C403" s="275"/>
      <c r="D403" s="275"/>
      <c r="E403" s="275"/>
      <c r="F403" s="275"/>
      <c r="G403" s="276"/>
    </row>
    <row r="404" spans="2:7">
      <c r="B404" s="279" t="s">
        <v>10</v>
      </c>
      <c r="C404" s="278"/>
      <c r="D404" s="277" t="s">
        <v>11</v>
      </c>
      <c r="E404" s="277"/>
      <c r="F404" s="277"/>
      <c r="G404" s="278"/>
    </row>
    <row r="405" spans="2:7">
      <c r="B405" s="65" t="s">
        <v>32</v>
      </c>
      <c r="C405" s="73" t="s">
        <v>33</v>
      </c>
      <c r="D405" s="65" t="s">
        <v>68</v>
      </c>
      <c r="E405" s="66" t="s">
        <v>69</v>
      </c>
      <c r="F405" s="66" t="s">
        <v>32</v>
      </c>
      <c r="G405" s="73" t="s">
        <v>33</v>
      </c>
    </row>
    <row r="406" spans="2:7">
      <c r="B406" s="67"/>
      <c r="C406" s="37"/>
      <c r="D406" s="70"/>
      <c r="E406" s="71"/>
      <c r="F406" s="71"/>
      <c r="G406" s="34"/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0</v>
      </c>
      <c r="C420" s="35" t="s">
        <v>66</v>
      </c>
      <c r="D420" s="69">
        <f>SUM(D406:D419)</f>
        <v>0</v>
      </c>
      <c r="E420" s="69">
        <f>SUM(E406:E419)</f>
        <v>0</v>
      </c>
      <c r="F420" s="69">
        <f>SUM(F406:F419)</f>
        <v>0</v>
      </c>
      <c r="G420" s="35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71" t="str">
        <f>'2018'!A41</f>
        <v>Ahorros Colchón</v>
      </c>
      <c r="C422" s="289"/>
      <c r="D422" s="289"/>
      <c r="E422" s="289"/>
      <c r="F422" s="289"/>
      <c r="G422" s="290"/>
    </row>
    <row r="423" spans="2:7" ht="15" customHeight="1" thickBot="1">
      <c r="B423" s="291"/>
      <c r="C423" s="292"/>
      <c r="D423" s="292"/>
      <c r="E423" s="292"/>
      <c r="F423" s="292"/>
      <c r="G423" s="293"/>
    </row>
    <row r="424" spans="2:7">
      <c r="B424" s="279" t="s">
        <v>10</v>
      </c>
      <c r="C424" s="278"/>
      <c r="D424" s="277" t="s">
        <v>11</v>
      </c>
      <c r="E424" s="277"/>
      <c r="F424" s="277"/>
      <c r="G424" s="278"/>
    </row>
    <row r="425" spans="2:7">
      <c r="B425" s="65" t="s">
        <v>32</v>
      </c>
      <c r="C425" s="73" t="s">
        <v>33</v>
      </c>
      <c r="D425" s="65" t="s">
        <v>68</v>
      </c>
      <c r="E425" s="66" t="s">
        <v>69</v>
      </c>
      <c r="F425" s="66" t="s">
        <v>32</v>
      </c>
      <c r="G425" s="73" t="s">
        <v>33</v>
      </c>
    </row>
    <row r="426" spans="2:7">
      <c r="B426" s="67">
        <f>'2018'!AE17-4975.44</f>
        <v>-1589.8899999999999</v>
      </c>
      <c r="C426" s="37" t="s">
        <v>530</v>
      </c>
      <c r="D426" s="70"/>
      <c r="E426" s="71"/>
      <c r="F426" s="71"/>
      <c r="G426" s="34"/>
    </row>
    <row r="427" spans="2:7">
      <c r="B427" s="68"/>
      <c r="C427" s="34"/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-1589.8899999999999</v>
      </c>
      <c r="C440" s="35" t="s">
        <v>66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71" t="str">
        <f>'2018'!A42</f>
        <v>Dinero Bloqueado</v>
      </c>
      <c r="C442" s="289"/>
      <c r="D442" s="289"/>
      <c r="E442" s="289"/>
      <c r="F442" s="289"/>
      <c r="G442" s="290"/>
    </row>
    <row r="443" spans="2:7" ht="15" customHeight="1" thickBot="1">
      <c r="B443" s="291"/>
      <c r="C443" s="292"/>
      <c r="D443" s="292"/>
      <c r="E443" s="292"/>
      <c r="F443" s="292"/>
      <c r="G443" s="293"/>
    </row>
    <row r="444" spans="2:7">
      <c r="B444" s="279" t="s">
        <v>10</v>
      </c>
      <c r="C444" s="278"/>
      <c r="D444" s="277" t="s">
        <v>11</v>
      </c>
      <c r="E444" s="277"/>
      <c r="F444" s="277"/>
      <c r="G444" s="278"/>
    </row>
    <row r="445" spans="2:7">
      <c r="B445" s="65" t="s">
        <v>32</v>
      </c>
      <c r="C445" s="73" t="s">
        <v>33</v>
      </c>
      <c r="D445" s="65" t="s">
        <v>68</v>
      </c>
      <c r="E445" s="66" t="s">
        <v>69</v>
      </c>
      <c r="F445" s="66" t="s">
        <v>32</v>
      </c>
      <c r="G445" s="73" t="s">
        <v>33</v>
      </c>
    </row>
    <row r="446" spans="2:7">
      <c r="B446" s="67"/>
      <c r="C446" s="37"/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0</v>
      </c>
      <c r="C460" s="35" t="s">
        <v>66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71" t="str">
        <f>'2018'!A43</f>
        <v>Cartama Finanazas</v>
      </c>
      <c r="C462" s="289"/>
      <c r="D462" s="289"/>
      <c r="E462" s="289"/>
      <c r="F462" s="289"/>
      <c r="G462" s="290"/>
    </row>
    <row r="463" spans="2:7" ht="15" customHeight="1" thickBot="1">
      <c r="B463" s="291"/>
      <c r="C463" s="292"/>
      <c r="D463" s="292"/>
      <c r="E463" s="292"/>
      <c r="F463" s="292"/>
      <c r="G463" s="293"/>
    </row>
    <row r="464" spans="2:7">
      <c r="B464" s="279" t="s">
        <v>10</v>
      </c>
      <c r="C464" s="278"/>
      <c r="D464" s="277" t="s">
        <v>11</v>
      </c>
      <c r="E464" s="277"/>
      <c r="F464" s="277"/>
      <c r="G464" s="278"/>
    </row>
    <row r="465" spans="2:7">
      <c r="B465" s="65" t="s">
        <v>32</v>
      </c>
      <c r="C465" s="73" t="s">
        <v>33</v>
      </c>
      <c r="D465" s="65" t="s">
        <v>68</v>
      </c>
      <c r="E465" s="66" t="s">
        <v>69</v>
      </c>
      <c r="F465" s="66" t="s">
        <v>32</v>
      </c>
      <c r="G465" s="73" t="s">
        <v>33</v>
      </c>
    </row>
    <row r="466" spans="2:7">
      <c r="B466" s="68">
        <v>30</v>
      </c>
      <c r="C466" s="34" t="s">
        <v>487</v>
      </c>
      <c r="D466" s="70"/>
      <c r="E466" s="71"/>
      <c r="F466" s="71"/>
      <c r="G466" s="34"/>
    </row>
    <row r="467" spans="2:7">
      <c r="B467" s="68">
        <v>285</v>
      </c>
      <c r="C467" s="34" t="s">
        <v>470</v>
      </c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315</v>
      </c>
      <c r="C480" s="35" t="s">
        <v>66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66</v>
      </c>
    </row>
    <row r="481" spans="2:7" ht="15.75" thickBot="1"/>
    <row r="482" spans="2:7" ht="14.45" customHeight="1">
      <c r="B482" s="271" t="str">
        <f>'2018'!A44</f>
        <v>NULO</v>
      </c>
      <c r="C482" s="289"/>
      <c r="D482" s="289"/>
      <c r="E482" s="289"/>
      <c r="F482" s="289"/>
      <c r="G482" s="290"/>
    </row>
    <row r="483" spans="2:7" ht="15" customHeight="1" thickBot="1">
      <c r="B483" s="291"/>
      <c r="C483" s="292"/>
      <c r="D483" s="292"/>
      <c r="E483" s="292"/>
      <c r="F483" s="292"/>
      <c r="G483" s="293"/>
    </row>
    <row r="484" spans="2:7">
      <c r="B484" s="279" t="s">
        <v>10</v>
      </c>
      <c r="C484" s="278"/>
      <c r="D484" s="277" t="s">
        <v>11</v>
      </c>
      <c r="E484" s="277"/>
      <c r="F484" s="277"/>
      <c r="G484" s="278"/>
    </row>
    <row r="485" spans="2:7">
      <c r="B485" s="65" t="s">
        <v>32</v>
      </c>
      <c r="C485" s="73" t="s">
        <v>33</v>
      </c>
      <c r="D485" s="65" t="s">
        <v>68</v>
      </c>
      <c r="E485" s="66" t="s">
        <v>69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66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71" t="str">
        <f>'2018'!A45</f>
        <v>OTROS</v>
      </c>
      <c r="C502" s="289"/>
      <c r="D502" s="289"/>
      <c r="E502" s="289"/>
      <c r="F502" s="289"/>
      <c r="G502" s="290"/>
    </row>
    <row r="503" spans="2:7" ht="15" customHeight="1" thickBot="1">
      <c r="B503" s="291"/>
      <c r="C503" s="292"/>
      <c r="D503" s="292"/>
      <c r="E503" s="292"/>
      <c r="F503" s="292"/>
      <c r="G503" s="293"/>
    </row>
    <row r="504" spans="2:7">
      <c r="B504" s="279" t="s">
        <v>10</v>
      </c>
      <c r="C504" s="278"/>
      <c r="D504" s="277" t="s">
        <v>11</v>
      </c>
      <c r="E504" s="277"/>
      <c r="F504" s="277"/>
      <c r="G504" s="278"/>
    </row>
    <row r="505" spans="2:7">
      <c r="B505" s="65" t="s">
        <v>32</v>
      </c>
      <c r="C505" s="73" t="s">
        <v>33</v>
      </c>
      <c r="D505" s="65" t="s">
        <v>68</v>
      </c>
      <c r="E505" s="66" t="s">
        <v>69</v>
      </c>
      <c r="F505" s="66" t="s">
        <v>32</v>
      </c>
      <c r="G505" s="73" t="s">
        <v>33</v>
      </c>
    </row>
    <row r="506" spans="2:7">
      <c r="B506" s="67">
        <v>10</v>
      </c>
      <c r="C506" s="37"/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>
        <f>SUM(B506:B519)</f>
        <v>10</v>
      </c>
      <c r="C520" s="35" t="s">
        <v>66</v>
      </c>
      <c r="D520" s="69">
        <f>SUM(D506:D519)</f>
        <v>0</v>
      </c>
      <c r="E520" s="69">
        <f>SUM(E506:E519)</f>
        <v>0</v>
      </c>
      <c r="F520" s="69">
        <f>SUM(F506:F519)</f>
        <v>0</v>
      </c>
      <c r="G520" s="35" t="s">
        <v>66</v>
      </c>
    </row>
  </sheetData>
  <mergeCells count="111"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800-000000000000}"/>
    <hyperlink ref="I22" location="Trimestre!C39:F40" display="TELÉFONO" xr:uid="{00000000-0004-0000-0800-000001000000}"/>
    <hyperlink ref="I22:L23" location="'2018'!AE7:AH7" display="INGRESOS" xr:uid="{00000000-0004-0000-0800-000002000000}"/>
    <hyperlink ref="B2" location="Trimestre!C25:F26" display="HIPOTECA" xr:uid="{00000000-0004-0000-0800-000003000000}"/>
    <hyperlink ref="B2:G3" location="'2018'!AE20:AH20" display="'2018'!AE20:AH20" xr:uid="{00000000-0004-0000-0800-000004000000}"/>
    <hyperlink ref="B22" location="Trimestre!C25:F26" display="HIPOTECA" xr:uid="{00000000-0004-0000-0800-000005000000}"/>
    <hyperlink ref="B22:G23" location="'2018'!AE21:AH21" display="'2018'!AE21:AH21" xr:uid="{00000000-0004-0000-0800-000006000000}"/>
    <hyperlink ref="B42" location="Trimestre!C25:F26" display="HIPOTECA" xr:uid="{00000000-0004-0000-0800-000007000000}"/>
    <hyperlink ref="B42:G43" location="'2018'!AE22:AH22" display="'2018'!AE22:AH22" xr:uid="{00000000-0004-0000-0800-000008000000}"/>
    <hyperlink ref="B62" location="Trimestre!C25:F26" display="HIPOTECA" xr:uid="{00000000-0004-0000-0800-000009000000}"/>
    <hyperlink ref="B62:G63" location="'2018'!AE23:AH23" display="'2018'!AE23:AH23" xr:uid="{00000000-0004-0000-0800-00000A000000}"/>
    <hyperlink ref="B82" location="Trimestre!C25:F26" display="HIPOTECA" xr:uid="{00000000-0004-0000-0800-00000B000000}"/>
    <hyperlink ref="B82:G83" location="'2018'!AE24:AH24" display="'2018'!AE24:AH24" xr:uid="{00000000-0004-0000-0800-00000C000000}"/>
    <hyperlink ref="B102" location="Trimestre!C25:F26" display="HIPOTECA" xr:uid="{00000000-0004-0000-0800-00000D000000}"/>
    <hyperlink ref="B102:G103" location="'2018'!AE25:AH25" display="'2018'!AE25:AH25" xr:uid="{00000000-0004-0000-0800-00000E000000}"/>
    <hyperlink ref="B122" location="Trimestre!C25:F26" display="HIPOTECA" xr:uid="{00000000-0004-0000-0800-00000F000000}"/>
    <hyperlink ref="B122:G123" location="'2018'!AE26:AH26" display="'2018'!AE26:AH26" xr:uid="{00000000-0004-0000-0800-000010000000}"/>
    <hyperlink ref="B142" location="Trimestre!C25:F26" display="HIPOTECA" xr:uid="{00000000-0004-0000-0800-000011000000}"/>
    <hyperlink ref="B142:G143" location="'2018'!AE27:AH27" display="'2018'!AE27:AH27" xr:uid="{00000000-0004-0000-0800-000012000000}"/>
    <hyperlink ref="B162" location="Trimestre!C25:F26" display="HIPOTECA" xr:uid="{00000000-0004-0000-0800-000013000000}"/>
    <hyperlink ref="B162:G163" location="'2018'!AE28:AH28" display="'2018'!AE28:AH28" xr:uid="{00000000-0004-0000-0800-000014000000}"/>
    <hyperlink ref="B182" location="Trimestre!C25:F26" display="HIPOTECA" xr:uid="{00000000-0004-0000-0800-000015000000}"/>
    <hyperlink ref="B182:G183" location="'2018'!AE29:AH29" display="'2018'!AE29:AH29" xr:uid="{00000000-0004-0000-0800-000016000000}"/>
    <hyperlink ref="B202" location="Trimestre!C25:F26" display="HIPOTECA" xr:uid="{00000000-0004-0000-0800-000017000000}"/>
    <hyperlink ref="B202:G203" location="'2018'!AE30:AH30" display="'2018'!AE30:AH30" xr:uid="{00000000-0004-0000-0800-000018000000}"/>
    <hyperlink ref="B222" location="Trimestre!C25:F26" display="HIPOTECA" xr:uid="{00000000-0004-0000-0800-000019000000}"/>
    <hyperlink ref="B222:G223" location="'2018'!AE31:AH31" display="'2018'!AE31:AH31" xr:uid="{00000000-0004-0000-0800-00001A000000}"/>
    <hyperlink ref="B242" location="Trimestre!C25:F26" display="HIPOTECA" xr:uid="{00000000-0004-0000-0800-00001B000000}"/>
    <hyperlink ref="B242:G243" location="'2018'!AE32:AH32" display="'2018'!AE32:AH32" xr:uid="{00000000-0004-0000-0800-00001C000000}"/>
    <hyperlink ref="B262" location="Trimestre!C25:F26" display="HIPOTECA" xr:uid="{00000000-0004-0000-0800-00001D000000}"/>
    <hyperlink ref="B262:G263" location="'2018'!AE33:AH33" display="'2018'!AE33:AH33" xr:uid="{00000000-0004-0000-0800-00001E000000}"/>
    <hyperlink ref="B282" location="Trimestre!C25:F26" display="HIPOTECA" xr:uid="{00000000-0004-0000-0800-00001F000000}"/>
    <hyperlink ref="B282:G283" location="'2018'!AE34:AH34" display="'2018'!AE34:AH34" xr:uid="{00000000-0004-0000-0800-000020000000}"/>
    <hyperlink ref="B302" location="Trimestre!C25:F26" display="HIPOTECA" xr:uid="{00000000-0004-0000-0800-000021000000}"/>
    <hyperlink ref="B302:G303" location="'2018'!AE35:AH35" display="'2018'!AE35:AH35" xr:uid="{00000000-0004-0000-0800-000022000000}"/>
    <hyperlink ref="B322" location="Trimestre!C25:F26" display="HIPOTECA" xr:uid="{00000000-0004-0000-0800-000023000000}"/>
    <hyperlink ref="B322:G323" location="'2018'!AE36:AH36" display="'2018'!AE36:AH36" xr:uid="{00000000-0004-0000-0800-000024000000}"/>
    <hyperlink ref="B342" location="Trimestre!C25:F26" display="HIPOTECA" xr:uid="{00000000-0004-0000-0800-000025000000}"/>
    <hyperlink ref="B342:G343" location="'2018'!AE37:AH37" display="'2018'!AE37:AH37" xr:uid="{00000000-0004-0000-0800-000026000000}"/>
    <hyperlink ref="B362" location="Trimestre!C25:F26" display="HIPOTECA" xr:uid="{00000000-0004-0000-0800-000027000000}"/>
    <hyperlink ref="B362:G363" location="'2018'!AE38:AH38" display="'2018'!AE38:AH38" xr:uid="{00000000-0004-0000-0800-000028000000}"/>
    <hyperlink ref="B382" location="Trimestre!C25:F26" display="HIPOTECA" xr:uid="{00000000-0004-0000-0800-000029000000}"/>
    <hyperlink ref="B382:G383" location="'2018'!AE39:AH39" display="'2018'!AE39:AH39" xr:uid="{00000000-0004-0000-0800-00002A000000}"/>
    <hyperlink ref="B402" location="Trimestre!C25:F26" display="HIPOTECA" xr:uid="{00000000-0004-0000-0800-00002B000000}"/>
    <hyperlink ref="B402:G403" location="'2018'!AE40:AH40" display="'2018'!AE40:AH40" xr:uid="{00000000-0004-0000-0800-00002C000000}"/>
    <hyperlink ref="B422" location="Trimestre!C25:F26" display="HIPOTECA" xr:uid="{00000000-0004-0000-0800-00002D000000}"/>
    <hyperlink ref="B422:G423" location="'2018'!AE41:AH41" display="'2018'!AE41:AH41" xr:uid="{00000000-0004-0000-0800-00002E000000}"/>
    <hyperlink ref="B442" location="Trimestre!C25:F26" display="HIPOTECA" xr:uid="{00000000-0004-0000-0800-00002F000000}"/>
    <hyperlink ref="B442:G443" location="'2018'!AE42:AH42" display="'2018'!AE42:AH42" xr:uid="{00000000-0004-0000-0800-000030000000}"/>
    <hyperlink ref="B462" location="Trimestre!C25:F26" display="HIPOTECA" xr:uid="{00000000-0004-0000-0800-000031000000}"/>
    <hyperlink ref="B462:G463" location="'2018'!AE43:AH43" display="'2018'!AE43:AH43" xr:uid="{00000000-0004-0000-0800-000032000000}"/>
    <hyperlink ref="B482" location="Trimestre!C25:F26" display="HIPOTECA" xr:uid="{00000000-0004-0000-0800-000033000000}"/>
    <hyperlink ref="B482:G483" location="'2018'!AE44:AH44" display="'2018'!AE44:AH44" xr:uid="{00000000-0004-0000-0800-000034000000}"/>
    <hyperlink ref="B502" location="Trimestre!C25:F26" display="HIPOTECA" xr:uid="{00000000-0004-0000-0800-000035000000}"/>
    <hyperlink ref="B502:G503" location="'2018'!AE45:AH45" display="'2018'!AE45:AH45" xr:uid="{00000000-0004-0000-0800-000036000000}"/>
    <hyperlink ref="I2:L3" location="'2018'!AE4:AH4" display="SALDO REAL" xr:uid="{00000000-0004-0000-0800-000037000000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2018</vt:lpstr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Hipoteca</vt:lpstr>
      <vt:lpstr>Coche</vt:lpstr>
      <vt:lpstr>Historico</vt:lpstr>
      <vt:lpstr>NOTAS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2018-09-20T11:58:27Z</dcterms:modified>
</cp:coreProperties>
</file>