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D2E8E1D9-0505-43B6-8531-B97F52280732}" xr6:coauthVersionLast="36" xr6:coauthVersionMax="36" xr10:uidLastSave="{00000000-0000-0000-0000-000000000000}"/>
  <bookViews>
    <workbookView xWindow="0" yWindow="0" windowWidth="27495" windowHeight="5790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K19" i="5"/>
  <c r="B20" i="5"/>
  <c r="D20" i="5"/>
  <c r="E20" i="5"/>
  <c r="F20" i="5"/>
  <c r="L20" i="5"/>
  <c r="B22" i="5"/>
  <c r="I25" i="5"/>
  <c r="I30" i="5"/>
  <c r="B40" i="5"/>
  <c r="D40" i="5"/>
  <c r="E40" i="5"/>
  <c r="F40" i="5"/>
  <c r="I40" i="5"/>
  <c r="B42" i="5"/>
  <c r="I45" i="5"/>
  <c r="I50" i="5"/>
  <c r="I55" i="5"/>
  <c r="B60" i="5"/>
  <c r="D60" i="5"/>
  <c r="E60" i="5"/>
  <c r="F60" i="5"/>
  <c r="I60" i="5"/>
  <c r="B62" i="5"/>
  <c r="I65" i="5"/>
  <c r="B80" i="5"/>
  <c r="D80" i="5"/>
  <c r="E80" i="5"/>
  <c r="F80" i="5"/>
  <c r="B82" i="5"/>
  <c r="B100" i="5"/>
  <c r="D100" i="5"/>
  <c r="E100" i="5"/>
  <c r="F100" i="5"/>
  <c r="B102" i="5"/>
  <c r="B120" i="5"/>
  <c r="D120" i="5"/>
  <c r="E120" i="5"/>
  <c r="F120" i="5"/>
  <c r="B122" i="5"/>
  <c r="B140" i="5"/>
  <c r="D140" i="5"/>
  <c r="E140" i="5"/>
  <c r="F140" i="5"/>
  <c r="B142" i="5"/>
  <c r="B160" i="5"/>
  <c r="D160" i="5"/>
  <c r="E160" i="5"/>
  <c r="F160" i="5"/>
  <c r="B162" i="5"/>
  <c r="B180" i="5"/>
  <c r="D180" i="5"/>
  <c r="E180" i="5"/>
  <c r="F180" i="5"/>
  <c r="B182" i="5"/>
  <c r="B200" i="5"/>
  <c r="D200" i="5"/>
  <c r="E200" i="5"/>
  <c r="F200" i="5"/>
  <c r="B202" i="5"/>
  <c r="B220" i="5"/>
  <c r="D220" i="5"/>
  <c r="E220" i="5"/>
  <c r="F220" i="5"/>
  <c r="B222" i="5"/>
  <c r="B240" i="5"/>
  <c r="D240" i="5"/>
  <c r="E240" i="5"/>
  <c r="F240" i="5"/>
  <c r="B242" i="5"/>
  <c r="B260" i="5"/>
  <c r="D260" i="5"/>
  <c r="E260" i="5"/>
  <c r="F260" i="5"/>
  <c r="B262" i="5"/>
  <c r="B280" i="5"/>
  <c r="D280" i="5"/>
  <c r="E280" i="5"/>
  <c r="F280" i="5"/>
  <c r="B282" i="5"/>
  <c r="B300" i="5"/>
  <c r="D300" i="5"/>
  <c r="E300" i="5"/>
  <c r="F300" i="5"/>
  <c r="B302" i="5"/>
  <c r="B320" i="5"/>
  <c r="D320" i="5"/>
  <c r="E320" i="5"/>
  <c r="F320" i="5"/>
  <c r="B322" i="5"/>
  <c r="B340" i="5"/>
  <c r="D340" i="5"/>
  <c r="E340" i="5"/>
  <c r="F340" i="5"/>
  <c r="B342" i="5"/>
  <c r="B360" i="5"/>
  <c r="D360" i="5"/>
  <c r="E360" i="5"/>
  <c r="F360" i="5"/>
  <c r="B362" i="5"/>
  <c r="B380" i="5"/>
  <c r="D380" i="5"/>
  <c r="E380" i="5"/>
  <c r="F380" i="5"/>
  <c r="B382" i="5"/>
  <c r="B400" i="5"/>
  <c r="D400" i="5"/>
  <c r="E400" i="5"/>
  <c r="F400" i="5"/>
  <c r="B402" i="5"/>
  <c r="B420" i="5"/>
  <c r="D420" i="5"/>
  <c r="E420" i="5"/>
  <c r="F420" i="5"/>
  <c r="B422" i="5"/>
  <c r="D440" i="5"/>
  <c r="E440" i="5"/>
  <c r="F440" i="5"/>
  <c r="B442" i="5"/>
  <c r="B460" i="5"/>
  <c r="D460" i="5"/>
  <c r="E460" i="5"/>
  <c r="F460" i="5"/>
  <c r="B462" i="5"/>
  <c r="B468" i="5"/>
  <c r="B480" i="5" s="1"/>
  <c r="D480" i="5"/>
  <c r="E480" i="5"/>
  <c r="F480" i="5"/>
  <c r="B482" i="5"/>
  <c r="B500" i="5"/>
  <c r="D500" i="5"/>
  <c r="E500" i="5"/>
  <c r="F500" i="5"/>
  <c r="B502" i="5"/>
  <c r="B520" i="5"/>
  <c r="D520" i="5"/>
  <c r="E520" i="5"/>
  <c r="F520" i="5"/>
  <c r="Y50" i="1" l="1"/>
  <c r="U50" i="1"/>
  <c r="M50" i="1"/>
  <c r="N59" i="1"/>
  <c r="D51" i="4" l="1"/>
  <c r="D247" i="4"/>
  <c r="F366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H96" i="1" l="1"/>
  <c r="H93" i="1"/>
  <c r="H89" i="1"/>
  <c r="H92" i="1"/>
  <c r="H88" i="1"/>
  <c r="H85" i="1"/>
  <c r="H84" i="1"/>
  <c r="H81" i="1"/>
  <c r="H83" i="1"/>
  <c r="H87" i="1"/>
  <c r="H91" i="1"/>
  <c r="D55" i="3"/>
  <c r="D54" i="3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</calcChain>
</file>

<file path=xl/sharedStrings.xml><?xml version="1.0" encoding="utf-8"?>
<sst xmlns="http://schemas.openxmlformats.org/spreadsheetml/2006/main" count="4964" uniqueCount="390">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</sst>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5" fillId="0" borderId="30" xfId="1" applyNumberFormat="1" applyFont="1" applyBorder="1" applyAlignment="1">
      <alignment horizontal="center" vertical="center"/>
    </xf>
    <xf numFmtId="49" fontId="5" fillId="0" borderId="31" xfId="1" applyNumberFormat="1" applyFont="1" applyBorder="1" applyAlignment="1">
      <alignment horizontal="center" vertical="center"/>
    </xf>
    <xf numFmtId="49" fontId="5" fillId="0" borderId="32" xfId="1" applyNumberFormat="1" applyFont="1" applyBorder="1" applyAlignment="1">
      <alignment horizontal="center" vertical="center"/>
    </xf>
    <xf numFmtId="49" fontId="5" fillId="0" borderId="33" xfId="1" applyNumberFormat="1" applyFont="1" applyBorder="1" applyAlignment="1">
      <alignment horizontal="center" vertical="center"/>
    </xf>
    <xf numFmtId="49" fontId="5" fillId="0" borderId="34" xfId="1" applyNumberFormat="1" applyFont="1" applyBorder="1" applyAlignment="1">
      <alignment horizontal="center" vertical="center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16" zoomScaleNormal="100" workbookViewId="0">
      <pane xSplit="1" topLeftCell="K1" activePane="topRight" state="frozen"/>
      <selection pane="topRight" activeCell="O20" sqref="O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7" t="s">
        <v>0</v>
      </c>
      <c r="D4" s="248"/>
      <c r="E4" s="248"/>
      <c r="F4" s="249"/>
      <c r="G4" s="247" t="s">
        <v>1</v>
      </c>
      <c r="H4" s="248"/>
      <c r="I4" s="248"/>
      <c r="J4" s="249"/>
      <c r="K4" s="247" t="s">
        <v>2</v>
      </c>
      <c r="L4" s="248"/>
      <c r="M4" s="248"/>
      <c r="N4" s="249"/>
      <c r="O4" s="247" t="s">
        <v>3</v>
      </c>
      <c r="P4" s="248"/>
      <c r="Q4" s="248"/>
      <c r="R4" s="249"/>
      <c r="S4" s="247" t="s">
        <v>71</v>
      </c>
      <c r="T4" s="248"/>
      <c r="U4" s="248"/>
      <c r="V4" s="249"/>
      <c r="W4" s="247" t="s">
        <v>70</v>
      </c>
      <c r="X4" s="248"/>
      <c r="Y4" s="248"/>
      <c r="Z4" s="249"/>
      <c r="AA4" s="247" t="s">
        <v>72</v>
      </c>
      <c r="AB4" s="248"/>
      <c r="AC4" s="248"/>
      <c r="AD4" s="249"/>
      <c r="AE4" s="247" t="s">
        <v>73</v>
      </c>
      <c r="AF4" s="248"/>
      <c r="AG4" s="248"/>
      <c r="AH4" s="249"/>
      <c r="AI4" s="247" t="s">
        <v>75</v>
      </c>
      <c r="AJ4" s="248"/>
      <c r="AK4" s="248"/>
      <c r="AL4" s="249"/>
      <c r="AM4" s="247" t="s">
        <v>77</v>
      </c>
      <c r="AN4" s="248"/>
      <c r="AO4" s="248"/>
      <c r="AP4" s="249"/>
      <c r="AQ4" s="247" t="s">
        <v>79</v>
      </c>
      <c r="AR4" s="248"/>
      <c r="AS4" s="248"/>
      <c r="AT4" s="249"/>
      <c r="AU4" s="247" t="s">
        <v>84</v>
      </c>
      <c r="AV4" s="248"/>
      <c r="AW4" s="248"/>
      <c r="AX4" s="249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0">
        <f>'01'!K19</f>
        <v>26383.54</v>
      </c>
      <c r="D5" s="251"/>
      <c r="E5" s="251"/>
      <c r="F5" s="252"/>
      <c r="G5" s="250">
        <f>'02'!K19</f>
        <v>25229.379999999997</v>
      </c>
      <c r="H5" s="251"/>
      <c r="I5" s="251"/>
      <c r="J5" s="252"/>
      <c r="K5" s="257">
        <f>'03'!K19</f>
        <v>25574.760000000002</v>
      </c>
      <c r="L5" s="251"/>
      <c r="M5" s="251"/>
      <c r="N5" s="252"/>
      <c r="O5" s="257">
        <f>'04'!K19</f>
        <v>15183.390000000001</v>
      </c>
      <c r="P5" s="251"/>
      <c r="Q5" s="251"/>
      <c r="R5" s="252"/>
      <c r="S5" s="257">
        <f>'05'!K19</f>
        <v>15101.890000000001</v>
      </c>
      <c r="T5" s="251"/>
      <c r="U5" s="251"/>
      <c r="V5" s="252"/>
      <c r="W5" s="257">
        <f>'06'!K19</f>
        <v>15101.890000000001</v>
      </c>
      <c r="X5" s="251"/>
      <c r="Y5" s="251"/>
      <c r="Z5" s="252"/>
      <c r="AA5" s="257">
        <f>'07'!K19</f>
        <v>15101.890000000001</v>
      </c>
      <c r="AB5" s="251"/>
      <c r="AC5" s="251"/>
      <c r="AD5" s="252"/>
      <c r="AE5" s="257">
        <f>'08'!K19</f>
        <v>15101.890000000001</v>
      </c>
      <c r="AF5" s="251"/>
      <c r="AG5" s="251"/>
      <c r="AH5" s="252"/>
      <c r="AI5" s="257">
        <f>'09'!K19</f>
        <v>15101.890000000001</v>
      </c>
      <c r="AJ5" s="251"/>
      <c r="AK5" s="251"/>
      <c r="AL5" s="252"/>
      <c r="AM5" s="257">
        <f>'10'!K19</f>
        <v>15101.890000000001</v>
      </c>
      <c r="AN5" s="251"/>
      <c r="AO5" s="251"/>
      <c r="AP5" s="252"/>
      <c r="AQ5" s="257">
        <f>'11'!K19</f>
        <v>15101.890000000001</v>
      </c>
      <c r="AR5" s="251"/>
      <c r="AS5" s="251"/>
      <c r="AT5" s="252"/>
      <c r="AU5" s="257">
        <f>'12'!K19</f>
        <v>15101.890000000001</v>
      </c>
      <c r="AV5" s="251"/>
      <c r="AW5" s="251"/>
      <c r="AX5" s="252"/>
      <c r="AZ5" s="6"/>
      <c r="BA5" s="7"/>
      <c r="BB5" s="1"/>
      <c r="BC5" s="1"/>
    </row>
    <row r="6" spans="1:55" ht="17.25" thickTop="1" thickBot="1">
      <c r="A6" s="205"/>
      <c r="B6" s="8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3" t="s">
        <v>233</v>
      </c>
      <c r="D7" s="254"/>
      <c r="E7" s="254"/>
      <c r="F7" s="255"/>
      <c r="G7" s="253" t="s">
        <v>233</v>
      </c>
      <c r="H7" s="254"/>
      <c r="I7" s="254"/>
      <c r="J7" s="255"/>
      <c r="K7" s="253" t="s">
        <v>233</v>
      </c>
      <c r="L7" s="254"/>
      <c r="M7" s="254"/>
      <c r="N7" s="255"/>
      <c r="O7" s="253" t="s">
        <v>233</v>
      </c>
      <c r="P7" s="254"/>
      <c r="Q7" s="254"/>
      <c r="R7" s="255"/>
      <c r="S7" s="253" t="s">
        <v>233</v>
      </c>
      <c r="T7" s="254"/>
      <c r="U7" s="254"/>
      <c r="V7" s="255"/>
      <c r="W7" s="253" t="s">
        <v>233</v>
      </c>
      <c r="X7" s="254"/>
      <c r="Y7" s="254"/>
      <c r="Z7" s="255"/>
      <c r="AA7" s="253" t="s">
        <v>233</v>
      </c>
      <c r="AB7" s="254"/>
      <c r="AC7" s="254"/>
      <c r="AD7" s="255"/>
      <c r="AE7" s="253" t="s">
        <v>233</v>
      </c>
      <c r="AF7" s="254"/>
      <c r="AG7" s="254"/>
      <c r="AH7" s="255"/>
      <c r="AI7" s="253" t="s">
        <v>233</v>
      </c>
      <c r="AJ7" s="254"/>
      <c r="AK7" s="254"/>
      <c r="AL7" s="255"/>
      <c r="AM7" s="253" t="s">
        <v>233</v>
      </c>
      <c r="AN7" s="254"/>
      <c r="AO7" s="254"/>
      <c r="AP7" s="255"/>
      <c r="AQ7" s="253" t="s">
        <v>233</v>
      </c>
      <c r="AR7" s="254"/>
      <c r="AS7" s="254"/>
      <c r="AT7" s="255"/>
      <c r="AU7" s="253" t="s">
        <v>233</v>
      </c>
      <c r="AV7" s="254"/>
      <c r="AW7" s="254"/>
      <c r="AX7" s="255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5">
        <f>SUM('01'!L25:'01'!L29)</f>
        <v>2593.46</v>
      </c>
      <c r="D8" s="236"/>
      <c r="E8" s="236"/>
      <c r="F8" s="237"/>
      <c r="G8" s="235">
        <f>SUM('02'!L25:'02'!L29)</f>
        <v>2592.42</v>
      </c>
      <c r="H8" s="236"/>
      <c r="I8" s="236"/>
      <c r="J8" s="237"/>
      <c r="K8" s="235">
        <f>SUM('03'!L25:'03'!L29)</f>
        <v>0</v>
      </c>
      <c r="L8" s="236"/>
      <c r="M8" s="236"/>
      <c r="N8" s="237"/>
      <c r="O8" s="235">
        <f>SUM('04'!L25:'04'!L29)</f>
        <v>0</v>
      </c>
      <c r="P8" s="236"/>
      <c r="Q8" s="236"/>
      <c r="R8" s="237"/>
      <c r="S8" s="235">
        <f>SUM('05'!L25:'05'!L29)</f>
        <v>0</v>
      </c>
      <c r="T8" s="236"/>
      <c r="U8" s="236"/>
      <c r="V8" s="237"/>
      <c r="W8" s="235">
        <f>SUM('06'!L25:'06'!L29)</f>
        <v>0</v>
      </c>
      <c r="X8" s="236"/>
      <c r="Y8" s="236"/>
      <c r="Z8" s="237"/>
      <c r="AA8" s="235">
        <f>SUM('07'!L25:'07'!L29)</f>
        <v>0</v>
      </c>
      <c r="AB8" s="236"/>
      <c r="AC8" s="236"/>
      <c r="AD8" s="237"/>
      <c r="AE8" s="235">
        <f>SUM('08'!L25:'08'!L29)</f>
        <v>0</v>
      </c>
      <c r="AF8" s="236"/>
      <c r="AG8" s="236"/>
      <c r="AH8" s="237"/>
      <c r="AI8" s="235">
        <f>SUM('09'!L25:'09'!L29)</f>
        <v>0</v>
      </c>
      <c r="AJ8" s="236"/>
      <c r="AK8" s="236"/>
      <c r="AL8" s="237"/>
      <c r="AM8" s="235">
        <f>SUM('10'!L25:'10'!L29)</f>
        <v>0</v>
      </c>
      <c r="AN8" s="236"/>
      <c r="AO8" s="236"/>
      <c r="AP8" s="237"/>
      <c r="AQ8" s="235">
        <f>SUM('11'!L25:'11'!L29)</f>
        <v>0</v>
      </c>
      <c r="AR8" s="236"/>
      <c r="AS8" s="236"/>
      <c r="AT8" s="237"/>
      <c r="AU8" s="235">
        <f>SUM('12'!L25:'12'!L29)</f>
        <v>0</v>
      </c>
      <c r="AV8" s="236"/>
      <c r="AW8" s="236"/>
      <c r="AX8" s="237"/>
      <c r="AZ8" s="209">
        <f>SUM(C8:AU8)</f>
        <v>5185.88</v>
      </c>
      <c r="BA8" s="112">
        <f t="shared" ref="BA8:BA16" ca="1" si="0">AZ8/BC$17</f>
        <v>1728.6266666666668</v>
      </c>
      <c r="BB8" s="1"/>
      <c r="BC8" s="1"/>
    </row>
    <row r="9" spans="1:55" ht="15.75">
      <c r="A9" s="189" t="s">
        <v>216</v>
      </c>
      <c r="B9" s="193">
        <v>5835.74</v>
      </c>
      <c r="C9" s="238">
        <f>SUM('01'!L30:'01'!L34)</f>
        <v>655.59</v>
      </c>
      <c r="D9" s="239"/>
      <c r="E9" s="239"/>
      <c r="F9" s="240"/>
      <c r="G9" s="238">
        <f>SUM('02'!L30:'02'!L34)</f>
        <v>760.26</v>
      </c>
      <c r="H9" s="239"/>
      <c r="I9" s="239"/>
      <c r="J9" s="240"/>
      <c r="K9" s="238">
        <f>SUM('03'!L30:'03'!L34)</f>
        <v>516.44000000000005</v>
      </c>
      <c r="L9" s="239"/>
      <c r="M9" s="239"/>
      <c r="N9" s="240"/>
      <c r="O9" s="238">
        <f>SUM('04'!L30:'04'!L34)</f>
        <v>0</v>
      </c>
      <c r="P9" s="239"/>
      <c r="Q9" s="239"/>
      <c r="R9" s="240"/>
      <c r="S9" s="238">
        <f>SUM('05'!L30:'05'!L34)</f>
        <v>0</v>
      </c>
      <c r="T9" s="239"/>
      <c r="U9" s="239"/>
      <c r="V9" s="240"/>
      <c r="W9" s="238">
        <f>SUM('06'!L30:'06'!L34)</f>
        <v>0</v>
      </c>
      <c r="X9" s="239"/>
      <c r="Y9" s="239"/>
      <c r="Z9" s="240"/>
      <c r="AA9" s="238">
        <f>SUM('07'!L30:'07'!L34)</f>
        <v>0</v>
      </c>
      <c r="AB9" s="239"/>
      <c r="AC9" s="239"/>
      <c r="AD9" s="240"/>
      <c r="AE9" s="238">
        <f>SUM('08'!L30:'08'!L34)</f>
        <v>0</v>
      </c>
      <c r="AF9" s="239"/>
      <c r="AG9" s="239"/>
      <c r="AH9" s="240"/>
      <c r="AI9" s="238">
        <f>SUM('09'!L30:'09'!L34)</f>
        <v>0</v>
      </c>
      <c r="AJ9" s="239"/>
      <c r="AK9" s="239"/>
      <c r="AL9" s="240"/>
      <c r="AM9" s="238">
        <f>SUM('10'!L30:'10'!L34)</f>
        <v>0</v>
      </c>
      <c r="AN9" s="239"/>
      <c r="AO9" s="239"/>
      <c r="AP9" s="240"/>
      <c r="AQ9" s="238">
        <f>SUM('11'!L30:'11'!L34)</f>
        <v>0</v>
      </c>
      <c r="AR9" s="239"/>
      <c r="AS9" s="239"/>
      <c r="AT9" s="240"/>
      <c r="AU9" s="238">
        <f>SUM('12'!L30:'12'!L34)</f>
        <v>0</v>
      </c>
      <c r="AV9" s="239"/>
      <c r="AW9" s="239"/>
      <c r="AX9" s="240"/>
      <c r="AZ9" s="210">
        <f t="shared" ref="AZ9:AZ16" si="1">SUM(C9:AW9)</f>
        <v>1932.29</v>
      </c>
      <c r="BA9" s="112">
        <f t="shared" ca="1" si="0"/>
        <v>644.09666666666669</v>
      </c>
      <c r="BB9" s="1"/>
      <c r="BC9" s="1"/>
    </row>
    <row r="10" spans="1:55" ht="15.75">
      <c r="A10" s="190" t="s">
        <v>221</v>
      </c>
      <c r="B10" s="194">
        <v>2731.18</v>
      </c>
      <c r="C10" s="238">
        <f>SUM('01'!L35:'01'!L39)</f>
        <v>120.85</v>
      </c>
      <c r="D10" s="239"/>
      <c r="E10" s="239"/>
      <c r="F10" s="240"/>
      <c r="G10" s="238">
        <f>SUM('02'!L35:'02'!L39)</f>
        <v>107.38</v>
      </c>
      <c r="H10" s="239"/>
      <c r="I10" s="239"/>
      <c r="J10" s="240"/>
      <c r="K10" s="238">
        <f>SUM('03'!L35:'03'!L39)</f>
        <v>0</v>
      </c>
      <c r="L10" s="239"/>
      <c r="M10" s="239"/>
      <c r="N10" s="240"/>
      <c r="O10" s="238">
        <f>SUM('04'!L35:'04'!L39)</f>
        <v>0</v>
      </c>
      <c r="P10" s="239"/>
      <c r="Q10" s="239"/>
      <c r="R10" s="240"/>
      <c r="S10" s="238">
        <f>SUM('05'!L35:'05'!L39)</f>
        <v>0</v>
      </c>
      <c r="T10" s="239"/>
      <c r="U10" s="239"/>
      <c r="V10" s="240"/>
      <c r="W10" s="241">
        <f>SUM('06'!L35:'06'!L39)</f>
        <v>0</v>
      </c>
      <c r="X10" s="242"/>
      <c r="Y10" s="242"/>
      <c r="Z10" s="243"/>
      <c r="AA10" s="241">
        <f>SUM('07'!L35:'07'!L39)</f>
        <v>0</v>
      </c>
      <c r="AB10" s="242"/>
      <c r="AC10" s="242"/>
      <c r="AD10" s="243"/>
      <c r="AE10" s="241">
        <f>SUM('08'!L35:'08'!L39)</f>
        <v>0</v>
      </c>
      <c r="AF10" s="242"/>
      <c r="AG10" s="242"/>
      <c r="AH10" s="243"/>
      <c r="AI10" s="241">
        <f>SUM('09'!L35:'09'!L39)</f>
        <v>0</v>
      </c>
      <c r="AJ10" s="242"/>
      <c r="AK10" s="242"/>
      <c r="AL10" s="243"/>
      <c r="AM10" s="241">
        <f>SUM('10'!L35:'10'!L39)</f>
        <v>0</v>
      </c>
      <c r="AN10" s="242"/>
      <c r="AO10" s="242"/>
      <c r="AP10" s="243"/>
      <c r="AQ10" s="241">
        <f>SUM('11'!L35:'11'!L39)</f>
        <v>0</v>
      </c>
      <c r="AR10" s="242"/>
      <c r="AS10" s="242"/>
      <c r="AT10" s="243"/>
      <c r="AU10" s="241">
        <f>SUM('12'!L35:'12'!L39)</f>
        <v>0</v>
      </c>
      <c r="AV10" s="242"/>
      <c r="AW10" s="242"/>
      <c r="AX10" s="243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38">
        <f>SUM('01'!L40:'01'!L44)</f>
        <v>3.87</v>
      </c>
      <c r="D11" s="239"/>
      <c r="E11" s="239"/>
      <c r="F11" s="240"/>
      <c r="G11" s="238">
        <f>SUM('02'!L40:'02'!L44)</f>
        <v>0</v>
      </c>
      <c r="H11" s="239"/>
      <c r="I11" s="239"/>
      <c r="J11" s="240"/>
      <c r="K11" s="238">
        <f>SUM('03'!L40:'03'!L44)</f>
        <v>0</v>
      </c>
      <c r="L11" s="239"/>
      <c r="M11" s="239"/>
      <c r="N11" s="240"/>
      <c r="O11" s="238">
        <f>SUM('04'!L40:'04'!L44)</f>
        <v>0</v>
      </c>
      <c r="P11" s="239"/>
      <c r="Q11" s="239"/>
      <c r="R11" s="240"/>
      <c r="S11" s="238">
        <f>SUM('05'!L40:'05'!L44)</f>
        <v>0</v>
      </c>
      <c r="T11" s="239"/>
      <c r="U11" s="239"/>
      <c r="V11" s="240"/>
      <c r="W11" s="238">
        <f>SUM('06'!L40:'06'!L44)</f>
        <v>0</v>
      </c>
      <c r="X11" s="239"/>
      <c r="Y11" s="239"/>
      <c r="Z11" s="240"/>
      <c r="AA11" s="238">
        <f>SUM('07'!L40:'07'!L44)</f>
        <v>0</v>
      </c>
      <c r="AB11" s="239"/>
      <c r="AC11" s="239"/>
      <c r="AD11" s="240"/>
      <c r="AE11" s="238">
        <f>SUM('08'!L40:'08'!L44)</f>
        <v>0</v>
      </c>
      <c r="AF11" s="239"/>
      <c r="AG11" s="239"/>
      <c r="AH11" s="240"/>
      <c r="AI11" s="238">
        <f>SUM('09'!L40:'09'!L44)</f>
        <v>0</v>
      </c>
      <c r="AJ11" s="239"/>
      <c r="AK11" s="239"/>
      <c r="AL11" s="240"/>
      <c r="AM11" s="238">
        <f>SUM('10'!L40:'10'!L44)</f>
        <v>0</v>
      </c>
      <c r="AN11" s="239"/>
      <c r="AO11" s="239"/>
      <c r="AP11" s="240"/>
      <c r="AQ11" s="238">
        <f>SUM('11'!L40:'11'!L44)</f>
        <v>0</v>
      </c>
      <c r="AR11" s="239"/>
      <c r="AS11" s="239"/>
      <c r="AT11" s="240"/>
      <c r="AU11" s="238">
        <f>SUM('12'!L40:'12'!L44)</f>
        <v>0</v>
      </c>
      <c r="AV11" s="239"/>
      <c r="AW11" s="239"/>
      <c r="AX11" s="240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38">
        <f>SUM('01'!L45:'01'!L49)</f>
        <v>137</v>
      </c>
      <c r="D12" s="239"/>
      <c r="E12" s="239"/>
      <c r="F12" s="240"/>
      <c r="G12" s="238">
        <f>SUM('02'!L45:'02'!L49)</f>
        <v>600.04</v>
      </c>
      <c r="H12" s="239"/>
      <c r="I12" s="239"/>
      <c r="J12" s="240"/>
      <c r="K12" s="238">
        <f>SUM('03'!L45:'03'!L49)</f>
        <v>100</v>
      </c>
      <c r="L12" s="239"/>
      <c r="M12" s="239"/>
      <c r="N12" s="240"/>
      <c r="O12" s="238">
        <f>SUM('04'!L45:'04'!L49)</f>
        <v>0</v>
      </c>
      <c r="P12" s="239"/>
      <c r="Q12" s="239"/>
      <c r="R12" s="240"/>
      <c r="S12" s="238">
        <f>SUM('05'!L45:'05'!L49)</f>
        <v>0</v>
      </c>
      <c r="T12" s="239"/>
      <c r="U12" s="239"/>
      <c r="V12" s="240"/>
      <c r="W12" s="241">
        <f>SUM('06'!L45:'06'!L49)</f>
        <v>0</v>
      </c>
      <c r="X12" s="242"/>
      <c r="Y12" s="242"/>
      <c r="Z12" s="243"/>
      <c r="AA12" s="241">
        <f>SUM('07'!L45:'07'!L49)</f>
        <v>0</v>
      </c>
      <c r="AB12" s="242"/>
      <c r="AC12" s="242"/>
      <c r="AD12" s="243"/>
      <c r="AE12" s="241">
        <f>SUM('08'!L45:'08'!L49)</f>
        <v>0</v>
      </c>
      <c r="AF12" s="242"/>
      <c r="AG12" s="242"/>
      <c r="AH12" s="243"/>
      <c r="AI12" s="241">
        <f>SUM('09'!L45:'09'!L49)</f>
        <v>0</v>
      </c>
      <c r="AJ12" s="242"/>
      <c r="AK12" s="242"/>
      <c r="AL12" s="243"/>
      <c r="AM12" s="241">
        <f>SUM('10'!L45:'10'!L49)</f>
        <v>0</v>
      </c>
      <c r="AN12" s="242"/>
      <c r="AO12" s="242"/>
      <c r="AP12" s="243"/>
      <c r="AQ12" s="241">
        <f>SUM('11'!L45:'11'!L49)</f>
        <v>0</v>
      </c>
      <c r="AR12" s="242"/>
      <c r="AS12" s="242"/>
      <c r="AT12" s="243"/>
      <c r="AU12" s="241">
        <f>SUM('12'!L45:'12'!L49)</f>
        <v>0</v>
      </c>
      <c r="AV12" s="242"/>
      <c r="AW12" s="242"/>
      <c r="AX12" s="243"/>
      <c r="AZ12" s="211">
        <f t="shared" si="1"/>
        <v>837.04</v>
      </c>
      <c r="BA12" s="112">
        <f t="shared" ca="1" si="0"/>
        <v>279.01333333333332</v>
      </c>
      <c r="BB12" s="1"/>
      <c r="BC12" s="1"/>
    </row>
    <row r="13" spans="1:55" ht="15.75">
      <c r="A13" s="189" t="s">
        <v>218</v>
      </c>
      <c r="B13" s="195">
        <v>3443.8099999999995</v>
      </c>
      <c r="C13" s="238">
        <f>SUM('01'!L50:'01'!L54)</f>
        <v>95.8</v>
      </c>
      <c r="D13" s="239"/>
      <c r="E13" s="239"/>
      <c r="F13" s="240"/>
      <c r="G13" s="238">
        <f>SUM('02'!L50:'02'!L54)</f>
        <v>95.8</v>
      </c>
      <c r="H13" s="239"/>
      <c r="I13" s="239"/>
      <c r="J13" s="240"/>
      <c r="K13" s="238">
        <f>SUM('03'!L50:'03'!L54)</f>
        <v>95.8</v>
      </c>
      <c r="L13" s="239"/>
      <c r="M13" s="239"/>
      <c r="N13" s="240"/>
      <c r="O13" s="238">
        <f>SUM('04'!L50:'04'!L54)</f>
        <v>0</v>
      </c>
      <c r="P13" s="239"/>
      <c r="Q13" s="239"/>
      <c r="R13" s="240"/>
      <c r="S13" s="238">
        <f>SUM('05'!L50:'05'!L54)</f>
        <v>0</v>
      </c>
      <c r="T13" s="239"/>
      <c r="U13" s="239"/>
      <c r="V13" s="240"/>
      <c r="W13" s="238">
        <f>SUM('06'!L50:'06'!L54)</f>
        <v>0</v>
      </c>
      <c r="X13" s="239"/>
      <c r="Y13" s="239"/>
      <c r="Z13" s="240"/>
      <c r="AA13" s="238">
        <f>SUM('07'!L50:'07'!L54)</f>
        <v>0</v>
      </c>
      <c r="AB13" s="239"/>
      <c r="AC13" s="239"/>
      <c r="AD13" s="240"/>
      <c r="AE13" s="238">
        <f>SUM('08'!L50:'08'!L54)</f>
        <v>0</v>
      </c>
      <c r="AF13" s="239"/>
      <c r="AG13" s="239"/>
      <c r="AH13" s="240"/>
      <c r="AI13" s="238">
        <f>SUM('09'!L50:'09'!L54)</f>
        <v>0</v>
      </c>
      <c r="AJ13" s="239"/>
      <c r="AK13" s="239"/>
      <c r="AL13" s="240"/>
      <c r="AM13" s="238">
        <f>SUM('10'!L50:'10'!L54)</f>
        <v>0</v>
      </c>
      <c r="AN13" s="239"/>
      <c r="AO13" s="239"/>
      <c r="AP13" s="240"/>
      <c r="AQ13" s="238">
        <f>SUM('11'!L50:'11'!L54)</f>
        <v>0</v>
      </c>
      <c r="AR13" s="239"/>
      <c r="AS13" s="239"/>
      <c r="AT13" s="240"/>
      <c r="AU13" s="238">
        <f>SUM('12'!L50:'12'!L54)</f>
        <v>0</v>
      </c>
      <c r="AV13" s="239"/>
      <c r="AW13" s="239"/>
      <c r="AX13" s="240"/>
      <c r="AZ13" s="212">
        <f t="shared" si="1"/>
        <v>287.39999999999998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38">
        <f>SUM('01'!L55:'01'!L59)</f>
        <v>0</v>
      </c>
      <c r="D14" s="239"/>
      <c r="E14" s="239"/>
      <c r="F14" s="240"/>
      <c r="G14" s="238">
        <f>SUM('02'!L55:'02'!L59)</f>
        <v>0</v>
      </c>
      <c r="H14" s="239"/>
      <c r="I14" s="239"/>
      <c r="J14" s="240"/>
      <c r="K14" s="238">
        <f>SUM('03'!L55:'03'!L59)</f>
        <v>0</v>
      </c>
      <c r="L14" s="239"/>
      <c r="M14" s="239"/>
      <c r="N14" s="240"/>
      <c r="O14" s="238">
        <f>SUM('04'!L55:'04'!L59)</f>
        <v>0</v>
      </c>
      <c r="P14" s="239"/>
      <c r="Q14" s="239"/>
      <c r="R14" s="240"/>
      <c r="S14" s="238">
        <f>SUM('05'!L55:'05'!L59)</f>
        <v>0</v>
      </c>
      <c r="T14" s="239"/>
      <c r="U14" s="239"/>
      <c r="V14" s="240"/>
      <c r="W14" s="241">
        <f>SUM('06'!L55:'06'!L59)</f>
        <v>0</v>
      </c>
      <c r="X14" s="242"/>
      <c r="Y14" s="242"/>
      <c r="Z14" s="243"/>
      <c r="AA14" s="241">
        <f>SUM('07'!L55:'07'!L59)</f>
        <v>0</v>
      </c>
      <c r="AB14" s="242"/>
      <c r="AC14" s="242"/>
      <c r="AD14" s="243"/>
      <c r="AE14" s="241">
        <f>SUM('08'!L55:'08'!L59)</f>
        <v>0</v>
      </c>
      <c r="AF14" s="242"/>
      <c r="AG14" s="242"/>
      <c r="AH14" s="243"/>
      <c r="AI14" s="241">
        <f>SUM('09'!L55:'09'!L59)</f>
        <v>0</v>
      </c>
      <c r="AJ14" s="242"/>
      <c r="AK14" s="242"/>
      <c r="AL14" s="243"/>
      <c r="AM14" s="241">
        <f>SUM('10'!L55:'10'!L59)</f>
        <v>0</v>
      </c>
      <c r="AN14" s="242"/>
      <c r="AO14" s="242"/>
      <c r="AP14" s="243"/>
      <c r="AQ14" s="241">
        <f>SUM('11'!L55:'11'!L59)</f>
        <v>0</v>
      </c>
      <c r="AR14" s="242"/>
      <c r="AS14" s="242"/>
      <c r="AT14" s="243"/>
      <c r="AU14" s="241">
        <f>SUM('12'!L55:'12'!L59)</f>
        <v>0</v>
      </c>
      <c r="AV14" s="242"/>
      <c r="AW14" s="242"/>
      <c r="AX14" s="24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38">
        <f>SUM('01'!L60:'01'!L64)</f>
        <v>0</v>
      </c>
      <c r="D15" s="239"/>
      <c r="E15" s="239"/>
      <c r="F15" s="240"/>
      <c r="G15" s="238">
        <f>SUM('02'!L60:'02'!L64)</f>
        <v>665.77</v>
      </c>
      <c r="H15" s="239"/>
      <c r="I15" s="239"/>
      <c r="J15" s="240"/>
      <c r="K15" s="238">
        <f>SUM('03'!L60:'03'!L64)</f>
        <v>682.39</v>
      </c>
      <c r="L15" s="239"/>
      <c r="M15" s="239"/>
      <c r="N15" s="240"/>
      <c r="O15" s="238">
        <f>SUM('04'!L60:'04'!L64)</f>
        <v>0</v>
      </c>
      <c r="P15" s="239"/>
      <c r="Q15" s="239"/>
      <c r="R15" s="240"/>
      <c r="S15" s="238">
        <f>SUM('05'!L60:'05'!L64)</f>
        <v>0</v>
      </c>
      <c r="T15" s="239"/>
      <c r="U15" s="239"/>
      <c r="V15" s="240"/>
      <c r="W15" s="238">
        <f>SUM('06'!L60:'06'!L64)</f>
        <v>0</v>
      </c>
      <c r="X15" s="239"/>
      <c r="Y15" s="239"/>
      <c r="Z15" s="240"/>
      <c r="AA15" s="238">
        <f>SUM('07'!L60:'07'!L64)</f>
        <v>0</v>
      </c>
      <c r="AB15" s="239"/>
      <c r="AC15" s="239"/>
      <c r="AD15" s="240"/>
      <c r="AE15" s="238">
        <f>SUM('08'!L60:'08'!L64)</f>
        <v>0</v>
      </c>
      <c r="AF15" s="239"/>
      <c r="AG15" s="239"/>
      <c r="AH15" s="240"/>
      <c r="AI15" s="238">
        <f>SUM('09'!L60:'09'!L64)</f>
        <v>0</v>
      </c>
      <c r="AJ15" s="239"/>
      <c r="AK15" s="239"/>
      <c r="AL15" s="240"/>
      <c r="AM15" s="238">
        <f>SUM('10'!L60:'10'!L64)</f>
        <v>0</v>
      </c>
      <c r="AN15" s="239"/>
      <c r="AO15" s="239"/>
      <c r="AP15" s="240"/>
      <c r="AQ15" s="238">
        <f>SUM('11'!L60:'11'!L64)</f>
        <v>0</v>
      </c>
      <c r="AR15" s="239"/>
      <c r="AS15" s="239"/>
      <c r="AT15" s="240"/>
      <c r="AU15" s="238">
        <f>SUM('12'!L60:'12'!L64)</f>
        <v>0</v>
      </c>
      <c r="AV15" s="239"/>
      <c r="AW15" s="239"/>
      <c r="AX15" s="240"/>
      <c r="AZ15" s="210">
        <f t="shared" si="1"/>
        <v>1348.1599999999999</v>
      </c>
      <c r="BA15" s="112">
        <f t="shared" ca="1" si="0"/>
        <v>449.3866666666666</v>
      </c>
      <c r="BB15" s="1"/>
      <c r="BC15" s="1"/>
    </row>
    <row r="16" spans="1:55" ht="16.5" thickBot="1">
      <c r="A16" s="191" t="s">
        <v>42</v>
      </c>
      <c r="B16" s="196">
        <v>2018.96</v>
      </c>
      <c r="C16" s="238">
        <f>SUM('01'!L65:'01'!L69)</f>
        <v>85</v>
      </c>
      <c r="D16" s="239"/>
      <c r="E16" s="239"/>
      <c r="F16" s="240"/>
      <c r="G16" s="238">
        <f>SUM('02'!L65:'02'!L69)</f>
        <v>0</v>
      </c>
      <c r="H16" s="239"/>
      <c r="I16" s="239"/>
      <c r="J16" s="240"/>
      <c r="K16" s="238">
        <f>SUM('03'!L65:'03'!L69)</f>
        <v>0</v>
      </c>
      <c r="L16" s="239"/>
      <c r="M16" s="239"/>
      <c r="N16" s="240"/>
      <c r="O16" s="238">
        <f>SUM('04'!L65:'04'!L69)</f>
        <v>0</v>
      </c>
      <c r="P16" s="239"/>
      <c r="Q16" s="239"/>
      <c r="R16" s="240"/>
      <c r="S16" s="238">
        <f>SUM('05'!L65:'05'!L69)</f>
        <v>0</v>
      </c>
      <c r="T16" s="239"/>
      <c r="U16" s="239"/>
      <c r="V16" s="240"/>
      <c r="W16" s="244">
        <f>SUM('06'!L65:'06'!L69)</f>
        <v>0</v>
      </c>
      <c r="X16" s="245"/>
      <c r="Y16" s="245"/>
      <c r="Z16" s="246"/>
      <c r="AA16" s="244">
        <f>SUM('07'!L65:'07'!L69)</f>
        <v>0</v>
      </c>
      <c r="AB16" s="245"/>
      <c r="AC16" s="245"/>
      <c r="AD16" s="246"/>
      <c r="AE16" s="244">
        <f>SUM('08'!L65:'08'!L69)</f>
        <v>0</v>
      </c>
      <c r="AF16" s="245"/>
      <c r="AG16" s="245"/>
      <c r="AH16" s="246"/>
      <c r="AI16" s="244">
        <f>SUM('09'!L65:'09'!L69)</f>
        <v>0</v>
      </c>
      <c r="AJ16" s="245"/>
      <c r="AK16" s="245"/>
      <c r="AL16" s="246"/>
      <c r="AM16" s="244">
        <f>SUM('10'!L65:'10'!L69)</f>
        <v>0</v>
      </c>
      <c r="AN16" s="245"/>
      <c r="AO16" s="245"/>
      <c r="AP16" s="246"/>
      <c r="AQ16" s="244">
        <f>SUM('11'!L65:'11'!L69)</f>
        <v>0</v>
      </c>
      <c r="AR16" s="245"/>
      <c r="AS16" s="245"/>
      <c r="AT16" s="246"/>
      <c r="AU16" s="244">
        <f>SUM('12'!L65:'12'!L69)</f>
        <v>0</v>
      </c>
      <c r="AV16" s="245"/>
      <c r="AW16" s="245"/>
      <c r="AX16" s="246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58">
        <f>SUM(C8:C16)</f>
        <v>3691.57</v>
      </c>
      <c r="D17" s="259"/>
      <c r="E17" s="259"/>
      <c r="F17" s="260"/>
      <c r="G17" s="258">
        <f>SUM(G8:G16)</f>
        <v>4821.67</v>
      </c>
      <c r="H17" s="259"/>
      <c r="I17" s="259"/>
      <c r="J17" s="260"/>
      <c r="K17" s="258">
        <f>SUM(K8:K16)</f>
        <v>1394.63</v>
      </c>
      <c r="L17" s="259"/>
      <c r="M17" s="259"/>
      <c r="N17" s="260"/>
      <c r="O17" s="258">
        <f>SUM(O8:O16)</f>
        <v>0</v>
      </c>
      <c r="P17" s="259"/>
      <c r="Q17" s="259"/>
      <c r="R17" s="260"/>
      <c r="S17" s="258">
        <f>SUM(S8:S16)</f>
        <v>0</v>
      </c>
      <c r="T17" s="259"/>
      <c r="U17" s="259"/>
      <c r="V17" s="260"/>
      <c r="W17" s="258">
        <f>SUM(W8:W16)</f>
        <v>0</v>
      </c>
      <c r="X17" s="259"/>
      <c r="Y17" s="259"/>
      <c r="Z17" s="260"/>
      <c r="AA17" s="258">
        <f>SUM(AA8:AA16)</f>
        <v>0</v>
      </c>
      <c r="AB17" s="259"/>
      <c r="AC17" s="259"/>
      <c r="AD17" s="260"/>
      <c r="AE17" s="258">
        <f>SUM(AE8:AE16)</f>
        <v>0</v>
      </c>
      <c r="AF17" s="259"/>
      <c r="AG17" s="259"/>
      <c r="AH17" s="260"/>
      <c r="AI17" s="258">
        <f>SUM(AI8:AI16)</f>
        <v>0</v>
      </c>
      <c r="AJ17" s="259"/>
      <c r="AK17" s="259"/>
      <c r="AL17" s="260"/>
      <c r="AM17" s="258">
        <f>SUM(AM8:AM16)</f>
        <v>0</v>
      </c>
      <c r="AN17" s="259"/>
      <c r="AO17" s="259"/>
      <c r="AP17" s="260"/>
      <c r="AQ17" s="258">
        <f>SUM(AQ8:AQ16)</f>
        <v>0</v>
      </c>
      <c r="AR17" s="259"/>
      <c r="AS17" s="259"/>
      <c r="AT17" s="260"/>
      <c r="AU17" s="258">
        <f>SUM(AU8:AU16)</f>
        <v>0</v>
      </c>
      <c r="AV17" s="259"/>
      <c r="AW17" s="259"/>
      <c r="AX17" s="260"/>
      <c r="AZ17" s="227">
        <f>SUM(AZ8:AZ16)</f>
        <v>9907.869999999999</v>
      </c>
      <c r="BA17" s="112">
        <f ca="1">AZ17/BC$17</f>
        <v>3302.623333333333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 t="s">
        <v>176</v>
      </c>
      <c r="AV18" s="261"/>
      <c r="AW18" s="261"/>
      <c r="AX18" s="261"/>
      <c r="AZ18" s="131">
        <f>(2500*13)+(600*12)+(550*12)+(95*12)</f>
        <v>47440</v>
      </c>
      <c r="BA18" s="131">
        <f ca="1">12*BA17</f>
        <v>39631.479999999996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129.51999999999998</v>
      </c>
      <c r="N20" s="145">
        <f t="shared" ref="N20:N45" si="4">J20+L20-M20</f>
        <v>1173.4399999999996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1717.4399999999996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2261.4399999999996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2805.4399999999996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3349.4399999999996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3893.4399999999996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4437.4399999999996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4981.4399999999996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5525.44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6069.44</v>
      </c>
      <c r="AZ20" s="123">
        <f t="shared" ref="AZ20:AZ27" si="14">E20+I20+M20+Q20+U20+Y20+AC20+AG20+AK20+AO20+AS20+AW20</f>
        <v>988.07999999999993</v>
      </c>
      <c r="BA20" s="21">
        <f t="shared" ref="BA20:BA45" si="15">AZ20/AZ$46</f>
        <v>6.6630926249987371E-2</v>
      </c>
      <c r="BB20" s="22">
        <f>_xlfn.RANK.EQ(BA20,$BA$20:$BA$45,)</f>
        <v>5</v>
      </c>
      <c r="BC20" s="22">
        <f t="shared" ref="BC20:BC45" ca="1" si="16">AZ20/BC$17</f>
        <v>329.35999999999996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0.17286662017164128</v>
      </c>
      <c r="BG20" s="22">
        <f ca="1">_xlfn.RANK.EQ(BF20,$BF$20:$BF$45,)</f>
        <v>2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724.66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917.95</v>
      </c>
      <c r="N21" s="151">
        <f t="shared" si="4"/>
        <v>949.00999999999954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2077.0099999999993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3205.0099999999993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4333.0099999999993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5461.0099999999993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6589.0099999999993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7717.0099999999993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8845.0099999999984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9973.0099999999984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11101.009999999998</v>
      </c>
      <c r="AZ21" s="152">
        <f t="shared" si="14"/>
        <v>3172.8500000000004</v>
      </c>
      <c r="BA21" s="21">
        <f t="shared" si="15"/>
        <v>0.21396034162443575</v>
      </c>
      <c r="BB21" s="22">
        <f t="shared" ref="BB21:BB45" si="20">_xlfn.RANK.EQ(BA21,$BA$20:$BA$45,)</f>
        <v>2</v>
      </c>
      <c r="BC21" s="22">
        <f t="shared" ca="1" si="16"/>
        <v>1057.6166666666668</v>
      </c>
      <c r="BE21" s="224">
        <f t="shared" ca="1" si="17"/>
        <v>3469</v>
      </c>
      <c r="BF21" s="21">
        <f t="shared" ca="1" si="18"/>
        <v>0.35012570814917837</v>
      </c>
      <c r="BG21" s="22">
        <f t="shared" ref="BG21:BG45" ca="1" si="21">_xlfn.RANK.EQ(BF21,$BF$20:$BF$45,)</f>
        <v>1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296.14999999999986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269.10000000000002</v>
      </c>
      <c r="N22" s="156">
        <f t="shared" si="4"/>
        <v>432.35000000000014</v>
      </c>
      <c r="O22" s="143" t="s">
        <v>3</v>
      </c>
      <c r="P22" s="155">
        <f>'04'!B60</f>
        <v>440</v>
      </c>
      <c r="Q22" s="155">
        <f>SUM('04'!D60:F60)</f>
        <v>0</v>
      </c>
      <c r="R22" s="156">
        <f t="shared" si="5"/>
        <v>872.35000000000014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1362.3500000000001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1852.3500000000001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2342.3500000000004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2832.3500000000004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3322.3500000000004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3812.3500000000004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4302.3500000000004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4792.3500000000004</v>
      </c>
      <c r="AZ22" s="157">
        <f t="shared" si="14"/>
        <v>1173.72</v>
      </c>
      <c r="BA22" s="21">
        <f t="shared" si="15"/>
        <v>7.9149512952529338E-2</v>
      </c>
      <c r="BB22" s="22">
        <f t="shared" si="20"/>
        <v>3</v>
      </c>
      <c r="BC22" s="22">
        <f t="shared" ca="1" si="16"/>
        <v>391.24</v>
      </c>
      <c r="BE22" s="225">
        <f t="shared" ca="1" si="17"/>
        <v>1360</v>
      </c>
      <c r="BF22" s="21">
        <f t="shared" ca="1" si="18"/>
        <v>0.13726461893424116</v>
      </c>
      <c r="BG22" s="22">
        <f t="shared" ca="1" si="21"/>
        <v>3</v>
      </c>
      <c r="BH22" s="22">
        <f t="shared" ca="1" si="19"/>
        <v>453.33333333333331</v>
      </c>
      <c r="BJ22" s="225">
        <f t="shared" ca="1" si="22"/>
        <v>186.27999999999997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173</v>
      </c>
      <c r="N23" s="151">
        <f t="shared" si="4"/>
        <v>46.700000000000045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216.70000000000005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366.70000000000005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516.70000000000005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666.7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816.7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966.7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1116.7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1266.7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1416.7</v>
      </c>
      <c r="AZ23" s="152">
        <f t="shared" si="14"/>
        <v>515.42999999999995</v>
      </c>
      <c r="BA23" s="21">
        <f t="shared" si="15"/>
        <v>3.4757892394371902E-2</v>
      </c>
      <c r="BB23" s="22">
        <f t="shared" si="20"/>
        <v>7</v>
      </c>
      <c r="BC23" s="22">
        <f t="shared" ca="1" si="16"/>
        <v>171.80999999999997</v>
      </c>
      <c r="BE23" s="224">
        <f t="shared" ca="1" si="17"/>
        <v>520</v>
      </c>
      <c r="BF23" s="21">
        <f t="shared" ca="1" si="18"/>
        <v>5.2483530768974558E-2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4.5700000000000216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49.03</v>
      </c>
      <c r="N24" s="156">
        <f t="shared" si="4"/>
        <v>138.79999999999998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298.79999999999995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458.79999999999995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618.79999999999995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778.8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938.8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1098.8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1258.8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1418.8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1578.8</v>
      </c>
      <c r="AZ24" s="157">
        <f t="shared" si="14"/>
        <v>341.20000000000005</v>
      </c>
      <c r="BA24" s="21">
        <f t="shared" si="15"/>
        <v>2.3008736171661905E-2</v>
      </c>
      <c r="BB24" s="22">
        <f t="shared" si="20"/>
        <v>10</v>
      </c>
      <c r="BC24" s="22">
        <f t="shared" ca="1" si="16"/>
        <v>113.73333333333335</v>
      </c>
      <c r="BE24" s="225">
        <f t="shared" ca="1" si="17"/>
        <v>480</v>
      </c>
      <c r="BF24" s="21">
        <f t="shared" ca="1" si="18"/>
        <v>4.8446336094438054E-2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138.79999999999998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415</v>
      </c>
      <c r="M25" s="150">
        <f>SUM('03'!D120:F120)</f>
        <v>327.38</v>
      </c>
      <c r="N25" s="151">
        <f t="shared" si="4"/>
        <v>3405.409999999998</v>
      </c>
      <c r="O25" s="148" t="s">
        <v>3</v>
      </c>
      <c r="P25" s="149">
        <f>'04'!B120</f>
        <v>415</v>
      </c>
      <c r="Q25" s="150">
        <f>SUM('04'!D120:F120)</f>
        <v>0</v>
      </c>
      <c r="R25" s="151">
        <f t="shared" si="5"/>
        <v>3820.409999999998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4225.409999999998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4630.409999999998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5035.409999999998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5440.409999999998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5845.409999999998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6250.409999999998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6655.409999999998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7060.409999999998</v>
      </c>
      <c r="AZ25" s="152">
        <f t="shared" si="14"/>
        <v>982.14</v>
      </c>
      <c r="BA25" s="21">
        <f t="shared" si="15"/>
        <v>6.6230363844185292E-2</v>
      </c>
      <c r="BB25" s="22">
        <f t="shared" si="20"/>
        <v>6</v>
      </c>
      <c r="BC25" s="22">
        <f t="shared" ca="1" si="16"/>
        <v>327.38</v>
      </c>
      <c r="BE25" s="224">
        <f t="shared" ca="1" si="17"/>
        <v>1225</v>
      </c>
      <c r="BF25" s="21">
        <f t="shared" ca="1" si="18"/>
        <v>0.12363908690768045</v>
      </c>
      <c r="BG25" s="22">
        <f t="shared" ca="1" si="21"/>
        <v>4</v>
      </c>
      <c r="BH25" s="22">
        <f t="shared" ca="1" si="19"/>
        <v>408.33333333333331</v>
      </c>
      <c r="BJ25" s="224">
        <f t="shared" ca="1" si="22"/>
        <v>242.85999999999967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8</v>
      </c>
      <c r="N26" s="156">
        <f t="shared" si="4"/>
        <v>40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88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136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184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232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280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328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376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424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472</v>
      </c>
      <c r="AZ26" s="157">
        <f t="shared" si="14"/>
        <v>123.99000000000001</v>
      </c>
      <c r="BA26" s="21">
        <f t="shared" si="15"/>
        <v>8.361234460505157E-3</v>
      </c>
      <c r="BB26" s="22">
        <f t="shared" si="20"/>
        <v>16</v>
      </c>
      <c r="BC26" s="22">
        <f t="shared" ca="1" si="16"/>
        <v>41.330000000000005</v>
      </c>
      <c r="BE26" s="225">
        <f t="shared" ca="1" si="17"/>
        <v>144.44999999999999</v>
      </c>
      <c r="BF26" s="21">
        <f t="shared" ca="1" si="18"/>
        <v>1.4579319268419952E-2</v>
      </c>
      <c r="BG26" s="22">
        <f t="shared" ca="1" si="21"/>
        <v>18</v>
      </c>
      <c r="BH26" s="22">
        <f t="shared" ca="1" si="19"/>
        <v>48.15</v>
      </c>
      <c r="BJ26" s="225">
        <f t="shared" ca="1" si="22"/>
        <v>20.460000000000051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73.66</v>
      </c>
      <c r="N27" s="187">
        <f t="shared" si="4"/>
        <v>303.15000000000009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353.15000000000009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403.15000000000009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453.15000000000009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503.15000000000009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553.15000000000009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603.15000000000009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653.15000000000009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703.15000000000009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753.15000000000009</v>
      </c>
      <c r="AZ27" s="188">
        <f t="shared" si="14"/>
        <v>150.80000000000001</v>
      </c>
      <c r="BA27" s="21">
        <f t="shared" si="15"/>
        <v>1.0169160066490665E-2</v>
      </c>
      <c r="BB27" s="22">
        <f t="shared" si="20"/>
        <v>15</v>
      </c>
      <c r="BC27" s="22">
        <f t="shared" ca="1" si="16"/>
        <v>50.266666666666673</v>
      </c>
      <c r="BE27" s="224">
        <f t="shared" ca="1" si="17"/>
        <v>150</v>
      </c>
      <c r="BF27" s="21">
        <f t="shared" ca="1" si="18"/>
        <v>1.5139480029511891E-2</v>
      </c>
      <c r="BG27" s="22">
        <f t="shared" ca="1" si="21"/>
        <v>16</v>
      </c>
      <c r="BH27" s="22">
        <f t="shared" ca="1" si="19"/>
        <v>50</v>
      </c>
      <c r="BJ27" s="224">
        <f t="shared" ca="1" si="22"/>
        <v>-0.79999999999995453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7.1612331118101849E-2</v>
      </c>
      <c r="BB28" s="22">
        <f t="shared" si="20"/>
        <v>4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0.12111987743076967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4.0737331539569032E-3</v>
      </c>
      <c r="BB29" s="22">
        <f t="shared" si="20"/>
        <v>18</v>
      </c>
      <c r="BC29" s="22">
        <f t="shared" ca="1" si="16"/>
        <v>20.136666666666667</v>
      </c>
      <c r="BE29" s="224">
        <f t="shared" ca="1" si="17"/>
        <v>210</v>
      </c>
      <c r="BF29" s="21">
        <f t="shared" ca="1" si="18"/>
        <v>2.1195272041316649E-2</v>
      </c>
      <c r="BG29" s="22">
        <f t="shared" ca="1" si="21"/>
        <v>13</v>
      </c>
      <c r="BH29" s="22">
        <f t="shared" ca="1" si="19"/>
        <v>70</v>
      </c>
      <c r="BJ29" s="224">
        <f t="shared" ca="1" si="22"/>
        <v>149.59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10.43</v>
      </c>
      <c r="N30" s="161">
        <f t="shared" si="4"/>
        <v>25.679999999999971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60.679999999999971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95.679999999999978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130.67999999999998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165.67999999999998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200.67999999999998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235.67999999999998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270.67999999999995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305.67999999999995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340.67999999999995</v>
      </c>
      <c r="AZ30" s="157">
        <f t="shared" si="23"/>
        <v>52.49</v>
      </c>
      <c r="BA30" s="21">
        <f t="shared" si="15"/>
        <v>3.5396499462207894E-3</v>
      </c>
      <c r="BB30" s="22">
        <f t="shared" si="20"/>
        <v>19</v>
      </c>
      <c r="BC30" s="22">
        <f t="shared" ca="1" si="16"/>
        <v>17.496666666666666</v>
      </c>
      <c r="BE30" s="225">
        <f t="shared" ca="1" si="17"/>
        <v>105</v>
      </c>
      <c r="BF30" s="21">
        <f t="shared" ca="1" si="18"/>
        <v>1.0597636020658325E-2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52.51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3.5376269037672432E-3</v>
      </c>
      <c r="BB31" s="22">
        <f t="shared" si="20"/>
        <v>20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6.0557920118047568E-3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46.21</v>
      </c>
      <c r="N32" s="161">
        <f t="shared" si="4"/>
        <v>63.790000000000028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113.79000000000002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163.79000000000002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213.79000000000002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263.79000000000002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313.79000000000002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363.79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413.79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463.79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513.79</v>
      </c>
      <c r="AZ32" s="157">
        <f t="shared" si="23"/>
        <v>111.96000000000001</v>
      </c>
      <c r="BA32" s="21">
        <f t="shared" si="15"/>
        <v>7.5499944366332556E-3</v>
      </c>
      <c r="BB32" s="22">
        <f t="shared" si="20"/>
        <v>17</v>
      </c>
      <c r="BC32" s="22">
        <f t="shared" ca="1" si="16"/>
        <v>37.32</v>
      </c>
      <c r="BE32" s="225">
        <f t="shared" ca="1" si="17"/>
        <v>190</v>
      </c>
      <c r="BF32" s="21">
        <f t="shared" ca="1" si="18"/>
        <v>1.9176674704048397E-2</v>
      </c>
      <c r="BG32" s="22">
        <f t="shared" ca="1" si="21"/>
        <v>14</v>
      </c>
      <c r="BH32" s="22">
        <f t="shared" ca="1" si="19"/>
        <v>63.333333333333336</v>
      </c>
      <c r="BJ32" s="225">
        <f t="shared" ca="1" si="22"/>
        <v>78.039999999999992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3362.6</v>
      </c>
      <c r="N33" s="160">
        <f t="shared" si="4"/>
        <v>-3516.0099999999998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-3466.0099999999998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-3416.0099999999998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-3366.0099999999998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-3316.0099999999998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-3266.0099999999998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-3216.0099999999998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-3166.0099999999998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-3116.0099999999998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-3066.0099999999998</v>
      </c>
      <c r="AZ33" s="152">
        <f t="shared" si="23"/>
        <v>4086.0099999999998</v>
      </c>
      <c r="BA33" s="21">
        <f t="shared" si="15"/>
        <v>0.27553905652043448</v>
      </c>
      <c r="BB33" s="22">
        <f t="shared" si="20"/>
        <v>1</v>
      </c>
      <c r="BC33" s="22">
        <f t="shared" ca="1" si="16"/>
        <v>1362.0033333333333</v>
      </c>
      <c r="BE33" s="224">
        <f t="shared" ca="1" si="17"/>
        <v>150</v>
      </c>
      <c r="BF33" s="21">
        <f t="shared" ca="1" si="18"/>
        <v>1.5139480029511891E-2</v>
      </c>
      <c r="BG33" s="22">
        <f t="shared" ca="1" si="21"/>
        <v>16</v>
      </c>
      <c r="BH33" s="22">
        <f t="shared" ca="1" si="19"/>
        <v>50</v>
      </c>
      <c r="BJ33" s="224">
        <f t="shared" ca="1" si="22"/>
        <v>-3936.0099999999998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2.2661447217136525E-2</v>
      </c>
      <c r="BB34" s="22">
        <f t="shared" si="20"/>
        <v>11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4.107845581340893E-2</v>
      </c>
      <c r="BG34" s="22">
        <f t="shared" ca="1" si="21"/>
        <v>8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115</v>
      </c>
      <c r="M35" s="186">
        <f>SUM('03'!D320:F320)</f>
        <v>45.36</v>
      </c>
      <c r="N35" s="187">
        <f t="shared" si="4"/>
        <v>1735.6300000000006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1850.6300000000006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1965.6300000000006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2080.6300000000006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2195.6300000000006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2310.6300000000006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2425.6300000000006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2540.6300000000006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2655.6300000000006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2770.6300000000006</v>
      </c>
      <c r="AZ35" s="188">
        <f t="shared" si="23"/>
        <v>160.07999999999998</v>
      </c>
      <c r="BA35" s="21">
        <f t="shared" si="15"/>
        <v>1.0794954532120858E-2</v>
      </c>
      <c r="BB35" s="22">
        <f t="shared" si="20"/>
        <v>14</v>
      </c>
      <c r="BC35" s="22">
        <f t="shared" ca="1" si="16"/>
        <v>53.359999999999992</v>
      </c>
      <c r="BE35" s="224">
        <f t="shared" ca="1" si="17"/>
        <v>406.11</v>
      </c>
      <c r="BF35" s="21">
        <f t="shared" ca="1" si="18"/>
        <v>4.0988628231900498E-2</v>
      </c>
      <c r="BG35" s="22">
        <f t="shared" ca="1" si="21"/>
        <v>9</v>
      </c>
      <c r="BH35" s="22">
        <f t="shared" ca="1" si="19"/>
        <v>135.37</v>
      </c>
      <c r="BJ35" s="224">
        <f t="shared" ca="1" si="22"/>
        <v>246.0300000000002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190</v>
      </c>
      <c r="M36" s="164">
        <f>SUM('03'!D340:F340)</f>
        <v>0</v>
      </c>
      <c r="N36" s="156">
        <f t="shared" si="4"/>
        <v>204.99000000000007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564.99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1014.99</v>
      </c>
      <c r="AZ36" s="182">
        <f t="shared" si="23"/>
        <v>266</v>
      </c>
      <c r="BA36" s="21">
        <f t="shared" si="15"/>
        <v>1.7937643088106876E-2</v>
      </c>
      <c r="BB36" s="22">
        <f t="shared" si="20"/>
        <v>12</v>
      </c>
      <c r="BC36" s="22">
        <f t="shared" ca="1" si="16"/>
        <v>88.666666666666671</v>
      </c>
      <c r="BE36" s="223">
        <f t="shared" ca="1" si="17"/>
        <v>370</v>
      </c>
      <c r="BF36" s="21">
        <f t="shared" ca="1" si="18"/>
        <v>3.7344050739462668E-2</v>
      </c>
      <c r="BG36" s="22">
        <f t="shared" ca="1" si="21"/>
        <v>10</v>
      </c>
      <c r="BH36" s="22">
        <f t="shared" ca="1" si="19"/>
        <v>123.33333333333333</v>
      </c>
      <c r="BJ36" s="223">
        <f t="shared" ca="1" si="22"/>
        <v>104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52</v>
      </c>
      <c r="N37" s="151">
        <f t="shared" si="4"/>
        <v>40.730000000000018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130.73000000000002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175.73000000000002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220.73000000000002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265.73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310.73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355.73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400.73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445.73</v>
      </c>
      <c r="AZ37" s="152">
        <f t="shared" si="23"/>
        <v>367.65</v>
      </c>
      <c r="BA37" s="21">
        <f t="shared" si="15"/>
        <v>2.4792385268204858E-2</v>
      </c>
      <c r="BB37" s="22">
        <f t="shared" si="20"/>
        <v>9</v>
      </c>
      <c r="BC37" s="22">
        <f t="shared" ca="1" si="16"/>
        <v>122.55</v>
      </c>
      <c r="BE37" s="224">
        <f t="shared" ca="1" si="17"/>
        <v>135</v>
      </c>
      <c r="BF37" s="21">
        <f t="shared" ca="1" si="18"/>
        <v>1.3625532026560703E-2</v>
      </c>
      <c r="BG37" s="22">
        <f t="shared" ca="1" si="21"/>
        <v>19</v>
      </c>
      <c r="BH37" s="22">
        <f t="shared" ca="1" si="19"/>
        <v>45</v>
      </c>
      <c r="BJ37" s="224">
        <f t="shared" ca="1" si="22"/>
        <v>-232.64999999999998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19.649999999999999</v>
      </c>
      <c r="N38" s="156">
        <f t="shared" si="4"/>
        <v>32.270000000000032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102.27000000000004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172.27000000000004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242.27000000000004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312.27000000000004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382.27000000000004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452.27000000000004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522.27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592.27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662.27</v>
      </c>
      <c r="AZ38" s="157">
        <f t="shared" si="23"/>
        <v>246.93</v>
      </c>
      <c r="BA38" s="21">
        <f t="shared" si="15"/>
        <v>1.6651662435136206E-2</v>
      </c>
      <c r="BB38" s="22">
        <f t="shared" si="20"/>
        <v>13</v>
      </c>
      <c r="BC38" s="22">
        <f t="shared" ca="1" si="16"/>
        <v>82.31</v>
      </c>
      <c r="BE38" s="225">
        <f t="shared" ca="1" si="17"/>
        <v>240</v>
      </c>
      <c r="BF38" s="21">
        <f t="shared" ca="1" si="18"/>
        <v>2.4223168047219027E-2</v>
      </c>
      <c r="BG38" s="22">
        <f t="shared" ca="1" si="21"/>
        <v>12</v>
      </c>
      <c r="BH38" s="22">
        <f t="shared" ca="1" si="19"/>
        <v>80</v>
      </c>
      <c r="BJ38" s="225">
        <f t="shared" ca="1" si="22"/>
        <v>-6.93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10</v>
      </c>
      <c r="Q39" s="165">
        <f>SUM('04'!D400:F400)</f>
        <v>0</v>
      </c>
      <c r="R39" s="151">
        <f t="shared" si="5"/>
        <v>1240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50</v>
      </c>
      <c r="BF39" s="21">
        <f t="shared" ca="1" si="18"/>
        <v>5.0464933431706308E-3</v>
      </c>
      <c r="BG39" s="22">
        <f t="shared" ca="1" si="21"/>
        <v>22</v>
      </c>
      <c r="BH39" s="22">
        <f t="shared" ca="1" si="19"/>
        <v>16.666666666666668</v>
      </c>
      <c r="BJ39" s="224">
        <f t="shared" ca="1" si="22"/>
        <v>50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50</v>
      </c>
      <c r="M40" s="166">
        <f>SUM('03'!D420:F420)</f>
        <v>2.2599999999999998</v>
      </c>
      <c r="N40" s="156">
        <f>J40+L40-M40</f>
        <v>916.0700000000005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966.0700000000005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986.0700000000005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1006.0700000000005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1026.0700000000006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1046.0700000000006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1066.0700000000006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1086.0700000000006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1106.0700000000006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1126.0700000000006</v>
      </c>
      <c r="AZ40" s="157">
        <f t="shared" si="23"/>
        <v>40.31</v>
      </c>
      <c r="BA40" s="21">
        <f t="shared" si="15"/>
        <v>2.7182947100811588E-3</v>
      </c>
      <c r="BB40" s="22">
        <f t="shared" si="20"/>
        <v>21</v>
      </c>
      <c r="BC40" s="22">
        <f t="shared" ca="1" si="16"/>
        <v>13.436666666666667</v>
      </c>
      <c r="BE40" s="225">
        <f t="shared" ca="1" si="17"/>
        <v>151.87</v>
      </c>
      <c r="BF40" s="21">
        <f t="shared" ca="1" si="18"/>
        <v>1.5328218880546474E-2</v>
      </c>
      <c r="BG40" s="22">
        <f t="shared" ca="1" si="21"/>
        <v>15</v>
      </c>
      <c r="BH40" s="22">
        <f t="shared" ca="1" si="19"/>
        <v>50.623333333333335</v>
      </c>
      <c r="BJ40" s="225">
        <f t="shared" ca="1" si="22"/>
        <v>111.56000000000006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-2737.76</v>
      </c>
      <c r="M41" s="165">
        <f>SUM('03'!D440:F440)</f>
        <v>0</v>
      </c>
      <c r="N41" s="151">
        <f t="shared" si="4"/>
        <v>5382.239999999998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1482.239999999998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-2417.760000000002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-6317.760000000002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-10217.760000000002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-14117.760000000002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-18017.760000000002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-21917.760000000002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-25817.760000000002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-29717.760000000002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-3167.7599999999998</v>
      </c>
      <c r="BF41" s="21">
        <f t="shared" ca="1" si="18"/>
        <v>-0.31972159505524389</v>
      </c>
      <c r="BG41" s="22">
        <f t="shared" ca="1" si="21"/>
        <v>26</v>
      </c>
      <c r="BH41" s="22">
        <f t="shared" ca="1" si="19"/>
        <v>-1055.9199999999998</v>
      </c>
      <c r="BJ41" s="224">
        <f t="shared" ca="1" si="22"/>
        <v>-3167.76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1.9984113638955698E-4</v>
      </c>
      <c r="BG42" s="22">
        <f t="shared" ca="1" si="21"/>
        <v>23</v>
      </c>
      <c r="BH42" s="22">
        <f t="shared" ca="1" si="19"/>
        <v>0.66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800.44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850.44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900.44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950.44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1000.44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1050.44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1100.44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1150.44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1200.44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1250.44</v>
      </c>
      <c r="AZ43" s="152">
        <f t="shared" si="23"/>
        <v>500</v>
      </c>
      <c r="BA43" s="21">
        <f t="shared" si="15"/>
        <v>3.3717374225764804E-2</v>
      </c>
      <c r="BB43" s="22">
        <f t="shared" si="20"/>
        <v>8</v>
      </c>
      <c r="BC43" s="22">
        <f t="shared" ca="1" si="16"/>
        <v>166.66666666666666</v>
      </c>
      <c r="BE43" s="224">
        <f t="shared" ca="1" si="17"/>
        <v>337.44</v>
      </c>
      <c r="BF43" s="21">
        <f t="shared" ca="1" si="18"/>
        <v>3.4057774274389954E-2</v>
      </c>
      <c r="BG43" s="22">
        <f t="shared" ca="1" si="21"/>
        <v>11</v>
      </c>
      <c r="BH43" s="22">
        <f t="shared" ca="1" si="19"/>
        <v>112.48</v>
      </c>
      <c r="BJ43" s="224">
        <f t="shared" ca="1" si="22"/>
        <v>-162.55999999999995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2.6056786801671042E-3</v>
      </c>
      <c r="BB45" s="22">
        <f t="shared" si="20"/>
        <v>22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1394.6299999999997</v>
      </c>
      <c r="M46" s="219">
        <f>SUM(M20:M45)</f>
        <v>5507.13</v>
      </c>
      <c r="N46" s="220">
        <f>SUM(N20:N45)</f>
        <v>21462.259999999991</v>
      </c>
      <c r="O46" s="218"/>
      <c r="P46" s="219">
        <f>SUM(P20:P45)</f>
        <v>0</v>
      </c>
      <c r="Q46" s="219">
        <f>SUM(Q20:Q45)</f>
        <v>0</v>
      </c>
      <c r="R46" s="220">
        <f>SUM(R20:R45)</f>
        <v>21462.259999999991</v>
      </c>
      <c r="S46" s="218"/>
      <c r="T46" s="219">
        <f>SUM(T20:T45)</f>
        <v>0</v>
      </c>
      <c r="U46" s="219">
        <f>SUM(U20:U45)</f>
        <v>0</v>
      </c>
      <c r="V46" s="220">
        <f>SUM(V20:V45)</f>
        <v>21462.259999999991</v>
      </c>
      <c r="W46" s="218"/>
      <c r="X46" s="219">
        <f>SUM(X20:X45)</f>
        <v>0</v>
      </c>
      <c r="Y46" s="219">
        <f>SUM(Y20:Y45)</f>
        <v>0</v>
      </c>
      <c r="Z46" s="220">
        <f>SUM(Z20:Z45)</f>
        <v>21462.259999999995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21462.26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21462.26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21462.26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21462.259999999991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21462.259999999984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21462.259999999984</v>
      </c>
      <c r="AZ46" s="227">
        <f>SUM(AZ20:AZ45)</f>
        <v>14829.149999999996</v>
      </c>
      <c r="BA46" s="1"/>
      <c r="BB46" s="1"/>
      <c r="BC46" s="124">
        <f ca="1">SUM(BC20:BC45)</f>
        <v>4943.0500000000011</v>
      </c>
      <c r="BE46" s="227">
        <f ca="1">SUM(BE20:BE45)</f>
        <v>9907.8700000000008</v>
      </c>
      <c r="BF46" s="1"/>
      <c r="BG46" s="1"/>
      <c r="BH46" s="124">
        <f ca="1">SUM(BH20:BH45)</f>
        <v>3302.6233333333334</v>
      </c>
      <c r="BJ46" s="227">
        <f ca="1">SUM(BJ20:BJ45)</f>
        <v>-4921.2800000000016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-4112.5</v>
      </c>
      <c r="N47" s="125"/>
      <c r="O47" s="125">
        <f>O5-N46</f>
        <v>-6278.8699999999899</v>
      </c>
      <c r="P47" s="125">
        <f>O17-P46</f>
        <v>0</v>
      </c>
      <c r="Q47" s="125">
        <f>O17-Q46</f>
        <v>0</v>
      </c>
      <c r="R47" s="125"/>
      <c r="S47" s="125">
        <f>S5-R46</f>
        <v>-6360.3699999999899</v>
      </c>
      <c r="T47" s="125">
        <f>S17-T46</f>
        <v>0</v>
      </c>
      <c r="U47" s="125">
        <f>S17-U46</f>
        <v>0</v>
      </c>
      <c r="V47" s="125"/>
      <c r="W47" s="125">
        <f>W5-V46</f>
        <v>-6360.3699999999899</v>
      </c>
      <c r="X47" s="125">
        <f>W17-X46</f>
        <v>0</v>
      </c>
      <c r="Y47" s="125">
        <f>W17-Y46</f>
        <v>0</v>
      </c>
      <c r="Z47" s="125"/>
      <c r="AA47" s="125">
        <f>AA5-Z46</f>
        <v>-6360.3699999999935</v>
      </c>
      <c r="AB47" s="125">
        <f>AA17-AB46</f>
        <v>0</v>
      </c>
      <c r="AC47" s="125">
        <f>AA17-AC46</f>
        <v>0</v>
      </c>
      <c r="AD47" s="125"/>
      <c r="AE47" s="125">
        <f>AE5-AD46</f>
        <v>-6360.3699999999972</v>
      </c>
      <c r="AF47" s="125">
        <f>AE17-AF46</f>
        <v>0</v>
      </c>
      <c r="AG47" s="125">
        <f>AE17-AG46</f>
        <v>0</v>
      </c>
      <c r="AH47" s="125"/>
      <c r="AI47" s="125">
        <f>AI5-AH46</f>
        <v>-6360.3699999999972</v>
      </c>
      <c r="AJ47" s="125">
        <f>AI17-AJ46</f>
        <v>0</v>
      </c>
      <c r="AK47" s="125">
        <f>AI17-AK46</f>
        <v>0</v>
      </c>
      <c r="AL47" s="125"/>
      <c r="AM47" s="125">
        <f>AM5-AL46</f>
        <v>-6360.3699999999972</v>
      </c>
      <c r="AN47" s="125">
        <f>AM17-AN46</f>
        <v>0</v>
      </c>
      <c r="AO47" s="125">
        <f>AM17-AO46</f>
        <v>0</v>
      </c>
      <c r="AP47" s="125"/>
      <c r="AQ47" s="125">
        <f>AQ5-AP46</f>
        <v>-6360.3699999999899</v>
      </c>
      <c r="AR47" s="125">
        <f>AQ17-AR46</f>
        <v>0</v>
      </c>
      <c r="AS47" s="125">
        <f>AQ17-AS46</f>
        <v>0</v>
      </c>
      <c r="AT47" s="140"/>
      <c r="AU47" s="125">
        <f>AU5-AT46</f>
        <v>-6360.3699999999826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59316.600000000013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285.85000000000002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2" t="s">
        <v>149</v>
      </c>
      <c r="D52" s="263"/>
      <c r="E52" s="263"/>
      <c r="F52" s="264"/>
      <c r="G52" s="262" t="s">
        <v>149</v>
      </c>
      <c r="H52" s="263"/>
      <c r="I52" s="263"/>
      <c r="J52" s="264"/>
      <c r="K52" s="262" t="s">
        <v>149</v>
      </c>
      <c r="L52" s="263"/>
      <c r="M52" s="263"/>
      <c r="N52" s="264"/>
      <c r="O52" s="262" t="s">
        <v>149</v>
      </c>
      <c r="P52" s="263"/>
      <c r="Q52" s="263"/>
      <c r="R52" s="264"/>
      <c r="S52" s="262" t="s">
        <v>149</v>
      </c>
      <c r="T52" s="263"/>
      <c r="U52" s="263"/>
      <c r="V52" s="264"/>
      <c r="W52" s="262" t="s">
        <v>149</v>
      </c>
      <c r="X52" s="263"/>
      <c r="Y52" s="263"/>
      <c r="Z52" s="264"/>
      <c r="AA52" s="262" t="s">
        <v>149</v>
      </c>
      <c r="AB52" s="263"/>
      <c r="AC52" s="263"/>
      <c r="AD52" s="264"/>
      <c r="AE52" s="262" t="s">
        <v>149</v>
      </c>
      <c r="AF52" s="263"/>
      <c r="AG52" s="263"/>
      <c r="AH52" s="264"/>
      <c r="AI52" s="262" t="s">
        <v>149</v>
      </c>
      <c r="AJ52" s="263"/>
      <c r="AK52" s="263"/>
      <c r="AL52" s="264"/>
      <c r="AM52" s="262" t="s">
        <v>149</v>
      </c>
      <c r="AN52" s="263"/>
      <c r="AO52" s="263"/>
      <c r="AP52" s="264"/>
      <c r="AQ52" s="262" t="s">
        <v>149</v>
      </c>
      <c r="AR52" s="263"/>
      <c r="AS52" s="263"/>
      <c r="AT52" s="264"/>
      <c r="AU52" s="262" t="s">
        <v>149</v>
      </c>
      <c r="AV52" s="263"/>
      <c r="AW52" s="263"/>
      <c r="AX52" s="264"/>
    </row>
    <row r="53" spans="1:62" ht="15.75" thickBot="1">
      <c r="C53" s="93" t="s">
        <v>150</v>
      </c>
      <c r="D53" s="265" t="s">
        <v>31</v>
      </c>
      <c r="E53" s="266"/>
      <c r="F53" s="94" t="s">
        <v>88</v>
      </c>
      <c r="G53" s="93" t="s">
        <v>150</v>
      </c>
      <c r="H53" s="265" t="s">
        <v>31</v>
      </c>
      <c r="I53" s="266"/>
      <c r="J53" s="94" t="s">
        <v>88</v>
      </c>
      <c r="K53" s="93" t="s">
        <v>150</v>
      </c>
      <c r="L53" s="265" t="s">
        <v>31</v>
      </c>
      <c r="M53" s="266"/>
      <c r="N53" s="94" t="s">
        <v>88</v>
      </c>
      <c r="O53" s="93" t="s">
        <v>150</v>
      </c>
      <c r="P53" s="265" t="s">
        <v>31</v>
      </c>
      <c r="Q53" s="266"/>
      <c r="R53" s="94" t="s">
        <v>88</v>
      </c>
      <c r="S53" s="93" t="s">
        <v>150</v>
      </c>
      <c r="T53" s="265" t="s">
        <v>31</v>
      </c>
      <c r="U53" s="266"/>
      <c r="V53" s="94" t="s">
        <v>88</v>
      </c>
      <c r="W53" s="93" t="s">
        <v>150</v>
      </c>
      <c r="X53" s="265" t="s">
        <v>31</v>
      </c>
      <c r="Y53" s="266"/>
      <c r="Z53" s="94" t="s">
        <v>88</v>
      </c>
      <c r="AA53" s="93" t="s">
        <v>150</v>
      </c>
      <c r="AB53" s="265" t="s">
        <v>31</v>
      </c>
      <c r="AC53" s="266"/>
      <c r="AD53" s="94" t="s">
        <v>88</v>
      </c>
      <c r="AE53" s="93" t="s">
        <v>150</v>
      </c>
      <c r="AF53" s="265" t="s">
        <v>31</v>
      </c>
      <c r="AG53" s="266"/>
      <c r="AH53" s="94" t="s">
        <v>88</v>
      </c>
      <c r="AI53" s="93" t="s">
        <v>150</v>
      </c>
      <c r="AJ53" s="265" t="s">
        <v>31</v>
      </c>
      <c r="AK53" s="266"/>
      <c r="AL53" s="94" t="s">
        <v>88</v>
      </c>
      <c r="AM53" s="93" t="s">
        <v>150</v>
      </c>
      <c r="AN53" s="265" t="s">
        <v>31</v>
      </c>
      <c r="AO53" s="266"/>
      <c r="AP53" s="94" t="s">
        <v>88</v>
      </c>
      <c r="AQ53" s="93" t="s">
        <v>150</v>
      </c>
      <c r="AR53" s="265" t="s">
        <v>31</v>
      </c>
      <c r="AS53" s="266"/>
      <c r="AT53" s="94" t="s">
        <v>88</v>
      </c>
      <c r="AU53" s="93" t="s">
        <v>150</v>
      </c>
      <c r="AV53" s="265" t="s">
        <v>31</v>
      </c>
      <c r="AW53" s="266"/>
      <c r="AX53" s="94" t="s">
        <v>88</v>
      </c>
    </row>
    <row r="54" spans="1:62">
      <c r="C54" s="95">
        <v>43495</v>
      </c>
      <c r="D54" s="267" t="s">
        <v>238</v>
      </c>
      <c r="E54" s="268"/>
      <c r="F54" s="98"/>
      <c r="G54" s="95">
        <v>43497</v>
      </c>
      <c r="H54" s="267" t="s">
        <v>273</v>
      </c>
      <c r="I54" s="268"/>
      <c r="J54" s="100">
        <v>500</v>
      </c>
      <c r="K54" s="95">
        <v>43539</v>
      </c>
      <c r="L54" s="273" t="s">
        <v>260</v>
      </c>
      <c r="M54" s="274"/>
      <c r="N54" s="100">
        <v>70</v>
      </c>
      <c r="O54" s="95"/>
      <c r="P54" s="275"/>
      <c r="Q54" s="276"/>
      <c r="R54" s="102"/>
      <c r="S54" s="95"/>
      <c r="T54" s="275"/>
      <c r="U54" s="276"/>
      <c r="V54" s="103"/>
      <c r="W54" s="96"/>
      <c r="X54" s="277"/>
      <c r="Y54" s="278"/>
      <c r="Z54" s="104"/>
      <c r="AA54" s="95"/>
      <c r="AB54" s="287"/>
      <c r="AC54" s="288"/>
      <c r="AD54" s="100"/>
      <c r="AE54" s="95"/>
      <c r="AF54" s="289"/>
      <c r="AG54" s="290"/>
      <c r="AH54" s="100"/>
      <c r="AI54" s="95"/>
      <c r="AJ54" s="291"/>
      <c r="AK54" s="292"/>
      <c r="AL54" s="100"/>
      <c r="AM54" s="95"/>
      <c r="AN54" s="291"/>
      <c r="AO54" s="292"/>
      <c r="AP54" s="100"/>
      <c r="AQ54" s="95"/>
      <c r="AR54" s="275"/>
      <c r="AS54" s="276"/>
      <c r="AT54" s="100"/>
      <c r="AU54" s="95"/>
      <c r="AV54" s="267"/>
      <c r="AW54" s="268"/>
      <c r="AX54" s="100"/>
    </row>
    <row r="55" spans="1:62">
      <c r="C55" s="96"/>
      <c r="D55" s="271" t="s">
        <v>239</v>
      </c>
      <c r="E55" s="272"/>
      <c r="F55" s="98">
        <v>121.4</v>
      </c>
      <c r="G55" s="96">
        <v>43516</v>
      </c>
      <c r="H55" s="271" t="s">
        <v>314</v>
      </c>
      <c r="I55" s="272"/>
      <c r="J55" s="100"/>
      <c r="K55" s="96">
        <v>43553</v>
      </c>
      <c r="L55" s="271" t="s">
        <v>300</v>
      </c>
      <c r="M55" s="272"/>
      <c r="N55" s="100">
        <v>4421.9399999999996</v>
      </c>
      <c r="O55" s="96"/>
      <c r="P55" s="277"/>
      <c r="Q55" s="278"/>
      <c r="R55" s="102"/>
      <c r="S55" s="96"/>
      <c r="T55" s="277"/>
      <c r="U55" s="278"/>
      <c r="V55" s="100"/>
      <c r="W55" s="96"/>
      <c r="X55" s="277"/>
      <c r="Y55" s="278"/>
      <c r="Z55" s="100"/>
      <c r="AA55" s="96"/>
      <c r="AB55" s="271"/>
      <c r="AC55" s="272"/>
      <c r="AD55" s="100"/>
      <c r="AE55" s="96"/>
      <c r="AF55" s="277"/>
      <c r="AG55" s="278"/>
      <c r="AH55" s="100"/>
      <c r="AI55" s="96"/>
      <c r="AJ55" s="277"/>
      <c r="AK55" s="278"/>
      <c r="AL55" s="100"/>
      <c r="AM55" s="96"/>
      <c r="AN55" s="277"/>
      <c r="AO55" s="278"/>
      <c r="AP55" s="100"/>
      <c r="AQ55" s="96"/>
      <c r="AR55" s="271"/>
      <c r="AS55" s="272"/>
      <c r="AT55" s="100"/>
      <c r="AU55" s="96"/>
      <c r="AV55" s="271"/>
      <c r="AW55" s="272"/>
      <c r="AX55" s="100"/>
    </row>
    <row r="56" spans="1:62">
      <c r="B56" s="119"/>
      <c r="C56" s="96">
        <v>43472</v>
      </c>
      <c r="D56" s="271" t="s">
        <v>151</v>
      </c>
      <c r="E56" s="272"/>
      <c r="F56" s="98">
        <v>15</v>
      </c>
      <c r="G56" s="96">
        <v>43507</v>
      </c>
      <c r="H56" s="271" t="s">
        <v>326</v>
      </c>
      <c r="I56" s="272"/>
      <c r="J56" s="100">
        <v>10</v>
      </c>
      <c r="K56" s="96">
        <v>43529</v>
      </c>
      <c r="L56" s="271" t="s">
        <v>328</v>
      </c>
      <c r="M56" s="272"/>
      <c r="N56" s="100">
        <v>3362.6</v>
      </c>
      <c r="O56" s="96"/>
      <c r="P56" s="277"/>
      <c r="Q56" s="278"/>
      <c r="R56" s="102"/>
      <c r="S56" s="96"/>
      <c r="T56" s="271"/>
      <c r="U56" s="272"/>
      <c r="V56" s="100"/>
      <c r="W56" s="96"/>
      <c r="X56" s="271"/>
      <c r="Y56" s="272"/>
      <c r="Z56" s="100"/>
      <c r="AA56" s="96"/>
      <c r="AB56" s="271"/>
      <c r="AC56" s="272"/>
      <c r="AD56" s="100"/>
      <c r="AE56" s="96"/>
      <c r="AF56" s="277"/>
      <c r="AG56" s="278"/>
      <c r="AH56" s="100"/>
      <c r="AI56" s="96"/>
      <c r="AJ56" s="279"/>
      <c r="AK56" s="280"/>
      <c r="AL56" s="100"/>
      <c r="AM56" s="96"/>
      <c r="AN56" s="279"/>
      <c r="AO56" s="280"/>
      <c r="AP56" s="100"/>
      <c r="AQ56" s="96"/>
      <c r="AR56" s="277"/>
      <c r="AS56" s="278"/>
      <c r="AT56" s="100"/>
      <c r="AU56" s="96"/>
      <c r="AV56" s="271"/>
      <c r="AW56" s="272"/>
      <c r="AX56" s="100"/>
    </row>
    <row r="57" spans="1:62">
      <c r="C57" s="96">
        <v>43476</v>
      </c>
      <c r="D57" s="271" t="s">
        <v>153</v>
      </c>
      <c r="E57" s="272"/>
      <c r="F57" s="98">
        <v>10</v>
      </c>
      <c r="G57" s="96">
        <v>43516</v>
      </c>
      <c r="H57" s="271" t="s">
        <v>355</v>
      </c>
      <c r="I57" s="272"/>
      <c r="J57" s="100"/>
      <c r="K57" s="96">
        <v>43533</v>
      </c>
      <c r="L57" s="271" t="s">
        <v>238</v>
      </c>
      <c r="M57" s="272"/>
      <c r="N57" s="100"/>
      <c r="O57" s="96"/>
      <c r="P57" s="277"/>
      <c r="Q57" s="278"/>
      <c r="R57" s="100"/>
      <c r="S57" s="96"/>
      <c r="T57" s="271"/>
      <c r="U57" s="272"/>
      <c r="V57" s="100"/>
      <c r="W57" s="96"/>
      <c r="X57" s="271"/>
      <c r="Y57" s="272"/>
      <c r="Z57" s="100"/>
      <c r="AA57" s="96"/>
      <c r="AB57" s="277"/>
      <c r="AC57" s="278"/>
      <c r="AD57" s="100"/>
      <c r="AE57" s="96"/>
      <c r="AF57" s="271"/>
      <c r="AG57" s="272"/>
      <c r="AH57" s="100"/>
      <c r="AI57" s="96"/>
      <c r="AJ57" s="281"/>
      <c r="AK57" s="282"/>
      <c r="AL57" s="100"/>
      <c r="AM57" s="96"/>
      <c r="AN57" s="279"/>
      <c r="AO57" s="280"/>
      <c r="AP57" s="100"/>
      <c r="AQ57" s="96"/>
      <c r="AR57" s="271"/>
      <c r="AS57" s="272"/>
      <c r="AT57" s="100"/>
      <c r="AU57" s="96"/>
      <c r="AV57" s="271"/>
      <c r="AW57" s="272"/>
      <c r="AX57" s="100"/>
    </row>
    <row r="58" spans="1:62">
      <c r="C58" s="96">
        <v>43478</v>
      </c>
      <c r="D58" s="271" t="s">
        <v>246</v>
      </c>
      <c r="E58" s="272"/>
      <c r="F58" s="98"/>
      <c r="G58" s="96"/>
      <c r="H58" s="271"/>
      <c r="I58" s="272"/>
      <c r="J58" s="100"/>
      <c r="K58" s="96">
        <v>43536</v>
      </c>
      <c r="L58" s="271" t="s">
        <v>246</v>
      </c>
      <c r="M58" s="272"/>
      <c r="N58" s="100"/>
      <c r="O58" s="96"/>
      <c r="P58" s="271"/>
      <c r="Q58" s="272"/>
      <c r="R58" s="100"/>
      <c r="S58" s="96"/>
      <c r="T58" s="271"/>
      <c r="U58" s="272"/>
      <c r="V58" s="100"/>
      <c r="W58" s="96"/>
      <c r="X58" s="271"/>
      <c r="Y58" s="272"/>
      <c r="Z58" s="100"/>
      <c r="AA58" s="96"/>
      <c r="AB58" s="277"/>
      <c r="AC58" s="278"/>
      <c r="AD58" s="100"/>
      <c r="AE58" s="96"/>
      <c r="AF58" s="271"/>
      <c r="AG58" s="272"/>
      <c r="AH58" s="100"/>
      <c r="AI58" s="96"/>
      <c r="AJ58" s="281"/>
      <c r="AK58" s="282"/>
      <c r="AL58" s="100"/>
      <c r="AM58" s="96"/>
      <c r="AN58" s="281"/>
      <c r="AO58" s="282"/>
      <c r="AP58" s="100"/>
      <c r="AQ58" s="96"/>
      <c r="AR58" s="271"/>
      <c r="AS58" s="272"/>
      <c r="AT58" s="100"/>
      <c r="AU58" s="96"/>
      <c r="AV58" s="271"/>
      <c r="AW58" s="272"/>
      <c r="AX58" s="100"/>
    </row>
    <row r="59" spans="1:62">
      <c r="C59" s="96">
        <v>43481</v>
      </c>
      <c r="D59" s="271" t="s">
        <v>274</v>
      </c>
      <c r="E59" s="272"/>
      <c r="F59" s="98">
        <v>50</v>
      </c>
      <c r="G59" s="96"/>
      <c r="H59" s="271"/>
      <c r="I59" s="272"/>
      <c r="J59" s="100"/>
      <c r="K59" s="96"/>
      <c r="L59" s="271" t="s">
        <v>389</v>
      </c>
      <c r="M59" s="272"/>
      <c r="N59" s="100">
        <f>3.1+10.5</f>
        <v>13.6</v>
      </c>
      <c r="O59" s="96"/>
      <c r="P59" s="271"/>
      <c r="Q59" s="272"/>
      <c r="R59" s="100"/>
      <c r="S59" s="96"/>
      <c r="T59" s="279"/>
      <c r="U59" s="280"/>
      <c r="V59" s="100"/>
      <c r="W59" s="96"/>
      <c r="X59" s="279"/>
      <c r="Y59" s="280"/>
      <c r="Z59" s="100"/>
      <c r="AA59" s="96"/>
      <c r="AB59" s="279"/>
      <c r="AC59" s="280"/>
      <c r="AD59" s="100"/>
      <c r="AE59" s="96"/>
      <c r="AF59" s="271"/>
      <c r="AG59" s="272"/>
      <c r="AH59" s="100"/>
      <c r="AI59" s="96"/>
      <c r="AJ59" s="281"/>
      <c r="AK59" s="282"/>
      <c r="AL59" s="100"/>
      <c r="AM59" s="96"/>
      <c r="AN59" s="281"/>
      <c r="AO59" s="282"/>
      <c r="AP59" s="100"/>
      <c r="AQ59" s="96"/>
      <c r="AR59" s="271"/>
      <c r="AS59" s="272"/>
      <c r="AT59" s="100"/>
      <c r="AU59" s="96"/>
      <c r="AV59" s="271"/>
      <c r="AW59" s="272"/>
      <c r="AX59" s="100"/>
    </row>
    <row r="60" spans="1:62">
      <c r="C60" s="96">
        <v>43488</v>
      </c>
      <c r="D60" s="271" t="s">
        <v>293</v>
      </c>
      <c r="E60" s="272"/>
      <c r="F60" s="98"/>
      <c r="G60" s="96"/>
      <c r="H60" s="271"/>
      <c r="I60" s="272"/>
      <c r="J60" s="100"/>
      <c r="K60" s="96"/>
      <c r="L60" s="271"/>
      <c r="M60" s="272"/>
      <c r="N60" s="100"/>
      <c r="O60" s="96"/>
      <c r="P60" s="271"/>
      <c r="Q60" s="272"/>
      <c r="R60" s="100"/>
      <c r="S60" s="96"/>
      <c r="T60" s="279"/>
      <c r="U60" s="280"/>
      <c r="V60" s="100"/>
      <c r="W60" s="96"/>
      <c r="X60" s="281"/>
      <c r="Y60" s="282"/>
      <c r="Z60" s="100"/>
      <c r="AA60" s="96"/>
      <c r="AB60" s="281"/>
      <c r="AC60" s="282"/>
      <c r="AD60" s="100"/>
      <c r="AE60" s="96"/>
      <c r="AF60" s="279"/>
      <c r="AG60" s="280"/>
      <c r="AH60" s="100"/>
      <c r="AI60" s="96"/>
      <c r="AJ60" s="281"/>
      <c r="AK60" s="282"/>
      <c r="AL60" s="100"/>
      <c r="AM60" s="96"/>
      <c r="AN60" s="281"/>
      <c r="AO60" s="282"/>
      <c r="AP60" s="100"/>
      <c r="AQ60" s="96"/>
      <c r="AR60" s="271"/>
      <c r="AS60" s="272"/>
      <c r="AT60" s="100"/>
      <c r="AU60" s="96"/>
      <c r="AV60" s="271"/>
      <c r="AW60" s="272"/>
      <c r="AX60" s="100"/>
    </row>
    <row r="61" spans="1:62">
      <c r="C61" s="96">
        <v>43490</v>
      </c>
      <c r="D61" s="271" t="s">
        <v>295</v>
      </c>
      <c r="E61" s="272"/>
      <c r="F61" s="98">
        <v>40</v>
      </c>
      <c r="G61" s="96"/>
      <c r="H61" s="271"/>
      <c r="I61" s="272"/>
      <c r="J61" s="100"/>
      <c r="K61" s="96"/>
      <c r="L61" s="271"/>
      <c r="M61" s="272"/>
      <c r="N61" s="100"/>
      <c r="O61" s="96"/>
      <c r="P61" s="271"/>
      <c r="Q61" s="272"/>
      <c r="R61" s="100"/>
      <c r="S61" s="96"/>
      <c r="T61" s="279"/>
      <c r="U61" s="280"/>
      <c r="V61" s="100"/>
      <c r="W61" s="96"/>
      <c r="X61" s="281"/>
      <c r="Y61" s="282"/>
      <c r="Z61" s="100"/>
      <c r="AA61" s="96"/>
      <c r="AB61" s="281"/>
      <c r="AC61" s="282"/>
      <c r="AD61" s="100"/>
      <c r="AE61" s="96"/>
      <c r="AF61" s="281"/>
      <c r="AG61" s="282"/>
      <c r="AH61" s="100"/>
      <c r="AI61" s="96"/>
      <c r="AJ61" s="281"/>
      <c r="AK61" s="282"/>
      <c r="AL61" s="100"/>
      <c r="AM61" s="96"/>
      <c r="AN61" s="281"/>
      <c r="AO61" s="282"/>
      <c r="AP61" s="100"/>
      <c r="AQ61" s="96"/>
      <c r="AR61" s="271"/>
      <c r="AS61" s="272"/>
      <c r="AT61" s="100"/>
      <c r="AU61" s="96"/>
      <c r="AV61" s="271"/>
      <c r="AW61" s="272"/>
      <c r="AX61" s="100"/>
    </row>
    <row r="62" spans="1:62">
      <c r="C62" s="96"/>
      <c r="D62" s="271"/>
      <c r="E62" s="272"/>
      <c r="F62" s="98"/>
      <c r="G62" s="96"/>
      <c r="H62" s="271"/>
      <c r="I62" s="272"/>
      <c r="J62" s="100"/>
      <c r="K62" s="96"/>
      <c r="L62" s="271"/>
      <c r="M62" s="272"/>
      <c r="N62" s="100"/>
      <c r="O62" s="96"/>
      <c r="P62" s="271"/>
      <c r="Q62" s="272"/>
      <c r="R62" s="100"/>
      <c r="S62" s="96"/>
      <c r="T62" s="279"/>
      <c r="U62" s="280"/>
      <c r="V62" s="100"/>
      <c r="W62" s="96"/>
      <c r="X62" s="281"/>
      <c r="Y62" s="282"/>
      <c r="Z62" s="100"/>
      <c r="AA62" s="96"/>
      <c r="AB62" s="281"/>
      <c r="AC62" s="282"/>
      <c r="AD62" s="100"/>
      <c r="AE62" s="96"/>
      <c r="AF62" s="281"/>
      <c r="AG62" s="282"/>
      <c r="AH62" s="100"/>
      <c r="AI62" s="96"/>
      <c r="AJ62" s="281"/>
      <c r="AK62" s="282"/>
      <c r="AL62" s="100"/>
      <c r="AM62" s="96"/>
      <c r="AN62" s="281"/>
      <c r="AO62" s="282"/>
      <c r="AP62" s="100"/>
      <c r="AQ62" s="96"/>
      <c r="AR62" s="271"/>
      <c r="AS62" s="272"/>
      <c r="AT62" s="100"/>
      <c r="AU62" s="96"/>
      <c r="AV62" s="271"/>
      <c r="AW62" s="272"/>
      <c r="AX62" s="100"/>
    </row>
    <row r="63" spans="1:62">
      <c r="C63" s="96"/>
      <c r="D63" s="271"/>
      <c r="E63" s="272"/>
      <c r="F63" s="98"/>
      <c r="G63" s="96"/>
      <c r="H63" s="271"/>
      <c r="I63" s="272"/>
      <c r="J63" s="100"/>
      <c r="K63" s="96"/>
      <c r="L63" s="271"/>
      <c r="M63" s="272"/>
      <c r="N63" s="100"/>
      <c r="O63" s="96"/>
      <c r="P63" s="271"/>
      <c r="Q63" s="272"/>
      <c r="R63" s="100"/>
      <c r="S63" s="96"/>
      <c r="T63" s="279"/>
      <c r="U63" s="280"/>
      <c r="V63" s="100"/>
      <c r="W63" s="96"/>
      <c r="X63" s="281"/>
      <c r="Y63" s="282"/>
      <c r="Z63" s="100"/>
      <c r="AA63" s="96"/>
      <c r="AB63" s="281"/>
      <c r="AC63" s="282"/>
      <c r="AD63" s="100"/>
      <c r="AE63" s="96"/>
      <c r="AF63" s="281"/>
      <c r="AG63" s="282"/>
      <c r="AH63" s="100"/>
      <c r="AI63" s="96"/>
      <c r="AJ63" s="281"/>
      <c r="AK63" s="282"/>
      <c r="AL63" s="100"/>
      <c r="AM63" s="96"/>
      <c r="AN63" s="281"/>
      <c r="AO63" s="282"/>
      <c r="AP63" s="100"/>
      <c r="AQ63" s="96"/>
      <c r="AR63" s="271"/>
      <c r="AS63" s="272"/>
      <c r="AT63" s="100"/>
      <c r="AU63" s="96"/>
      <c r="AV63" s="271"/>
      <c r="AW63" s="272"/>
      <c r="AX63" s="100"/>
    </row>
    <row r="64" spans="1:62">
      <c r="C64" s="96"/>
      <c r="D64" s="271"/>
      <c r="E64" s="272"/>
      <c r="F64" s="98"/>
      <c r="G64" s="96"/>
      <c r="H64" s="271"/>
      <c r="I64" s="272"/>
      <c r="J64" s="100"/>
      <c r="K64" s="96"/>
      <c r="L64" s="271"/>
      <c r="M64" s="272"/>
      <c r="N64" s="100"/>
      <c r="O64" s="96"/>
      <c r="P64" s="271"/>
      <c r="Q64" s="272"/>
      <c r="R64" s="100"/>
      <c r="S64" s="96"/>
      <c r="T64" s="279"/>
      <c r="U64" s="280"/>
      <c r="V64" s="100"/>
      <c r="W64" s="96"/>
      <c r="X64" s="281"/>
      <c r="Y64" s="282"/>
      <c r="Z64" s="100"/>
      <c r="AA64" s="96"/>
      <c r="AB64" s="281"/>
      <c r="AC64" s="282"/>
      <c r="AD64" s="100"/>
      <c r="AE64" s="96"/>
      <c r="AF64" s="281"/>
      <c r="AG64" s="282"/>
      <c r="AH64" s="100"/>
      <c r="AI64" s="96"/>
      <c r="AJ64" s="281"/>
      <c r="AK64" s="282"/>
      <c r="AL64" s="100"/>
      <c r="AM64" s="96"/>
      <c r="AN64" s="281"/>
      <c r="AO64" s="282"/>
      <c r="AP64" s="100"/>
      <c r="AQ64" s="96"/>
      <c r="AR64" s="271"/>
      <c r="AS64" s="272"/>
      <c r="AT64" s="100"/>
      <c r="AU64" s="96"/>
      <c r="AV64" s="271"/>
      <c r="AW64" s="272"/>
      <c r="AX64" s="100"/>
    </row>
    <row r="65" spans="1:50">
      <c r="C65" s="96"/>
      <c r="D65" s="271"/>
      <c r="E65" s="272"/>
      <c r="F65" s="98"/>
      <c r="G65" s="96"/>
      <c r="H65" s="271"/>
      <c r="I65" s="272"/>
      <c r="J65" s="100"/>
      <c r="K65" s="96"/>
      <c r="L65" s="271"/>
      <c r="M65" s="272"/>
      <c r="N65" s="100"/>
      <c r="O65" s="96"/>
      <c r="P65" s="271"/>
      <c r="Q65" s="272"/>
      <c r="R65" s="100"/>
      <c r="S65" s="96"/>
      <c r="T65" s="279"/>
      <c r="U65" s="280"/>
      <c r="V65" s="100"/>
      <c r="W65" s="96"/>
      <c r="X65" s="281"/>
      <c r="Y65" s="282"/>
      <c r="Z65" s="100"/>
      <c r="AA65" s="96"/>
      <c r="AB65" s="281"/>
      <c r="AC65" s="282"/>
      <c r="AD65" s="100"/>
      <c r="AE65" s="96"/>
      <c r="AF65" s="281"/>
      <c r="AG65" s="282"/>
      <c r="AH65" s="100"/>
      <c r="AI65" s="96"/>
      <c r="AJ65" s="281"/>
      <c r="AK65" s="282"/>
      <c r="AL65" s="100"/>
      <c r="AM65" s="96"/>
      <c r="AN65" s="281"/>
      <c r="AO65" s="282"/>
      <c r="AP65" s="100"/>
      <c r="AQ65" s="96"/>
      <c r="AR65" s="271"/>
      <c r="AS65" s="272"/>
      <c r="AT65" s="100"/>
      <c r="AU65" s="96"/>
      <c r="AV65" s="271"/>
      <c r="AW65" s="272"/>
      <c r="AX65" s="100"/>
    </row>
    <row r="66" spans="1:50">
      <c r="C66" s="96"/>
      <c r="D66" s="271"/>
      <c r="E66" s="272"/>
      <c r="F66" s="98"/>
      <c r="G66" s="96"/>
      <c r="H66" s="271"/>
      <c r="I66" s="272"/>
      <c r="J66" s="100"/>
      <c r="K66" s="96"/>
      <c r="L66" s="271"/>
      <c r="M66" s="272"/>
      <c r="N66" s="100"/>
      <c r="O66" s="96"/>
      <c r="P66" s="271"/>
      <c r="Q66" s="272"/>
      <c r="R66" s="100"/>
      <c r="S66" s="96"/>
      <c r="T66" s="281"/>
      <c r="U66" s="282"/>
      <c r="V66" s="100"/>
      <c r="W66" s="96"/>
      <c r="X66" s="281"/>
      <c r="Y66" s="282"/>
      <c r="Z66" s="100"/>
      <c r="AA66" s="96"/>
      <c r="AB66" s="281"/>
      <c r="AC66" s="282"/>
      <c r="AD66" s="100"/>
      <c r="AE66" s="96"/>
      <c r="AF66" s="281"/>
      <c r="AG66" s="282"/>
      <c r="AH66" s="100"/>
      <c r="AI66" s="96"/>
      <c r="AJ66" s="281"/>
      <c r="AK66" s="282"/>
      <c r="AL66" s="100"/>
      <c r="AM66" s="96"/>
      <c r="AN66" s="281"/>
      <c r="AO66" s="282"/>
      <c r="AP66" s="100"/>
      <c r="AQ66" s="96"/>
      <c r="AR66" s="271"/>
      <c r="AS66" s="272"/>
      <c r="AT66" s="100"/>
      <c r="AU66" s="96"/>
      <c r="AV66" s="271"/>
      <c r="AW66" s="272"/>
      <c r="AX66" s="100"/>
    </row>
    <row r="67" spans="1:50">
      <c r="C67" s="96"/>
      <c r="D67" s="271"/>
      <c r="E67" s="272"/>
      <c r="F67" s="98"/>
      <c r="G67" s="96"/>
      <c r="H67" s="271"/>
      <c r="I67" s="272"/>
      <c r="J67" s="100"/>
      <c r="K67" s="96"/>
      <c r="L67" s="271"/>
      <c r="M67" s="272"/>
      <c r="N67" s="100"/>
      <c r="O67" s="96"/>
      <c r="P67" s="271"/>
      <c r="Q67" s="272"/>
      <c r="R67" s="100"/>
      <c r="S67" s="96"/>
      <c r="T67" s="281"/>
      <c r="U67" s="282"/>
      <c r="V67" s="100"/>
      <c r="W67" s="96"/>
      <c r="X67" s="281"/>
      <c r="Y67" s="282"/>
      <c r="Z67" s="100"/>
      <c r="AA67" s="96"/>
      <c r="AB67" s="281"/>
      <c r="AC67" s="282"/>
      <c r="AD67" s="100"/>
      <c r="AE67" s="96"/>
      <c r="AF67" s="281"/>
      <c r="AG67" s="282"/>
      <c r="AH67" s="100"/>
      <c r="AI67" s="96"/>
      <c r="AJ67" s="281"/>
      <c r="AK67" s="282"/>
      <c r="AL67" s="100"/>
      <c r="AM67" s="96"/>
      <c r="AN67" s="281"/>
      <c r="AO67" s="282"/>
      <c r="AP67" s="100"/>
      <c r="AQ67" s="96"/>
      <c r="AR67" s="271"/>
      <c r="AS67" s="272"/>
      <c r="AT67" s="100"/>
      <c r="AU67" s="96"/>
      <c r="AV67" s="271"/>
      <c r="AW67" s="272"/>
      <c r="AX67" s="100"/>
    </row>
    <row r="68" spans="1:50">
      <c r="C68" s="96"/>
      <c r="D68" s="271"/>
      <c r="E68" s="272"/>
      <c r="F68" s="98"/>
      <c r="G68" s="96"/>
      <c r="H68" s="271"/>
      <c r="I68" s="272"/>
      <c r="J68" s="100"/>
      <c r="K68" s="96"/>
      <c r="L68" s="271"/>
      <c r="M68" s="272"/>
      <c r="N68" s="100"/>
      <c r="O68" s="96"/>
      <c r="P68" s="271"/>
      <c r="Q68" s="272"/>
      <c r="R68" s="100"/>
      <c r="S68" s="96"/>
      <c r="T68" s="281"/>
      <c r="U68" s="282"/>
      <c r="V68" s="100"/>
      <c r="W68" s="96"/>
      <c r="X68" s="281"/>
      <c r="Y68" s="282"/>
      <c r="Z68" s="100"/>
      <c r="AA68" s="96"/>
      <c r="AB68" s="281"/>
      <c r="AC68" s="282"/>
      <c r="AD68" s="100"/>
      <c r="AE68" s="96"/>
      <c r="AF68" s="281"/>
      <c r="AG68" s="282"/>
      <c r="AH68" s="100"/>
      <c r="AI68" s="96"/>
      <c r="AJ68" s="281"/>
      <c r="AK68" s="282"/>
      <c r="AL68" s="100"/>
      <c r="AM68" s="96"/>
      <c r="AN68" s="281"/>
      <c r="AO68" s="282"/>
      <c r="AP68" s="100"/>
      <c r="AQ68" s="96"/>
      <c r="AR68" s="271"/>
      <c r="AS68" s="272"/>
      <c r="AT68" s="100"/>
      <c r="AU68" s="96"/>
      <c r="AV68" s="271"/>
      <c r="AW68" s="272"/>
      <c r="AX68" s="100"/>
    </row>
    <row r="69" spans="1:50">
      <c r="C69" s="96"/>
      <c r="D69" s="271"/>
      <c r="E69" s="272"/>
      <c r="F69" s="98"/>
      <c r="G69" s="96"/>
      <c r="H69" s="271"/>
      <c r="I69" s="272"/>
      <c r="J69" s="100"/>
      <c r="K69" s="96"/>
      <c r="L69" s="271"/>
      <c r="M69" s="272"/>
      <c r="N69" s="100"/>
      <c r="O69" s="96"/>
      <c r="P69" s="271"/>
      <c r="Q69" s="272"/>
      <c r="R69" s="100"/>
      <c r="S69" s="96"/>
      <c r="T69" s="281"/>
      <c r="U69" s="282"/>
      <c r="V69" s="100"/>
      <c r="W69" s="96"/>
      <c r="X69" s="281"/>
      <c r="Y69" s="282"/>
      <c r="Z69" s="100"/>
      <c r="AA69" s="96"/>
      <c r="AB69" s="281"/>
      <c r="AC69" s="282"/>
      <c r="AD69" s="100"/>
      <c r="AE69" s="96"/>
      <c r="AF69" s="281"/>
      <c r="AG69" s="282"/>
      <c r="AH69" s="100"/>
      <c r="AI69" s="96"/>
      <c r="AJ69" s="281"/>
      <c r="AK69" s="282"/>
      <c r="AL69" s="100"/>
      <c r="AM69" s="96"/>
      <c r="AN69" s="281"/>
      <c r="AO69" s="282"/>
      <c r="AP69" s="100"/>
      <c r="AQ69" s="96"/>
      <c r="AR69" s="271"/>
      <c r="AS69" s="272"/>
      <c r="AT69" s="100"/>
      <c r="AU69" s="96"/>
      <c r="AV69" s="271"/>
      <c r="AW69" s="272"/>
      <c r="AX69" s="100"/>
    </row>
    <row r="70" spans="1:50">
      <c r="C70" s="96"/>
      <c r="D70" s="271"/>
      <c r="E70" s="272"/>
      <c r="F70" s="98"/>
      <c r="G70" s="96"/>
      <c r="H70" s="271"/>
      <c r="I70" s="272"/>
      <c r="J70" s="100"/>
      <c r="K70" s="96"/>
      <c r="L70" s="271"/>
      <c r="M70" s="272"/>
      <c r="N70" s="100"/>
      <c r="O70" s="96"/>
      <c r="P70" s="271"/>
      <c r="Q70" s="272"/>
      <c r="R70" s="100"/>
      <c r="S70" s="96"/>
      <c r="T70" s="281"/>
      <c r="U70" s="282"/>
      <c r="V70" s="100"/>
      <c r="W70" s="96"/>
      <c r="X70" s="271" t="s">
        <v>172</v>
      </c>
      <c r="Y70" s="272"/>
      <c r="Z70" s="100">
        <f>3289.11+270.87</f>
        <v>3559.98</v>
      </c>
      <c r="AA70" s="96"/>
      <c r="AB70" s="281"/>
      <c r="AC70" s="282"/>
      <c r="AD70" s="100"/>
      <c r="AE70" s="96"/>
      <c r="AF70" s="281"/>
      <c r="AG70" s="282"/>
      <c r="AH70" s="100"/>
      <c r="AI70" s="96"/>
      <c r="AJ70" s="281"/>
      <c r="AK70" s="282"/>
      <c r="AL70" s="100"/>
      <c r="AM70" s="96"/>
      <c r="AN70" s="281"/>
      <c r="AO70" s="282"/>
      <c r="AP70" s="100"/>
      <c r="AQ70" s="96"/>
      <c r="AR70" s="271"/>
      <c r="AS70" s="272"/>
      <c r="AT70" s="100"/>
      <c r="AU70" s="96"/>
      <c r="AV70" s="271"/>
      <c r="AW70" s="272"/>
      <c r="AX70" s="100"/>
    </row>
    <row r="71" spans="1:50" ht="15.75" thickBot="1">
      <c r="C71" s="97"/>
      <c r="D71" s="269"/>
      <c r="E71" s="270"/>
      <c r="F71" s="99"/>
      <c r="G71" s="97"/>
      <c r="H71" s="269"/>
      <c r="I71" s="270"/>
      <c r="J71" s="101"/>
      <c r="K71" s="97"/>
      <c r="L71" s="269"/>
      <c r="M71" s="270"/>
      <c r="N71" s="101"/>
      <c r="O71" s="97"/>
      <c r="P71" s="269"/>
      <c r="Q71" s="270"/>
      <c r="R71" s="101"/>
      <c r="S71" s="97"/>
      <c r="T71" s="283"/>
      <c r="U71" s="284"/>
      <c r="V71" s="101"/>
      <c r="W71" s="97"/>
      <c r="X71" s="285" t="s">
        <v>173</v>
      </c>
      <c r="Y71" s="286"/>
      <c r="Z71" s="101">
        <f>Z70-1484.91-429.89</f>
        <v>1645.1799999999998</v>
      </c>
      <c r="AA71" s="97"/>
      <c r="AB71" s="283"/>
      <c r="AC71" s="284"/>
      <c r="AD71" s="101"/>
      <c r="AE71" s="97"/>
      <c r="AF71" s="283"/>
      <c r="AG71" s="284"/>
      <c r="AH71" s="101"/>
      <c r="AI71" s="97"/>
      <c r="AJ71" s="283"/>
      <c r="AK71" s="284"/>
      <c r="AL71" s="101"/>
      <c r="AM71" s="97"/>
      <c r="AN71" s="283"/>
      <c r="AO71" s="284"/>
      <c r="AP71" s="101"/>
      <c r="AQ71" s="97"/>
      <c r="AR71" s="269"/>
      <c r="AS71" s="270"/>
      <c r="AT71" s="101"/>
      <c r="AU71" s="97"/>
      <c r="AV71" s="269"/>
      <c r="AW71" s="270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50</v>
      </c>
      <c r="F73">
        <f>F72*20</f>
        <v>21.799999999999997</v>
      </c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14</v>
      </c>
      <c r="D75">
        <f>C75*D74</f>
        <v>45.161290322580641</v>
      </c>
      <c r="Z75" s="111"/>
    </row>
    <row r="76" spans="1:50">
      <c r="D76">
        <f>D75-D73</f>
        <v>-4.8387096774193594</v>
      </c>
    </row>
    <row r="80" spans="1:50">
      <c r="G80" s="114">
        <v>42663</v>
      </c>
    </row>
    <row r="81" spans="7:8">
      <c r="G81" s="114">
        <v>42646</v>
      </c>
      <c r="H81">
        <f>_xlfn.DAYS(G80,G81)</f>
        <v>17</v>
      </c>
    </row>
    <row r="82" spans="7:8">
      <c r="G82" s="114">
        <v>42905</v>
      </c>
    </row>
    <row r="83" spans="7:8">
      <c r="G83" s="114">
        <v>42843</v>
      </c>
      <c r="H83">
        <f t="shared" ref="H83:H91" si="24">_xlfn.DAYS(G82,G83)</f>
        <v>62</v>
      </c>
    </row>
    <row r="84" spans="7:8">
      <c r="H84">
        <f>SUM(H81,H83)/7</f>
        <v>11.285714285714286</v>
      </c>
    </row>
    <row r="85" spans="7:8">
      <c r="H85">
        <f>H84*4</f>
        <v>45.142857142857146</v>
      </c>
    </row>
    <row r="86" spans="7:8">
      <c r="G86" s="114">
        <v>43269</v>
      </c>
    </row>
    <row r="87" spans="7:8">
      <c r="G87" s="114">
        <v>42989</v>
      </c>
      <c r="H87">
        <f t="shared" si="24"/>
        <v>280</v>
      </c>
    </row>
    <row r="88" spans="7:8">
      <c r="H88">
        <f>H87/7</f>
        <v>40</v>
      </c>
    </row>
    <row r="89" spans="7:8">
      <c r="H89">
        <f>H88*6</f>
        <v>240</v>
      </c>
    </row>
    <row r="90" spans="7:8">
      <c r="G90" s="114">
        <v>43633</v>
      </c>
    </row>
    <row r="91" spans="7:8">
      <c r="G91" s="114">
        <v>43353</v>
      </c>
      <c r="H91">
        <f t="shared" si="24"/>
        <v>280</v>
      </c>
    </row>
    <row r="92" spans="7:8">
      <c r="H92">
        <f>H91/7</f>
        <v>40</v>
      </c>
    </row>
    <row r="93" spans="7:8">
      <c r="H93">
        <f>H92*6.5</f>
        <v>260</v>
      </c>
    </row>
    <row r="96" spans="7:8">
      <c r="H96">
        <f>H85+H89+H93</f>
        <v>545.14285714285711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'08'!A6+(B6-SUM(D6:F6))</f>
        <v>2806.62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'08'!A7+(B7-SUM(D7:F7))</f>
        <v>1067.9100000000003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'08'!A13+(B13-SUM(D13:F13))</f>
        <v>46.5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4449.4400000000005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'08'!A27+(B27-SUM(D27:F27))</f>
        <v>1208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7717.01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425.66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3221.8300000000022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2623.58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3206.21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'09'!A7+(B7-SUM(D7:F7))</f>
        <v>1138.0900000000004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'09'!A13+(B13-SUM(D13:F13))</f>
        <v>53.5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4993.4400000000005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'09'!A27+(B27-SUM(D27:F27))</f>
        <v>1378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8845.01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496.66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3247.3600000000024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3003.05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'10'!A6+(B6-SUM(D6:F6))</f>
        <v>3605.8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'10'!A7+(B7-SUM(D7:F7))</f>
        <v>1208.2700000000004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'10'!A13+(B13-SUM(D13:F13))</f>
        <v>60.5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5537.4400000000005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'10'!A27+(B27-SUM(D27:F27))</f>
        <v>1548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9973.01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567.66000000000008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3272.8900000000026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3382.52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'11'!A6+(B6-SUM(D6:F6))</f>
        <v>4005.3900000000003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'11'!A7+(B7-SUM(D7:F7))</f>
        <v>1278.4500000000005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'11'!A13+(B13-SUM(D13:F13))</f>
        <v>67.5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6081.4400000000014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'11'!A27+(B27-SUM(D27:F27))</f>
        <v>1718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11101.01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638.66000000000008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3298.4200000000028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3761.9900000000002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9423.4200000000019</v>
      </c>
      <c r="I63" s="119">
        <f>H63-D62</f>
        <v>-63.499999999979991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>
        <v>2018</v>
      </c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3">
        <v>2901.68</v>
      </c>
      <c r="L5" s="3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07">
        <v>620.05999999999995</v>
      </c>
      <c r="L6" s="30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07">
        <v>8035.29</v>
      </c>
      <c r="L7" s="30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07">
        <v>659.39</v>
      </c>
      <c r="L9" s="30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07">
        <f>240+35</f>
        <v>275</v>
      </c>
      <c r="L11" s="30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09">
        <f>SUM(K5:K18)</f>
        <v>26383.54</v>
      </c>
      <c r="L19" s="31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12"/>
      <c r="I22" s="31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12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2" t="str">
        <f>AÑO!A8</f>
        <v>Manolo Salario</v>
      </c>
      <c r="J25" s="315" t="s">
        <v>294</v>
      </c>
      <c r="K25" s="31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13"/>
      <c r="J26" s="317"/>
      <c r="K26" s="31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13"/>
      <c r="J27" s="317"/>
      <c r="K27" s="31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13"/>
      <c r="J28" s="317"/>
      <c r="K28" s="31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4"/>
      <c r="J29" s="319"/>
      <c r="K29" s="32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2" t="str">
        <f>AÑO!A9</f>
        <v>Rocío Salario</v>
      </c>
      <c r="J30" s="315" t="s">
        <v>241</v>
      </c>
      <c r="K30" s="31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13"/>
      <c r="J31" s="317" t="s">
        <v>259</v>
      </c>
      <c r="K31" s="31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13"/>
      <c r="J32" s="325" t="s">
        <v>270</v>
      </c>
      <c r="K32" s="31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13"/>
      <c r="J33" s="317"/>
      <c r="K33" s="31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4"/>
      <c r="J34" s="319"/>
      <c r="K34" s="32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2" t="s">
        <v>221</v>
      </c>
      <c r="J35" s="315" t="s">
        <v>309</v>
      </c>
      <c r="K35" s="31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13"/>
      <c r="J36" s="317"/>
      <c r="K36" s="31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13"/>
      <c r="J37" s="317"/>
      <c r="K37" s="31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13"/>
      <c r="J38" s="317"/>
      <c r="K38" s="31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4"/>
      <c r="J39" s="319"/>
      <c r="K39" s="32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2" t="str">
        <f>AÑO!A11</f>
        <v>Finanazas</v>
      </c>
      <c r="J40" s="315" t="s">
        <v>242</v>
      </c>
      <c r="K40" s="31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13"/>
      <c r="J41" s="317" t="s">
        <v>243</v>
      </c>
      <c r="K41" s="318"/>
      <c r="L41" s="229">
        <v>1.87</v>
      </c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12"/>
      <c r="I42" s="313"/>
      <c r="J42" s="317" t="s">
        <v>272</v>
      </c>
      <c r="K42" s="318"/>
      <c r="L42" s="229">
        <v>0.02</v>
      </c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313"/>
      <c r="J43" s="317"/>
      <c r="K43" s="318"/>
      <c r="L43" s="22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12"/>
      <c r="I44" s="314"/>
      <c r="J44" s="319"/>
      <c r="K44" s="32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2" t="str">
        <f>AÑO!A12</f>
        <v>Regalos</v>
      </c>
      <c r="J45" s="315" t="s">
        <v>302</v>
      </c>
      <c r="K45" s="31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13"/>
      <c r="J46" s="317"/>
      <c r="K46" s="31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13"/>
      <c r="J47" s="317"/>
      <c r="K47" s="31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13"/>
      <c r="J48" s="317"/>
      <c r="K48" s="31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4"/>
      <c r="J49" s="319"/>
      <c r="K49" s="32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2" t="str">
        <f>AÑO!A13</f>
        <v>Gubernamental</v>
      </c>
      <c r="J50" s="315" t="s">
        <v>262</v>
      </c>
      <c r="K50" s="31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13"/>
      <c r="J51" s="317"/>
      <c r="K51" s="31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13"/>
      <c r="J52" s="317"/>
      <c r="K52" s="31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13"/>
      <c r="J53" s="317"/>
      <c r="K53" s="31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4"/>
      <c r="J54" s="319"/>
      <c r="K54" s="32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2" t="str">
        <f>AÑO!A14</f>
        <v>Mutualite/DKV</v>
      </c>
      <c r="J55" s="315"/>
      <c r="K55" s="31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13"/>
      <c r="J56" s="317"/>
      <c r="K56" s="31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13"/>
      <c r="J57" s="317"/>
      <c r="K57" s="31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13"/>
      <c r="J58" s="317"/>
      <c r="K58" s="31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4"/>
      <c r="J59" s="319"/>
      <c r="K59" s="32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2" t="str">
        <f>AÑO!A15</f>
        <v>Alquiler Cartama</v>
      </c>
      <c r="J60" s="315"/>
      <c r="K60" s="31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13"/>
      <c r="J61" s="317"/>
      <c r="K61" s="318"/>
      <c r="L61" s="22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12"/>
      <c r="I62" s="313"/>
      <c r="J62" s="317"/>
      <c r="K62" s="318"/>
      <c r="L62" s="22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313"/>
      <c r="J63" s="317"/>
      <c r="K63" s="318"/>
      <c r="L63" s="22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12"/>
      <c r="I64" s="314"/>
      <c r="J64" s="319"/>
      <c r="K64" s="320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2" t="str">
        <f>AÑO!A16</f>
        <v>Otros</v>
      </c>
      <c r="J65" s="315" t="s">
        <v>299</v>
      </c>
      <c r="K65" s="31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13"/>
      <c r="J66" s="317"/>
      <c r="K66" s="31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13"/>
      <c r="J67" s="317"/>
      <c r="K67" s="31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13"/>
      <c r="J68" s="317"/>
      <c r="K68" s="31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28"/>
      <c r="J69" s="329"/>
      <c r="K69" s="33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293" t="s">
        <v>8</v>
      </c>
      <c r="C204" s="294"/>
      <c r="D204" s="301" t="s">
        <v>9</v>
      </c>
      <c r="E204" s="301"/>
      <c r="F204" s="301"/>
      <c r="G204" s="29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295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293" t="s">
        <v>8</v>
      </c>
      <c r="C224" s="294"/>
      <c r="D224" s="301" t="s">
        <v>9</v>
      </c>
      <c r="E224" s="301"/>
      <c r="F224" s="301"/>
      <c r="G224" s="29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295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293" t="s">
        <v>8</v>
      </c>
      <c r="C244" s="294"/>
      <c r="D244" s="301" t="s">
        <v>9</v>
      </c>
      <c r="E244" s="301"/>
      <c r="F244" s="301"/>
      <c r="G244" s="29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295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293" t="s">
        <v>8</v>
      </c>
      <c r="C264" s="294"/>
      <c r="D264" s="301" t="s">
        <v>9</v>
      </c>
      <c r="E264" s="301"/>
      <c r="F264" s="301"/>
      <c r="G264" s="29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293" t="s">
        <v>8</v>
      </c>
      <c r="C284" s="294"/>
      <c r="D284" s="301" t="s">
        <v>9</v>
      </c>
      <c r="E284" s="301"/>
      <c r="F284" s="301"/>
      <c r="G284" s="29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293" t="s">
        <v>8</v>
      </c>
      <c r="C304" s="294"/>
      <c r="D304" s="301" t="s">
        <v>9</v>
      </c>
      <c r="E304" s="301"/>
      <c r="F304" s="301"/>
      <c r="G304" s="29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295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293" t="s">
        <v>8</v>
      </c>
      <c r="C324" s="294"/>
      <c r="D324" s="301" t="s">
        <v>9</v>
      </c>
      <c r="E324" s="301"/>
      <c r="F324" s="301"/>
      <c r="G324" s="29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295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293" t="s">
        <v>8</v>
      </c>
      <c r="C344" s="294"/>
      <c r="D344" s="301" t="s">
        <v>9</v>
      </c>
      <c r="E344" s="301"/>
      <c r="F344" s="301"/>
      <c r="G344" s="29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295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293" t="s">
        <v>8</v>
      </c>
      <c r="C364" s="294"/>
      <c r="D364" s="301" t="s">
        <v>9</v>
      </c>
      <c r="E364" s="301"/>
      <c r="F364" s="301"/>
      <c r="G364" s="29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295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293" t="s">
        <v>8</v>
      </c>
      <c r="C384" s="294"/>
      <c r="D384" s="301" t="s">
        <v>9</v>
      </c>
      <c r="E384" s="301"/>
      <c r="F384" s="301"/>
      <c r="G384" s="29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295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293" t="s">
        <v>8</v>
      </c>
      <c r="C404" s="294"/>
      <c r="D404" s="301" t="s">
        <v>9</v>
      </c>
      <c r="E404" s="301"/>
      <c r="F404" s="301"/>
      <c r="G404" s="29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295" t="str">
        <f>AÑO!A41</f>
        <v>Ahorros Colchón</v>
      </c>
      <c r="C422" s="296"/>
      <c r="D422" s="296"/>
      <c r="E422" s="296"/>
      <c r="F422" s="296"/>
      <c r="G422" s="297"/>
      <c r="H422" s="112"/>
    </row>
    <row r="423" spans="1:8" ht="15" customHeight="1" thickBot="1">
      <c r="B423" s="298"/>
      <c r="C423" s="299"/>
      <c r="D423" s="299"/>
      <c r="E423" s="299"/>
      <c r="F423" s="299"/>
      <c r="G423" s="300"/>
      <c r="H423" s="112"/>
    </row>
    <row r="424" spans="1:8" ht="15.75">
      <c r="B424" s="293" t="s">
        <v>8</v>
      </c>
      <c r="C424" s="294"/>
      <c r="D424" s="301" t="s">
        <v>9</v>
      </c>
      <c r="E424" s="301"/>
      <c r="F424" s="301"/>
      <c r="G424" s="294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295" t="str">
        <f>AÑO!A42</f>
        <v>Dinero Bloqueado</v>
      </c>
      <c r="C442" s="296"/>
      <c r="D442" s="296"/>
      <c r="E442" s="296"/>
      <c r="F442" s="296"/>
      <c r="G442" s="297"/>
      <c r="H442" s="112"/>
    </row>
    <row r="443" spans="2:8" ht="15" customHeight="1" thickBot="1">
      <c r="B443" s="298"/>
      <c r="C443" s="299"/>
      <c r="D443" s="299"/>
      <c r="E443" s="299"/>
      <c r="F443" s="299"/>
      <c r="G443" s="300"/>
      <c r="H443" s="112"/>
    </row>
    <row r="444" spans="2:8" ht="15.75">
      <c r="B444" s="293" t="s">
        <v>8</v>
      </c>
      <c r="C444" s="294"/>
      <c r="D444" s="301" t="s">
        <v>9</v>
      </c>
      <c r="E444" s="301"/>
      <c r="F444" s="301"/>
      <c r="G444" s="29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295" t="str">
        <f>AÑO!A43</f>
        <v>Cartama Finanazas</v>
      </c>
      <c r="C462" s="296"/>
      <c r="D462" s="296"/>
      <c r="E462" s="296"/>
      <c r="F462" s="296"/>
      <c r="G462" s="297"/>
      <c r="H462" s="112"/>
    </row>
    <row r="463" spans="2:8" ht="15" customHeight="1" thickBot="1">
      <c r="B463" s="298"/>
      <c r="C463" s="299"/>
      <c r="D463" s="299"/>
      <c r="E463" s="299"/>
      <c r="F463" s="299"/>
      <c r="G463" s="300"/>
      <c r="H463" s="112"/>
    </row>
    <row r="464" spans="2:8" ht="15.75">
      <c r="B464" s="293" t="s">
        <v>8</v>
      </c>
      <c r="C464" s="294"/>
      <c r="D464" s="301" t="s">
        <v>9</v>
      </c>
      <c r="E464" s="301"/>
      <c r="F464" s="301"/>
      <c r="G464" s="294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295" t="str">
        <f>AÑO!A44</f>
        <v>NULO</v>
      </c>
      <c r="C482" s="296"/>
      <c r="D482" s="296"/>
      <c r="E482" s="296"/>
      <c r="F482" s="296"/>
      <c r="G482" s="297"/>
      <c r="H482" s="112"/>
    </row>
    <row r="483" spans="2:8" ht="15" customHeight="1" thickBot="1">
      <c r="B483" s="298"/>
      <c r="C483" s="299"/>
      <c r="D483" s="299"/>
      <c r="E483" s="299"/>
      <c r="F483" s="299"/>
      <c r="G483" s="300"/>
      <c r="H483" s="112"/>
    </row>
    <row r="484" spans="2:8" ht="15.75">
      <c r="B484" s="293" t="s">
        <v>8</v>
      </c>
      <c r="C484" s="294"/>
      <c r="D484" s="301" t="s">
        <v>9</v>
      </c>
      <c r="E484" s="301"/>
      <c r="F484" s="301"/>
      <c r="G484" s="29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295" t="str">
        <f>AÑO!A45</f>
        <v>OTROS</v>
      </c>
      <c r="C502" s="296"/>
      <c r="D502" s="296"/>
      <c r="E502" s="296"/>
      <c r="F502" s="296"/>
      <c r="G502" s="297"/>
      <c r="H502" s="112"/>
    </row>
    <row r="503" spans="2:8" ht="15" customHeight="1" thickBot="1">
      <c r="B503" s="298"/>
      <c r="C503" s="299"/>
      <c r="D503" s="299"/>
      <c r="E503" s="299"/>
      <c r="F503" s="299"/>
      <c r="G503" s="300"/>
      <c r="H503" s="112"/>
    </row>
    <row r="504" spans="2:8" ht="15.75">
      <c r="B504" s="293" t="s">
        <v>8</v>
      </c>
      <c r="C504" s="294"/>
      <c r="D504" s="301" t="s">
        <v>9</v>
      </c>
      <c r="E504" s="301"/>
      <c r="F504" s="301"/>
      <c r="G504" s="29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zoomScaleNormal="100" workbookViewId="0">
      <selection activeCell="E11" sqref="E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f>2397.48-4.45</f>
        <v>2393.0300000000002</v>
      </c>
      <c r="L5" s="3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>
        <f>7340.23-4.45</f>
        <v>7335.78</v>
      </c>
      <c r="L7" s="30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07">
        <v>7001.87</v>
      </c>
      <c r="L8" s="30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669.52</v>
      </c>
      <c r="L9" s="30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07">
        <f>160+155</f>
        <v>315</v>
      </c>
      <c r="L11" s="30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25229.379999999997</v>
      </c>
      <c r="L19" s="31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 t="s">
        <v>317</v>
      </c>
      <c r="K30" s="31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 t="s">
        <v>322</v>
      </c>
      <c r="K31" s="31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 t="s">
        <v>331</v>
      </c>
      <c r="K32" s="31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 t="s">
        <v>317</v>
      </c>
      <c r="K33" s="31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 t="s">
        <v>362</v>
      </c>
      <c r="K35" s="31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 t="s">
        <v>160</v>
      </c>
      <c r="K45" s="31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12" t="str">
        <f>AÑO!A13</f>
        <v>Gubernamental</v>
      </c>
      <c r="J50" s="315" t="s">
        <v>262</v>
      </c>
      <c r="K50" s="31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2" t="str">
        <f>AÑO!A15</f>
        <v>Alquiler Cartama</v>
      </c>
      <c r="J60" s="315" t="s">
        <v>318</v>
      </c>
      <c r="K60" s="31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13"/>
      <c r="J66" s="317"/>
      <c r="K66" s="31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13"/>
      <c r="J67" s="317"/>
      <c r="K67" s="31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13"/>
      <c r="J68" s="317"/>
      <c r="K68" s="31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28"/>
      <c r="J69" s="329"/>
      <c r="K69" s="33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8" ht="15" customHeight="1" thickBot="1">
      <c r="B423" s="298"/>
      <c r="C423" s="299"/>
      <c r="D423" s="299"/>
      <c r="E423" s="299"/>
      <c r="F423" s="299"/>
      <c r="G423" s="300"/>
    </row>
    <row r="424" spans="1:8">
      <c r="B424" s="293" t="s">
        <v>8</v>
      </c>
      <c r="C424" s="294"/>
      <c r="D424" s="301" t="s">
        <v>9</v>
      </c>
      <c r="E424" s="301"/>
      <c r="F424" s="301"/>
      <c r="G424" s="29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workbookViewId="0">
      <selection activeCell="H9" sqref="H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1559.34</v>
      </c>
      <c r="L5" s="324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>
        <v>8577.0300000000007</v>
      </c>
      <c r="L7" s="30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3501.87</v>
      </c>
      <c r="L8" s="30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07">
        <v>4167.34</v>
      </c>
      <c r="L9" s="30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07">
        <v>255</v>
      </c>
      <c r="L11" s="30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25574.760000000002</v>
      </c>
      <c r="L19" s="310"/>
      <c r="M19" s="1"/>
      <c r="N19" s="1"/>
      <c r="R19" s="3"/>
    </row>
    <row r="20" spans="1:18" ht="16.5" thickBot="1">
      <c r="A20" s="112">
        <f>SUM(A6:A15)</f>
        <v>1185.4399999999998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129.51999999999998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'02'!A27+(B27-SUM(D27:F27))</f>
        <v>188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 t="s">
        <v>366</v>
      </c>
      <c r="K30" s="31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 t="s">
        <v>241</v>
      </c>
      <c r="K31" s="31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 t="s">
        <v>331</v>
      </c>
      <c r="K32" s="31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949.01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 t="s">
        <v>383</v>
      </c>
      <c r="K45" s="31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12" t="str">
        <f>AÑO!A13</f>
        <v>Gubernamental</v>
      </c>
      <c r="J50" s="315" t="s">
        <v>262</v>
      </c>
      <c r="K50" s="31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269.10000000000002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 t="s">
        <v>370</v>
      </c>
      <c r="K60" s="31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'02'!A66+(B66-SUM(D66:F77))</f>
        <v>86.699999999999989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>
        <f>25</f>
        <v>25</v>
      </c>
      <c r="E67" s="138"/>
      <c r="F67" s="138"/>
      <c r="G67" s="31" t="s">
        <v>377</v>
      </c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-100</v>
      </c>
      <c r="B78" s="134"/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36.699999999999989</v>
      </c>
      <c r="B80" s="233">
        <f>SUM(B66:B79)</f>
        <v>170</v>
      </c>
      <c r="C80" s="17" t="s">
        <v>53</v>
      </c>
      <c r="D80" s="135">
        <f>SUM(D66:D79)</f>
        <v>25</v>
      </c>
      <c r="E80" s="135">
        <f>SUM(E66:E79)</f>
        <v>0</v>
      </c>
      <c r="F80" s="135">
        <f>SUM(F66:F79)</f>
        <v>148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49.03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3056.650000000001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415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73.66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-80.509999999999991</v>
      </c>
      <c r="B173" s="134"/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10.43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2:7" ht="15" customHeight="1"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46.21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45.36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/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</f>
        <v>19.649999999999999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19.649999999999999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2.2599999999999998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AÑO!K17</f>
        <v>1394.63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-2737.76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-2737.76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9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800.44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G11" sqref="G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296"/>
      <c r="D2" s="296"/>
      <c r="E2" s="296"/>
      <c r="F2" s="296"/>
      <c r="G2" s="297"/>
      <c r="H2" s="222"/>
      <c r="I2" s="311" t="s">
        <v>4</v>
      </c>
      <c r="J2" s="331"/>
      <c r="K2" s="331"/>
      <c r="L2" s="332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333"/>
      <c r="J3" s="334"/>
      <c r="K3" s="334"/>
      <c r="L3" s="335"/>
      <c r="M3" s="1"/>
      <c r="N3" s="1"/>
      <c r="R3" s="3"/>
    </row>
    <row r="4" spans="1:22" ht="15.75">
      <c r="A4" s="1"/>
      <c r="B4" s="293" t="s">
        <v>8</v>
      </c>
      <c r="C4" s="294"/>
      <c r="D4" s="293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'03'!A6+(B6-SUM(D6:F6))</f>
        <v>808.67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620.08000000000004</v>
      </c>
      <c r="L6" s="308"/>
      <c r="M6" s="1" t="s">
        <v>166</v>
      </c>
      <c r="N6" s="1"/>
      <c r="R6" s="3"/>
    </row>
    <row r="7" spans="1:22" ht="15.75">
      <c r="A7" s="112">
        <f>'03'!A7+(B7-SUM(D7:F7))</f>
        <v>717.01</v>
      </c>
      <c r="B7" s="134">
        <v>67.19</v>
      </c>
      <c r="C7" s="16" t="s">
        <v>203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3501.87</v>
      </c>
      <c r="L8" s="30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07">
        <v>4167.34</v>
      </c>
      <c r="L9" s="308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1802.02</v>
      </c>
      <c r="L10" s="308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6">
        <f>SUM(K5:K18)</f>
        <v>15183.390000000001</v>
      </c>
      <c r="L19" s="337"/>
      <c r="M19" s="1"/>
      <c r="N19" s="1"/>
      <c r="R19" s="3"/>
    </row>
    <row r="20" spans="1:18" ht="16.5" thickBot="1">
      <c r="A20" s="112">
        <f>SUM(A6:A15)</f>
        <v>1729.4399999999998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296"/>
      <c r="D22" s="296"/>
      <c r="E22" s="296"/>
      <c r="F22" s="296"/>
      <c r="G22" s="297"/>
      <c r="H22" s="1"/>
      <c r="I22" s="311" t="s">
        <v>6</v>
      </c>
      <c r="J22" s="331"/>
      <c r="K22" s="331"/>
      <c r="L22" s="332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333"/>
      <c r="J23" s="334"/>
      <c r="K23" s="334"/>
      <c r="L23" s="335"/>
      <c r="M23" s="1"/>
      <c r="R23" s="3"/>
    </row>
    <row r="24" spans="1:18" ht="15.75">
      <c r="A24" s="1"/>
      <c r="B24" s="293" t="s">
        <v>8</v>
      </c>
      <c r="C24" s="294"/>
      <c r="D24" s="293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'03'!A27+(B27-SUM(D27:F27))</f>
        <v>358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2077.0099999999998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296"/>
      <c r="D42" s="296"/>
      <c r="E42" s="296"/>
      <c r="F42" s="296"/>
      <c r="G42" s="297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293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409.65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296"/>
      <c r="D62" s="296"/>
      <c r="E62" s="296"/>
      <c r="F62" s="296"/>
      <c r="G62" s="297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293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12">
        <f>'03'!A66+(B66-SUM(D66:F78))</f>
        <v>246.7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306.7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93" t="s">
        <v>8</v>
      </c>
      <c r="C84" s="294"/>
      <c r="D84" s="293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93" t="s">
        <v>8</v>
      </c>
      <c r="C104" s="294"/>
      <c r="D104" s="293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3094.1800000000012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415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93" t="s">
        <v>8</v>
      </c>
      <c r="C124" s="294"/>
      <c r="D124" s="293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93" t="s">
        <v>8</v>
      </c>
      <c r="C144" s="294"/>
      <c r="D144" s="293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293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293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93" t="s">
        <v>8</v>
      </c>
      <c r="C204" s="294"/>
      <c r="D204" s="293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93" t="s">
        <v>8</v>
      </c>
      <c r="C224" s="294"/>
      <c r="D224" s="293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93" t="s">
        <v>8</v>
      </c>
      <c r="C244" s="294"/>
      <c r="D244" s="293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93" t="s">
        <v>8</v>
      </c>
      <c r="C264" s="294"/>
      <c r="D264" s="293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93" t="s">
        <v>8</v>
      </c>
      <c r="C284" s="294"/>
      <c r="D284" s="293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93" t="s">
        <v>8</v>
      </c>
      <c r="C304" s="294"/>
      <c r="D304" s="293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93" t="s">
        <v>8</v>
      </c>
      <c r="C324" s="294"/>
      <c r="D324" s="293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93" t="s">
        <v>8</v>
      </c>
      <c r="C344" s="294"/>
      <c r="D344" s="293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93" t="s">
        <v>8</v>
      </c>
      <c r="C364" s="294"/>
      <c r="D364" s="293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93" t="s">
        <v>8</v>
      </c>
      <c r="C384" s="294"/>
      <c r="D384" s="293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93" t="s">
        <v>8</v>
      </c>
      <c r="C404" s="294"/>
      <c r="D404" s="293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293" t="s">
        <v>9</v>
      </c>
      <c r="E424" s="301"/>
      <c r="F424" s="301"/>
      <c r="G424" s="294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293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293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220.22999999999996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293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293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B502:G503" location="AÑO!O45:R45" display="AÑO!O45:R45" xr:uid="{FBC72C1D-1C7F-4D21-B083-A6FC8D93F212}"/>
    <hyperlink ref="B502" location="Trimestre!C25:F26" display="HIPOTECA" xr:uid="{3DCAA52E-60F8-407B-A449-8A25679B9F64}"/>
    <hyperlink ref="B482:G483" location="AÑO!O44:R44" display="AÑO!O44:R44" xr:uid="{52D15B99-B292-48B1-A6C9-3E84168F14B3}"/>
    <hyperlink ref="B482" location="Trimestre!C25:F26" display="HIPOTECA" xr:uid="{131CD3EA-A31C-46C7-AE02-C7A976FE110C}"/>
    <hyperlink ref="B462:G463" location="AÑO!O43:R43" display="AÑO!O43:R43" xr:uid="{2EBFC5D9-2B72-478A-81F2-2CBF1376027A}"/>
    <hyperlink ref="B462" location="Trimestre!C25:F26" display="HIPOTECA" xr:uid="{85145CAD-5C35-4994-827C-F00B99E7AB68}"/>
    <hyperlink ref="B442:G443" location="AÑO!O42:R42" display="AÑO!O42:R42" xr:uid="{9A6EF33E-E372-49C8-B51E-946F7CFD7388}"/>
    <hyperlink ref="B442" location="Trimestre!C25:F26" display="HIPOTECA" xr:uid="{832F5AA0-5220-47BF-AE73-6E6AAA103D43}"/>
    <hyperlink ref="B422:G423" location="AÑO!O41:R41" display="AÑO!O41:R41" xr:uid="{958A1461-EE94-45AD-A69A-6B7A431F6B14}"/>
    <hyperlink ref="B422" location="Trimestre!C25:F26" display="HIPOTECA" xr:uid="{84E2FA59-3AAD-41D3-80DF-B493A60C3CD8}"/>
    <hyperlink ref="B402:G403" location="AÑO!O40:R40" display="AÑO!O40:R40" xr:uid="{3F08DE84-796B-4B86-B621-1893A3F1490B}"/>
    <hyperlink ref="B402" location="Trimestre!C25:F26" display="HIPOTECA" xr:uid="{46B41978-A62E-46C9-814B-AC87C3E1B5DE}"/>
    <hyperlink ref="B382:G383" location="AÑO!O39:R39" display="AÑO!O39:R39" xr:uid="{0012EE9B-2338-4331-85AA-C58844A21AD7}"/>
    <hyperlink ref="B382" location="Trimestre!C25:F26" display="HIPOTECA" xr:uid="{6367545F-D1F9-4B78-8C86-5A6A71BEA396}"/>
    <hyperlink ref="B362:G363" location="AÑO!O38:R38" display="AÑO!O38:R38" xr:uid="{C21D1625-A8EB-4B0C-B07D-DC43F63EDC27}"/>
    <hyperlink ref="B362" location="Trimestre!C25:F26" display="HIPOTECA" xr:uid="{30EE72BC-40B0-4D39-8416-21BECDE0DC9C}"/>
    <hyperlink ref="B342:G343" location="AÑO!O37:R37" display="AÑO!O37:R37" xr:uid="{C1BA7B51-5B59-4BB2-BAC3-8AB123098000}"/>
    <hyperlink ref="B342" location="Trimestre!C25:F26" display="HIPOTECA" xr:uid="{52F724C9-4B10-457E-8671-14534759B4FB}"/>
    <hyperlink ref="B322:G323" location="AÑO!O36:R36" display="AÑO!O36:R36" xr:uid="{86A9B0B8-6431-4C04-AC43-6AE43D7D4796}"/>
    <hyperlink ref="B322" location="Trimestre!C25:F26" display="HIPOTECA" xr:uid="{14483145-FEEB-4676-9C2A-0F198364F86E}"/>
    <hyperlink ref="B302:G303" location="AÑO!O35:R35" display="AÑO!O35:R35" xr:uid="{693310E9-9D24-4B09-AEAD-DC3B044A6BFC}"/>
    <hyperlink ref="B302" location="Trimestre!C25:F26" display="HIPOTECA" xr:uid="{855CC14F-386A-4F70-A439-4E819BD3AE4E}"/>
    <hyperlink ref="B282:G283" location="AÑO!O34:R34" display="AÑO!O34:R34" xr:uid="{B0F072AD-2ACC-43BF-9790-C11E8FD3F4D1}"/>
    <hyperlink ref="B282" location="Trimestre!C25:F26" display="HIPOTECA" xr:uid="{AC76F60C-746F-43B3-81B1-189DFE660FC4}"/>
    <hyperlink ref="B262:G263" location="AÑO!O33:R33" display="AÑO!O33:R33" xr:uid="{B97ADCE4-7A28-406E-93E2-D4706653F33F}"/>
    <hyperlink ref="B262" location="Trimestre!C25:F26" display="HIPOTECA" xr:uid="{C26F3764-2AA4-4BDA-8310-04866649202D}"/>
    <hyperlink ref="B242:G243" location="AÑO!O32:R32" display="AÑO!O32:R32" xr:uid="{7D963E9B-B58D-4E5A-9970-A428BC13E8A2}"/>
    <hyperlink ref="B242" location="Trimestre!C25:F26" display="HIPOTECA" xr:uid="{67BEEF44-960A-4CB1-B015-F5837DEA1630}"/>
    <hyperlink ref="B222:G223" location="AÑO!O31:R31" display="AÑO!O31:R31" xr:uid="{ABE81CAE-866B-447D-A93A-90DD27A7121A}"/>
    <hyperlink ref="B222" location="Trimestre!C25:F26" display="HIPOTECA" xr:uid="{EDCD2370-3767-4D17-82B4-96C96D4C1AD7}"/>
    <hyperlink ref="B202:G203" location="AÑO!O30:R30" display="AÑO!O30:R30" xr:uid="{C1B9FD7D-03C5-4F91-9949-47093BF8B09A}"/>
    <hyperlink ref="B202" location="Trimestre!C25:F26" display="HIPOTECA" xr:uid="{F7D931AF-CC84-43E0-98E6-A84F2C3642DB}"/>
    <hyperlink ref="B182:G183" location="AÑO!O29:R29" display="AÑO!O29:R29" xr:uid="{7A61FC09-26FF-41BB-ABF0-A6F66EC8E0C9}"/>
    <hyperlink ref="B182" location="Trimestre!C25:F26" display="HIPOTECA" xr:uid="{AB7CFA49-2C4B-48F9-985F-AE5E5A6E6E25}"/>
    <hyperlink ref="B162:G163" location="AÑO!O28:R28" display="AÑO!O28:R28" xr:uid="{09E67D11-5A84-42A2-AC1A-9E184A3AEDBA}"/>
    <hyperlink ref="B162" location="Trimestre!C25:F26" display="HIPOTECA" xr:uid="{3290C42D-5176-47BB-8A52-6129C142DFA6}"/>
    <hyperlink ref="B142:G143" location="AÑO!O27:R27" display="AÑO!O27:R27" xr:uid="{79E049A0-80CE-4566-8232-1C04F246641F}"/>
    <hyperlink ref="B142" location="Trimestre!C25:F26" display="HIPOTECA" xr:uid="{6E6068B0-3A15-4CAD-AFFF-5FFF226D10D1}"/>
    <hyperlink ref="B122:G123" location="AÑO!O26:R26" display="AÑO!O26:R26" xr:uid="{E97B3FB2-E1C8-4C0D-BB3E-D1FC6EE76BEF}"/>
    <hyperlink ref="B122" location="Trimestre!C25:F26" display="HIPOTECA" xr:uid="{CA31F32E-660E-434B-B698-9A50D3313254}"/>
    <hyperlink ref="B102:G103" location="AÑO!O25:R25" display="AÑO!O25:R25" xr:uid="{CEAFA6B4-6DAC-4B45-BC37-10EBE9CD5DB8}"/>
    <hyperlink ref="B102" location="Trimestre!C25:F26" display="HIPOTECA" xr:uid="{D1E98CDA-5445-47A2-A0BE-D692861D8FFB}"/>
    <hyperlink ref="B82:G83" location="AÑO!O24:R24" display="AÑO!O24:R24" xr:uid="{66F34CBD-ED76-4B5A-8051-46C224E04C1A}"/>
    <hyperlink ref="B82" location="Trimestre!C25:F26" display="HIPOTECA" xr:uid="{26AB355D-39EB-4763-858A-226B3ED2F715}"/>
    <hyperlink ref="B62:G63" location="AÑO!O23:R23" display="AÑO!O23:R23" xr:uid="{4CBDCF3B-C2C2-451A-9596-B3B84B762245}"/>
    <hyperlink ref="B62" location="Trimestre!C25:F26" display="HIPOTECA" xr:uid="{E3680BA8-F513-4967-B8E7-2512A3901BAD}"/>
    <hyperlink ref="B42:G43" location="AÑO!O22:R22" display="AÑO!O22:R22" xr:uid="{0F9F78B7-0DC0-42B6-9A9A-D02418CE5E38}"/>
    <hyperlink ref="B42" location="Trimestre!C25:F26" display="HIPOTECA" xr:uid="{6E1484AC-19D4-4E0F-97C6-197D040D6069}"/>
    <hyperlink ref="B22:G23" location="AÑO!O21:R21" display="AÑO!O21:R21" xr:uid="{8E57C855-4940-491C-A7CF-EF7141416932}"/>
    <hyperlink ref="B22" location="Trimestre!C25:F26" display="HIPOTECA" xr:uid="{19BF205A-C869-4943-96D5-681B4290AF66}"/>
    <hyperlink ref="B2:G3" location="AÑO!O20:R20" display="AÑO!O20:R20" xr:uid="{F9BFBBB7-F443-441D-98AF-77F76B192304}"/>
    <hyperlink ref="B2" location="Trimestre!C25:F26" display="HIPOTECA" xr:uid="{C9D0B5C0-8CA2-4B5C-9E63-FE6F8EDD3768}"/>
    <hyperlink ref="I2:L3" location="AÑO!O4:R5" display="SALDO REAL" xr:uid="{37B6AD57-83B3-40F3-80EA-3122B6816291}"/>
    <hyperlink ref="I2" location="Trimestre!C39:F40" display="TELÉFONO" xr:uid="{CBA694B9-20B1-4AA7-A841-B7A82D5343A1}"/>
    <hyperlink ref="I22:L23" location="AÑO!O7:R17" display="INGRESOS" xr:uid="{F81D20AA-5881-479F-90AB-11E9446539E9}"/>
    <hyperlink ref="I22" location="Trimestre!C39:F40" display="TELÉFONO" xr:uid="{50436516-A541-4DB6-81FB-99B1C34643F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'04'!A6+(B6-SUM(D6:F6))</f>
        <v>1208.26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'04'!A7+(B7-SUM(D7:F7))</f>
        <v>787.19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'04'!A13+(B13-SUM(D13:F13))</f>
        <v>18.5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2273.44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'04'!A27+(B27-SUM(D27:F27))</f>
        <v>528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3205.0099999999998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141.66000000000003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3119.7100000000014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1105.7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'05'!A6+(B6-SUM(D6:F6))</f>
        <v>1607.85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'05'!A7+(B7-SUM(D7:F7))</f>
        <v>857.37000000000012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'05'!A13+(B13-SUM(D13:F13))</f>
        <v>25.5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2817.44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'05'!A27+(B27-SUM(D27:F27))</f>
        <v>698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4333.01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212.66000000000003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3145.2400000000016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1485.17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'06'!A6+(B6-SUM(D6:F6))</f>
        <v>2007.4399999999998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'06'!A7+(B7-SUM(D7:F7))</f>
        <v>927.55000000000018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'06'!A13+(B13-SUM(D13:F13))</f>
        <v>32.5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3361.4399999999996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'06'!A27+(B27-SUM(D27:F27))</f>
        <v>868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5461.01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283.66000000000003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3170.7700000000018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1864.64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5" t="str">
        <f>AÑO!A20</f>
        <v>Cártama Gastos</v>
      </c>
      <c r="C2" s="302"/>
      <c r="D2" s="302"/>
      <c r="E2" s="302"/>
      <c r="F2" s="302"/>
      <c r="G2" s="303"/>
      <c r="H2" s="222"/>
      <c r="I2" s="31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293" t="s">
        <v>8</v>
      </c>
      <c r="C4" s="294"/>
      <c r="D4" s="301" t="s">
        <v>9</v>
      </c>
      <c r="E4" s="301"/>
      <c r="F4" s="301"/>
      <c r="G4" s="294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'07'!A6+(B6-SUM(D6:F6))</f>
        <v>2407.0299999999997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7">
        <v>550</v>
      </c>
      <c r="L6" s="308"/>
      <c r="M6" s="1" t="s">
        <v>166</v>
      </c>
      <c r="N6" s="1"/>
      <c r="R6" s="3"/>
    </row>
    <row r="7" spans="1:22" ht="15.75">
      <c r="A7" s="112">
        <f>'07'!A7+(B7-SUM(D7:F7))</f>
        <v>997.73000000000025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7"/>
      <c r="L7" s="30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7">
        <v>7000</v>
      </c>
      <c r="L8" s="30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7">
        <v>659.77</v>
      </c>
      <c r="L9" s="308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7">
        <v>1800.04</v>
      </c>
      <c r="L10" s="308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7"/>
      <c r="L11" s="30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7">
        <v>5092.08</v>
      </c>
      <c r="L12" s="308"/>
      <c r="M12" s="92"/>
      <c r="N12" s="1"/>
      <c r="R12" s="3"/>
    </row>
    <row r="13" spans="1:22" ht="15.75">
      <c r="A13" s="112">
        <f>'07'!A13+(B13-SUM(D13:F13))</f>
        <v>39.5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7"/>
      <c r="L13" s="30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7"/>
      <c r="L14" s="30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7"/>
      <c r="L15" s="30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7"/>
      <c r="L16" s="30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7"/>
      <c r="L17" s="30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9"/>
      <c r="L18" s="31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12">
        <f>SUM(A6:A15)</f>
        <v>3905.44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5" t="str">
        <f>AÑO!A21</f>
        <v>Waterloo</v>
      </c>
      <c r="C22" s="302"/>
      <c r="D22" s="302"/>
      <c r="E22" s="302"/>
      <c r="F22" s="302"/>
      <c r="G22" s="303"/>
      <c r="H22" s="1"/>
      <c r="I22" s="31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293" t="s">
        <v>8</v>
      </c>
      <c r="C24" s="294"/>
      <c r="D24" s="301" t="s">
        <v>9</v>
      </c>
      <c r="E24" s="301"/>
      <c r="F24" s="301"/>
      <c r="G24" s="294"/>
      <c r="H24" s="1"/>
      <c r="I24" s="40" t="s">
        <v>31</v>
      </c>
      <c r="J24" s="326" t="s">
        <v>87</v>
      </c>
      <c r="K24" s="327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2" t="str">
        <f>AÑO!A8</f>
        <v>Manolo Salario</v>
      </c>
      <c r="J25" s="315"/>
      <c r="K25" s="316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3"/>
      <c r="J26" s="317"/>
      <c r="K26" s="318"/>
      <c r="L26" s="199"/>
      <c r="M26" s="1"/>
      <c r="R26" s="3"/>
    </row>
    <row r="27" spans="1:18" ht="15.75">
      <c r="A27" s="112">
        <f>'07'!A27+(B27-SUM(D27:F27))</f>
        <v>1038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3"/>
      <c r="J27" s="317"/>
      <c r="K27" s="318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3"/>
      <c r="J28" s="317"/>
      <c r="K28" s="318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4"/>
      <c r="J29" s="319"/>
      <c r="K29" s="32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2" t="str">
        <f>AÑO!A9</f>
        <v>Rocío Salario</v>
      </c>
      <c r="J30" s="315"/>
      <c r="K30" s="31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3"/>
      <c r="J31" s="317"/>
      <c r="K31" s="31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3"/>
      <c r="J32" s="317"/>
      <c r="K32" s="31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3"/>
      <c r="J33" s="317"/>
      <c r="K33" s="31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4"/>
      <c r="J34" s="319"/>
      <c r="K34" s="32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2" t="s">
        <v>221</v>
      </c>
      <c r="J35" s="315"/>
      <c r="K35" s="31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3"/>
      <c r="J36" s="317"/>
      <c r="K36" s="31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3"/>
      <c r="J37" s="317"/>
      <c r="K37" s="31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3"/>
      <c r="J38" s="317"/>
      <c r="K38" s="31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4"/>
      <c r="J39" s="319"/>
      <c r="K39" s="320"/>
      <c r="L39" s="201"/>
      <c r="M39" s="1"/>
      <c r="R39" s="3"/>
    </row>
    <row r="40" spans="1:18" ht="16.5" thickBot="1">
      <c r="A40" s="112">
        <f>SUM(A26:A35)</f>
        <v>6589.01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2" t="str">
        <f>AÑO!A11</f>
        <v>Finanazas</v>
      </c>
      <c r="J40" s="315"/>
      <c r="K40" s="31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3"/>
      <c r="J41" s="317"/>
      <c r="K41" s="318"/>
      <c r="L41" s="199"/>
      <c r="M41" s="1"/>
      <c r="R41" s="3"/>
    </row>
    <row r="42" spans="1:18" ht="15.6" customHeight="1">
      <c r="A42" s="1"/>
      <c r="B42" s="295" t="str">
        <f>AÑO!A22</f>
        <v>Comida+Limpieza</v>
      </c>
      <c r="C42" s="302"/>
      <c r="D42" s="302"/>
      <c r="E42" s="302"/>
      <c r="F42" s="302"/>
      <c r="G42" s="303"/>
      <c r="H42" s="1"/>
      <c r="I42" s="313"/>
      <c r="J42" s="317"/>
      <c r="K42" s="318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313"/>
      <c r="J43" s="317"/>
      <c r="K43" s="318"/>
      <c r="L43" s="199"/>
      <c r="M43" s="1"/>
      <c r="R43" s="3"/>
    </row>
    <row r="44" spans="1:18" ht="15.75">
      <c r="A44" s="1"/>
      <c r="B44" s="293" t="s">
        <v>8</v>
      </c>
      <c r="C44" s="294"/>
      <c r="D44" s="301" t="s">
        <v>9</v>
      </c>
      <c r="E44" s="301"/>
      <c r="F44" s="301"/>
      <c r="G44" s="294"/>
      <c r="H44" s="1"/>
      <c r="I44" s="314"/>
      <c r="J44" s="319"/>
      <c r="K44" s="32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2" t="str">
        <f>AÑO!A12</f>
        <v>Regalos</v>
      </c>
      <c r="J45" s="315"/>
      <c r="K45" s="31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3"/>
      <c r="J46" s="317"/>
      <c r="K46" s="31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3"/>
      <c r="J47" s="317"/>
      <c r="K47" s="31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3"/>
      <c r="J48" s="317"/>
      <c r="K48" s="31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4"/>
      <c r="J49" s="319"/>
      <c r="K49" s="32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2" t="str">
        <f>AÑO!A13</f>
        <v>Gubernamental</v>
      </c>
      <c r="J50" s="315"/>
      <c r="K50" s="31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3"/>
      <c r="J51" s="317"/>
      <c r="K51" s="31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3"/>
      <c r="J52" s="317"/>
      <c r="K52" s="31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3"/>
      <c r="J53" s="317"/>
      <c r="K53" s="31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4"/>
      <c r="J54" s="319"/>
      <c r="K54" s="32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2" t="str">
        <f>AÑO!A14</f>
        <v>Mutualite/DKV</v>
      </c>
      <c r="J55" s="315"/>
      <c r="K55" s="31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3"/>
      <c r="J56" s="317"/>
      <c r="K56" s="31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3"/>
      <c r="J57" s="317"/>
      <c r="K57" s="31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3"/>
      <c r="J58" s="317"/>
      <c r="K58" s="31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4"/>
      <c r="J59" s="319"/>
      <c r="K59" s="32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2" t="str">
        <f>AÑO!A15</f>
        <v>Alquiler Cartama</v>
      </c>
      <c r="J60" s="315"/>
      <c r="K60" s="31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3"/>
      <c r="J61" s="317"/>
      <c r="K61" s="318"/>
      <c r="L61" s="199"/>
      <c r="M61" s="1"/>
      <c r="R61" s="3"/>
    </row>
    <row r="62" spans="1:18" ht="15.6" customHeight="1">
      <c r="A62" s="1"/>
      <c r="B62" s="295" t="str">
        <f>AÑO!A23</f>
        <v>Ocio</v>
      </c>
      <c r="C62" s="302"/>
      <c r="D62" s="302"/>
      <c r="E62" s="302"/>
      <c r="F62" s="302"/>
      <c r="G62" s="303"/>
      <c r="H62" s="1"/>
      <c r="I62" s="313"/>
      <c r="J62" s="317"/>
      <c r="K62" s="318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313"/>
      <c r="J63" s="317"/>
      <c r="K63" s="318"/>
      <c r="L63" s="199"/>
      <c r="M63" s="1"/>
      <c r="R63" s="3"/>
    </row>
    <row r="64" spans="1:18" ht="15.75">
      <c r="A64" s="1"/>
      <c r="B64" s="293" t="s">
        <v>8</v>
      </c>
      <c r="C64" s="294"/>
      <c r="D64" s="301" t="s">
        <v>9</v>
      </c>
      <c r="E64" s="301"/>
      <c r="F64" s="301"/>
      <c r="G64" s="294"/>
      <c r="H64" s="1"/>
      <c r="I64" s="314"/>
      <c r="J64" s="319"/>
      <c r="K64" s="32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2" t="str">
        <f>AÑO!A16</f>
        <v>Otros</v>
      </c>
      <c r="J65" s="315"/>
      <c r="K65" s="31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3"/>
      <c r="J66" s="317"/>
      <c r="K66" s="31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3"/>
      <c r="J67" s="317"/>
      <c r="K67" s="31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3"/>
      <c r="J68" s="317"/>
      <c r="K68" s="31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8"/>
      <c r="J69" s="329"/>
      <c r="K69" s="33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5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293" t="s">
        <v>8</v>
      </c>
      <c r="C84" s="294"/>
      <c r="D84" s="301" t="s">
        <v>9</v>
      </c>
      <c r="E84" s="301"/>
      <c r="F84" s="301"/>
      <c r="G84" s="29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5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293" t="s">
        <v>8</v>
      </c>
      <c r="C104" s="294"/>
      <c r="D104" s="301" t="s">
        <v>9</v>
      </c>
      <c r="E104" s="301"/>
      <c r="F104" s="301"/>
      <c r="G104" s="294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3196.300000000002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2244.11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5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293" t="s">
        <v>8</v>
      </c>
      <c r="C124" s="294"/>
      <c r="D124" s="301" t="s">
        <v>9</v>
      </c>
      <c r="E124" s="301"/>
      <c r="F124" s="301"/>
      <c r="G124" s="29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5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293" t="s">
        <v>8</v>
      </c>
      <c r="C144" s="294"/>
      <c r="D144" s="301" t="s">
        <v>9</v>
      </c>
      <c r="E144" s="301"/>
      <c r="F144" s="301"/>
      <c r="G144" s="29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5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3" t="s">
        <v>8</v>
      </c>
      <c r="C164" s="294"/>
      <c r="D164" s="301" t="s">
        <v>9</v>
      </c>
      <c r="E164" s="301"/>
      <c r="F164" s="301"/>
      <c r="G164" s="29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5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3" t="s">
        <v>8</v>
      </c>
      <c r="C184" s="294"/>
      <c r="D184" s="301" t="s">
        <v>9</v>
      </c>
      <c r="E184" s="301"/>
      <c r="F184" s="301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5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293" t="s">
        <v>8</v>
      </c>
      <c r="C204" s="294"/>
      <c r="D204" s="301" t="s">
        <v>9</v>
      </c>
      <c r="E204" s="301"/>
      <c r="F204" s="301"/>
      <c r="G204" s="29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5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293" t="s">
        <v>8</v>
      </c>
      <c r="C224" s="294"/>
      <c r="D224" s="301" t="s">
        <v>9</v>
      </c>
      <c r="E224" s="301"/>
      <c r="F224" s="301"/>
      <c r="G224" s="29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5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293" t="s">
        <v>8</v>
      </c>
      <c r="C244" s="294"/>
      <c r="D244" s="301" t="s">
        <v>9</v>
      </c>
      <c r="E244" s="301"/>
      <c r="F244" s="301"/>
      <c r="G244" s="29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5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293" t="s">
        <v>8</v>
      </c>
      <c r="C264" s="294"/>
      <c r="D264" s="301" t="s">
        <v>9</v>
      </c>
      <c r="E264" s="301"/>
      <c r="F264" s="301"/>
      <c r="G264" s="29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5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293" t="s">
        <v>8</v>
      </c>
      <c r="C284" s="294"/>
      <c r="D284" s="301" t="s">
        <v>9</v>
      </c>
      <c r="E284" s="301"/>
      <c r="F284" s="301"/>
      <c r="G284" s="29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5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293" t="s">
        <v>8</v>
      </c>
      <c r="C304" s="294"/>
      <c r="D304" s="301" t="s">
        <v>9</v>
      </c>
      <c r="E304" s="301"/>
      <c r="F304" s="301"/>
      <c r="G304" s="29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5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293" t="s">
        <v>8</v>
      </c>
      <c r="C324" s="294"/>
      <c r="D324" s="301" t="s">
        <v>9</v>
      </c>
      <c r="E324" s="301"/>
      <c r="F324" s="301"/>
      <c r="G324" s="29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5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293" t="s">
        <v>8</v>
      </c>
      <c r="C344" s="294"/>
      <c r="D344" s="301" t="s">
        <v>9</v>
      </c>
      <c r="E344" s="301"/>
      <c r="F344" s="301"/>
      <c r="G344" s="29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5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293" t="s">
        <v>8</v>
      </c>
      <c r="C364" s="294"/>
      <c r="D364" s="301" t="s">
        <v>9</v>
      </c>
      <c r="E364" s="301"/>
      <c r="F364" s="301"/>
      <c r="G364" s="29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5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293" t="s">
        <v>8</v>
      </c>
      <c r="C384" s="294"/>
      <c r="D384" s="301" t="s">
        <v>9</v>
      </c>
      <c r="E384" s="301"/>
      <c r="F384" s="301"/>
      <c r="G384" s="29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5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293" t="s">
        <v>8</v>
      </c>
      <c r="C404" s="294"/>
      <c r="D404" s="301" t="s">
        <v>9</v>
      </c>
      <c r="E404" s="301"/>
      <c r="F404" s="301"/>
      <c r="G404" s="29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5" t="str">
        <f>AÑO!A41</f>
        <v>Ahorros Colchón</v>
      </c>
      <c r="C422" s="296"/>
      <c r="D422" s="296"/>
      <c r="E422" s="296"/>
      <c r="F422" s="296"/>
      <c r="G422" s="297"/>
    </row>
    <row r="423" spans="1:7" ht="15" customHeight="1" thickBot="1">
      <c r="B423" s="298"/>
      <c r="C423" s="299"/>
      <c r="D423" s="299"/>
      <c r="E423" s="299"/>
      <c r="F423" s="299"/>
      <c r="G423" s="300"/>
    </row>
    <row r="424" spans="1:7">
      <c r="B424" s="293" t="s">
        <v>8</v>
      </c>
      <c r="C424" s="294"/>
      <c r="D424" s="301" t="s">
        <v>9</v>
      </c>
      <c r="E424" s="301"/>
      <c r="F424" s="301"/>
      <c r="G424" s="294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5" t="str">
        <f>AÑO!A42</f>
        <v>Dinero Bloqueado</v>
      </c>
      <c r="C442" s="296"/>
      <c r="D442" s="296"/>
      <c r="E442" s="296"/>
      <c r="F442" s="296"/>
      <c r="G442" s="297"/>
    </row>
    <row r="443" spans="2:7" ht="15" customHeight="1" thickBot="1">
      <c r="B443" s="298"/>
      <c r="C443" s="299"/>
      <c r="D443" s="299"/>
      <c r="E443" s="299"/>
      <c r="F443" s="299"/>
      <c r="G443" s="300"/>
    </row>
    <row r="444" spans="2:7">
      <c r="B444" s="293" t="s">
        <v>8</v>
      </c>
      <c r="C444" s="294"/>
      <c r="D444" s="301" t="s">
        <v>9</v>
      </c>
      <c r="E444" s="301"/>
      <c r="F444" s="301"/>
      <c r="G444" s="29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5" t="str">
        <f>AÑO!A43</f>
        <v>Cartama Finanazas</v>
      </c>
      <c r="C462" s="296"/>
      <c r="D462" s="296"/>
      <c r="E462" s="296"/>
      <c r="F462" s="296"/>
      <c r="G462" s="297"/>
    </row>
    <row r="463" spans="2:7" ht="15" customHeight="1" thickBot="1">
      <c r="B463" s="298"/>
      <c r="C463" s="299"/>
      <c r="D463" s="299"/>
      <c r="E463" s="299"/>
      <c r="F463" s="299"/>
      <c r="G463" s="300"/>
    </row>
    <row r="464" spans="2:7">
      <c r="B464" s="293" t="s">
        <v>8</v>
      </c>
      <c r="C464" s="294"/>
      <c r="D464" s="301" t="s">
        <v>9</v>
      </c>
      <c r="E464" s="301"/>
      <c r="F464" s="301"/>
      <c r="G464" s="294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5" t="str">
        <f>AÑO!A44</f>
        <v>NULO</v>
      </c>
      <c r="C482" s="296"/>
      <c r="D482" s="296"/>
      <c r="E482" s="296"/>
      <c r="F482" s="296"/>
      <c r="G482" s="297"/>
    </row>
    <row r="483" spans="2:7" ht="15" customHeight="1" thickBot="1">
      <c r="B483" s="298"/>
      <c r="C483" s="299"/>
      <c r="D483" s="299"/>
      <c r="E483" s="299"/>
      <c r="F483" s="299"/>
      <c r="G483" s="300"/>
    </row>
    <row r="484" spans="2:7">
      <c r="B484" s="293" t="s">
        <v>8</v>
      </c>
      <c r="C484" s="294"/>
      <c r="D484" s="301" t="s">
        <v>9</v>
      </c>
      <c r="E484" s="301"/>
      <c r="F484" s="301"/>
      <c r="G484" s="29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5" t="str">
        <f>AÑO!A45</f>
        <v>OTROS</v>
      </c>
      <c r="C502" s="296"/>
      <c r="D502" s="296"/>
      <c r="E502" s="296"/>
      <c r="F502" s="296"/>
      <c r="G502" s="297"/>
    </row>
    <row r="503" spans="2:7" ht="15" customHeight="1" thickBot="1">
      <c r="B503" s="298"/>
      <c r="C503" s="299"/>
      <c r="D503" s="299"/>
      <c r="E503" s="299"/>
      <c r="F503" s="299"/>
      <c r="G503" s="300"/>
    </row>
    <row r="504" spans="2:7">
      <c r="B504" s="293" t="s">
        <v>8</v>
      </c>
      <c r="C504" s="294"/>
      <c r="D504" s="301" t="s">
        <v>9</v>
      </c>
      <c r="E504" s="301"/>
      <c r="F504" s="301"/>
      <c r="G504" s="29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2019-03-15T16:23:25Z</dcterms:modified>
</cp:coreProperties>
</file>