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1201242-EB1F-4BD6-80B9-A5DBB8930EE2}" xr6:coauthVersionLast="41" xr6:coauthVersionMax="41" xr10:uidLastSave="{00000000-0000-0000-0000-000000000000}"/>
  <bookViews>
    <workbookView xWindow="-108" yWindow="12852" windowWidth="22224" windowHeight="13176" firstSheet="1" activeTab="8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9" l="1"/>
  <c r="H25" i="15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H48" i="9" l="1"/>
  <c r="P32" i="18" l="1"/>
  <c r="D366" i="8"/>
  <c r="A359" i="10"/>
  <c r="A358" i="10"/>
  <c r="A346" i="10"/>
  <c r="H257" i="10"/>
  <c r="A257" i="10"/>
  <c r="A256" i="10"/>
  <c r="A126" i="10"/>
  <c r="A79" i="10"/>
  <c r="A66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H48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1" i="10"/>
  <c r="K19" i="10" s="1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8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9" s="1"/>
  <c r="A246" i="10" s="1"/>
  <c r="A260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40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9" s="1"/>
  <c r="A140" i="7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25" i="15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9" l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246" i="6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46" i="7" l="1"/>
  <c r="K9" i="14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6" i="7" l="1"/>
  <c r="A260" i="6"/>
  <c r="A258" i="7"/>
  <c r="A258" i="8" s="1"/>
  <c r="A260" i="9" s="1"/>
  <c r="A260" i="5"/>
  <c r="A40" i="9"/>
  <c r="A26" i="10"/>
  <c r="A26" i="11" s="1"/>
  <c r="A26" i="12" l="1"/>
  <c r="A40" i="11"/>
  <c r="A40" i="10"/>
  <c r="A256" i="8"/>
  <c r="A260" i="8" s="1"/>
  <c r="A260" i="7"/>
  <c r="A40" i="12"/>
  <c r="A26" i="13"/>
  <c r="A40" i="13" s="1"/>
</calcChain>
</file>

<file path=xl/sharedStrings.xml><?xml version="1.0" encoding="utf-8"?>
<sst xmlns="http://schemas.openxmlformats.org/spreadsheetml/2006/main" count="5557" uniqueCount="752">
  <si>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</si>
  <si>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</si>
  <si>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</si>
  <si>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</si>
  <si>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</si>
  <si>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</si>
  <si>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</si>
  <si>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</si>
  <si>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</si>
  <si>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</si>
  <si>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</si>
  <si>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</si>
  <si>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</si>
  <si>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</si>
  <si>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</si>
  <si>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</si>
  <si>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</si>
  <si>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</si>
  <si>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</si>
  <si>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</si>
  <si>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</si>
  <si>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</si>
  <si>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</si>
  <si>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</si>
  <si>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</si>
  <si>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</si>
  <si>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</si>
  <si>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</si>
  <si>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</si>
  <si>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</si>
  <si>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</si>
  <si>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</si>
  <si>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</si>
  <si>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</si>
  <si>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</si>
  <si>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</si>
  <si>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</si>
  <si>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</si>
  <si>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</si>
  <si>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</si>
  <si>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</si>
  <si>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</si>
  <si>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</si>
  <si>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</si>
  <si>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</si>
  <si>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</si>
  <si>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</si>
  <si>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</si>
  <si>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</si>
  <si>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</si>
  <si>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</si>
  <si>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</si>
  <si>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</si>
  <si>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</si>
  <si>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</si>
  <si>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</si>
  <si>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</si>
  <si>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</si>
  <si>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</si>
  <si>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</si>
  <si>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</si>
  <si>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</si>
  <si>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</si>
  <si>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</si>
  <si>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</si>
  <si>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</si>
  <si>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</si>
  <si>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</si>
  <si>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</si>
  <si>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</si>
  <si>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</si>
  <si>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</si>
  <si>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</si>
  <si>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</si>
  <si>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</si>
  <si>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</si>
  <si>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</si>
  <si>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</si>
  <si>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</si>
  <si>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</si>
  <si>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</si>
  <si>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</si>
  <si>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</si>
  <si>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</si>
  <si>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</si>
  <si>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</si>
  <si>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</si>
  <si>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</si>
  <si>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</si>
  <si>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</si>
  <si>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</si>
  <si>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</si>
  <si>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</si>
  <si>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</si>
  <si>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</si>
  <si>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</si>
  <si>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</si>
  <si>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</si>
  <si>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</si>
  <si>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</si>
  <si>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</si>
  <si>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</si>
  <si>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</si>
  <si>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</si>
  <si>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</si>
  <si>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</si>
  <si>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</si>
  <si>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</si>
  <si>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</si>
  <si>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</si>
  <si>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</si>
  <si>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</si>
  <si>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</si>
  <si>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</si>
  <si>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</si>
  <si>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</si>
  <si>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</si>
  <si>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</si>
  <si>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</si>
  <si>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</si>
  <si>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</si>
  <si>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</si>
  <si>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</si>
  <si>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</si>
  <si>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</si>
  <si>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</si>
  <si>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</si>
  <si>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</si>
  <si>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</si>
  <si>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</si>
  <si>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</si>
  <si>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</si>
  <si>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</si>
  <si>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</si>
  <si>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</si>
  <si>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</si>
  <si>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</si>
  <si>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</si>
  <si>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</si>
  <si>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</si>
  <si>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</si>
  <si>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</si>
  <si>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</si>
  <si>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</si>
  <si>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</si>
  <si>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</si>
  <si>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</si>
  <si>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</si>
  <si>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</si>
  <si>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</si>
  <si>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</si>
  <si>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</si>
  <si>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</si>
  <si>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</si>
  <si>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</si>
  <si>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</si>
  <si>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</si>
  <si>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</si>
  <si>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</si>
  <si>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</si>
  <si>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</si>
  <si>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</si>
  <si>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</si>
  <si>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</si>
  <si>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</si>
  <si>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</si>
  <si>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</si>
  <si>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</si>
  <si>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</si>
  <si>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</si>
  <si>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</si>
  <si>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</si>
  <si>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</si>
  <si>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</si>
  <si>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</si>
  <si>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</si>
  <si>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</si>
  <si>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</si>
  <si>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</si>
  <si>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</si>
  <si>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</si>
  <si>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</si>
  <si>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</si>
  <si>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</si>
  <si>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</si>
  <si>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</si>
  <si>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</si>
  <si>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</si>
  <si>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</si>
  <si>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</si>
  <si>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</si>
  <si>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</si>
  <si>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</si>
  <si>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</si>
  <si>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</si>
  <si>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</si>
  <si>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</si>
  <si>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</si>
  <si>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</si>
  <si>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</si>
  <si>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</si>
  <si>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</si>
  <si>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</si>
  <si>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</si>
  <si>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</si>
  <si>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</si>
  <si>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</si>
  <si>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</si>
  <si>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</si>
  <si>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</si>
  <si>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</si>
  <si>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</si>
  <si>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</si>
  <si>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</si>
  <si>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</si>
  <si>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</si>
  <si>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</si>
  <si>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</si>
  <si>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</si>
  <si>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</si>
  <si>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</si>
  <si>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</si>
  <si>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</si>
  <si>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</si>
  <si>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</si>
  <si>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</si>
  <si>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</si>
  <si>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</si>
  <si>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</si>
  <si>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</si>
  <si>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</si>
  <si>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</si>
  <si>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</si>
  <si>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</si>
  <si>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</si>
  <si>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</si>
  <si>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</si>
  <si>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</si>
  <si>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</si>
  <si>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</si>
  <si>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</si>
  <si>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</si>
  <si>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</si>
  <si>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</si>
  <si>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</si>
  <si>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</si>
  <si>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</si>
  <si>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</si>
  <si>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</si>
  <si>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</si>
  <si>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</si>
  <si>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</si>
  <si>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</si>
  <si>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</si>
  <si>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</si>
  <si>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</si>
  <si>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</si>
  <si>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</si>
  <si>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</si>
  <si>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</si>
  <si>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</si>
  <si>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</si>
  <si>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</si>
  <si>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</si>
  <si>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</si>
  <si>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</si>
  <si>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</si>
  <si>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</si>
  <si>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</si>
  <si>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</si>
  <si>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</si>
  <si>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</si>
  <si>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</si>
  <si>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</si>
  <si>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</si>
  <si>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</si>
  <si>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</si>
  <si>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</si>
  <si>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</si>
  <si>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</si>
  <si>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</si>
  <si>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</si>
  <si>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</si>
  <si>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</si>
  <si>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</si>
  <si>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</si>
  <si>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</si>
  <si>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</si>
  <si>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</si>
  <si>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</si>
  <si>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</si>
  <si>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</si>
  <si>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</si>
  <si>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</si>
  <si>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</si>
  <si>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</si>
  <si>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</si>
  <si>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</si>
  <si>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</si>
  <si>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</si>
  <si>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</si>
  <si>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</si>
  <si>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</si>
  <si>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</si>
  <si>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</si>
  <si>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</si>
  <si>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</si>
  <si>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</si>
  <si>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</si>
  <si>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</si>
  <si>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</si>
  <si>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</si>
  <si>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</si>
  <si>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</si>
  <si>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</si>
  <si>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</si>
  <si>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</si>
  <si>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</si>
  <si>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</si>
  <si>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</si>
  <si>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</si>
  <si>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</si>
  <si>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</si>
  <si>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</si>
  <si>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</si>
  <si>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</si>
  <si>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</si>
  <si>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</si>
  <si>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</si>
  <si>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</si>
  <si>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</si>
  <si>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</si>
  <si>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</si>
  <si>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</si>
  <si>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</si>
  <si>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</si>
  <si>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</si>
  <si>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</si>
  <si>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</si>
  <si>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</si>
  <si>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</si>
  <si>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</si>
  <si>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</si>
  <si>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</si>
  <si>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</si>
  <si>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</si>
  <si>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</si>
  <si>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</si>
  <si>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</si>
  <si>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</si>
  <si>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</si>
  <si>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</si>
  <si>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</si>
  <si>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</si>
  <si>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</si>
  <si>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</si>
  <si>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</si>
  <si>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</si>
  <si>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</si>
  <si>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</si>
  <si>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</si>
  <si>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</si>
  <si>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</si>
  <si>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</si>
  <si>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</si>
  <si>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</si>
  <si>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</si>
  <si>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</si>
  <si>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</si>
  <si>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</si>
  <si>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</si>
  <si>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</si>
  <si>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</si>
  <si>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</si>
  <si>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</si>
  <si>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</si>
  <si>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</si>
  <si>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</si>
  <si>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</si>
  <si>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</si>
  <si>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</si>
  <si>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</si>
  <si>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</si>
  <si>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</si>
  <si>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</si>
  <si>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</si>
  <si>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</si>
  <si>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</si>
  <si>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</si>
  <si>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</si>
  <si>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</si>
  <si>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</si>
  <si>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</si>
  <si>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</si>
  <si>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</si>
  <si>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</si>
  <si>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</si>
  <si>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</si>
  <si>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</si>
  <si>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</si>
  <si>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</si>
  <si>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</si>
  <si>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</si>
  <si>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</si>
  <si>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</si>
  <si>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</si>
  <si>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</si>
  <si>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</si>
  <si>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</si>
  <si>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</si>
  <si>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</si>
  <si>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</si>
  <si>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</si>
  <si>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</si>
  <si>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</si>
  <si>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</si>
  <si>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</si>
  <si>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</si>
  <si>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</si>
  <si>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</si>
  <si>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</si>
  <si>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</si>
  <si>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</si>
  <si>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</si>
  <si>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</si>
  <si>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</si>
  <si>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</si>
  <si>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</si>
  <si>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</si>
  <si>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</si>
  <si>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</si>
  <si>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</si>
  <si>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</si>
  <si>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</si>
  <si>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</si>
  <si>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</si>
  <si>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</si>
  <si>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</si>
  <si>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</si>
  <si>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</si>
  <si>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</si>
  <si>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</si>
  <si>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</si>
  <si>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</si>
  <si>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</si>
  <si>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</si>
  <si>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</si>
  <si>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</si>
  <si>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</si>
  <si>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</si>
  <si>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</si>
  <si>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</si>
  <si>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</si>
  <si>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</si>
  <si>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</si>
  <si>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</si>
  <si>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</si>
  <si>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</si>
  <si>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</si>
  <si>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</si>
  <si>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</si>
  <si>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</si>
  <si>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</si>
  <si>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</si>
  <si>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</si>
  <si>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</si>
  <si>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</si>
  <si>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</si>
  <si>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</si>
  <si>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</si>
  <si>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</si>
  <si>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</si>
  <si>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</si>
  <si>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</si>
  <si>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</si>
  <si>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</si>
  <si>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</si>
  <si>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</si>
  <si>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</si>
  <si>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</si>
  <si>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</si>
  <si>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</si>
  <si>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</si>
  <si>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</si>
  <si>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</si>
  <si>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</si>
  <si>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</si>
  <si>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</si>
  <si>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</si>
  <si>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</si>
  <si>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</si>
  <si>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</si>
  <si>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</si>
  <si>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</si>
  <si>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</si>
  <si>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</si>
  <si>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</si>
  <si>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</si>
  <si>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</si>
  <si>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</si>
  <si>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</si>
  <si>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</si>
  <si>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</si>
  <si>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</si>
  <si>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</si>
  <si>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</si>
  <si>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</si>
  <si>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</si>
  <si>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</si>
  <si>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</si>
  <si>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</si>
  <si>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</si>
  <si>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</si>
  <si>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</si>
  <si>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</si>
  <si>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</si>
  <si>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</si>
  <si>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</si>
  <si>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</si>
  <si>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</si>
  <si>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</si>
  <si>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</si>
  <si>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</si>
  <si>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</si>
  <si>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</si>
  <si>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</si>
  <si>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</si>
  <si>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</si>
  <si>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</si>
  <si>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</si>
  <si>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</si>
  <si>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</si>
  <si>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</si>
  <si>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</si>
  <si>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</si>
  <si>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</si>
  <si>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</si>
  <si>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</si>
  <si>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</si>
  <si>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</si>
  <si>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</si>
  <si>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</si>
  <si>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</si>
  <si>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</si>
  <si>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</si>
  <si>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</si>
  <si>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</si>
  <si>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</si>
  <si>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</si>
  <si>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</si>
  <si>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</si>
  <si>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</si>
  <si>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</si>
  <si>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</si>
  <si>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</si>
  <si>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</si>
  <si>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</si>
  <si>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</si>
  <si>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</si>
  <si>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</si>
  <si>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</si>
  <si>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</si>
  <si>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</si>
  <si>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</si>
  <si>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</si>
  <si>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</si>
  <si>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</si>
  <si>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</si>
  <si>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</si>
  <si>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</si>
  <si>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</si>
  <si>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</si>
  <si>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</si>
  <si>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</si>
  <si>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</si>
  <si>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</si>
  <si>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</si>
  <si>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</si>
  <si>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</si>
  <si>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</si>
  <si>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</si>
  <si>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</si>
  <si>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</si>
  <si>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</si>
  <si>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</si>
  <si>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</si>
  <si>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</si>
  <si>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</si>
  <si>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</si>
  <si>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</si>
  <si>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</si>
  <si>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</si>
  <si>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</si>
  <si>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</si>
  <si>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</si>
  <si>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</si>
  <si>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</si>
  <si>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</si>
  <si>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</si>
  <si>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</si>
  <si>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</si>
  <si>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</si>
  <si>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</si>
  <si>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</si>
  <si>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</si>
  <si>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</si>
  <si>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</si>
  <si>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</si>
  <si>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</si>
  <si>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</si>
  <si>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</si>
  <si>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</si>
  <si>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</si>
  <si>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</si>
  <si>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</si>
  <si>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</si>
  <si>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</si>
  <si>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</si>
  <si>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</si>
  <si>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</si>
  <si>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</si>
  <si>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</si>
  <si>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</si>
  <si>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</si>
  <si>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</si>
  <si>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</si>
  <si>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</si>
  <si>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</si>
  <si>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</si>
  <si>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</si>
  <si>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</si>
  <si>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</si>
  <si>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</si>
  <si>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</si>
  <si>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</si>
  <si>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</si>
  <si>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</si>
  <si>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</si>
  <si>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</si>
  <si>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</si>
  <si>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</si>
  <si>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</si>
  <si>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</si>
  <si>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</si>
  <si>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</si>
  <si>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</si>
  <si>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</si>
  <si>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</si>
  <si>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</si>
  <si>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</si>
  <si>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</si>
  <si>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</si>
  <si>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</si>
  <si>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</si>
  <si>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</si>
  <si>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</si>
  <si>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</si>
  <si>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</si>
  <si>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</si>
  <si>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</si>
  <si>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</si>
  <si>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</si>
  <si>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</si>
  <si>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</si>
  <si>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</si>
  <si>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</si>
  <si>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</si>
  <si>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</si>
  <si>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</si>
  <si>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</si>
  <si>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</si>
  <si>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</si>
  <si>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</si>
  <si>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</si>
  <si>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</si>
  <si>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</si>
  <si>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</si>
  <si>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</si>
  <si>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</si>
  <si>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</si>
  <si>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</si>
  <si>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</si>
  <si>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</si>
  <si>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</si>
  <si>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</si>
  <si>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</si>
  <si>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</si>
  <si>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</si>
  <si>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</si>
  <si>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</si>
  <si>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</si>
  <si>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</si>
  <si>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</si>
  <si>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</si>
  <si>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</si>
  <si>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</si>
  <si>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</si>
  <si>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</si>
  <si>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</si>
  <si>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</si>
  <si>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</si>
  <si>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</si>
  <si>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</si>
  <si>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</si>
  <si>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</si>
  <si>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</si>
  <si>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</si>
  <si>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</si>
  <si>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</si>
  <si>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</si>
  <si>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</si>
  <si>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</si>
  <si>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</si>
  <si>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</si>
  <si>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</si>
  <si>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</si>
  <si>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</si>
  <si>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</si>
  <si>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</si>
  <si>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</si>
  <si>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</si>
  <si>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</si>
  <si>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</si>
  <si>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</si>
  <si>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</si>
  <si>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</si>
  <si>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</si>
  <si>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</si>
  <si>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</si>
  <si>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</si>
  <si>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</si>
  <si>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</si>
  <si>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</si>
  <si>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</si>
  <si>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</si>
  <si>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</si>
  <si>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</si>
  <si>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</si>
  <si>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</si>
  <si>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</si>
  <si>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</si>
  <si>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</si>
  <si>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</si>
  <si>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</si>
  <si>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</si>
  <si>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</si>
  <si>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160€ Cheques</t>
  </si>
  <si>
    <t>03/08 Action</t>
  </si>
  <si>
    <t>Fondo de Inversion --&gt; De Cartama Finanzas</t>
  </si>
  <si>
    <t>03/08 Aldi</t>
  </si>
  <si>
    <t>07/08 Delhaize</t>
  </si>
  <si>
    <t>08/08 Pay-Pal - Miriam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</si>
</sst>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34" zoomScaleNormal="100" workbookViewId="0">
      <pane xSplit="1" topLeftCell="W1" activePane="topRight" state="frozen"/>
      <selection pane="topRight" activeCell="L67" sqref="L67:M67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4" t="s">
        <v>0</v>
      </c>
      <c r="D4" s="385"/>
      <c r="E4" s="385"/>
      <c r="F4" s="386"/>
      <c r="G4" s="384" t="s">
        <v>1</v>
      </c>
      <c r="H4" s="385"/>
      <c r="I4" s="385"/>
      <c r="J4" s="386"/>
      <c r="K4" s="384" t="s">
        <v>2</v>
      </c>
      <c r="L4" s="385"/>
      <c r="M4" s="385"/>
      <c r="N4" s="386"/>
      <c r="O4" s="384" t="s">
        <v>3</v>
      </c>
      <c r="P4" s="385"/>
      <c r="Q4" s="385"/>
      <c r="R4" s="386"/>
      <c r="S4" s="384" t="s">
        <v>71</v>
      </c>
      <c r="T4" s="385"/>
      <c r="U4" s="385"/>
      <c r="V4" s="386"/>
      <c r="W4" s="384" t="s">
        <v>70</v>
      </c>
      <c r="X4" s="385"/>
      <c r="Y4" s="385"/>
      <c r="Z4" s="386"/>
      <c r="AA4" s="384" t="s">
        <v>72</v>
      </c>
      <c r="AB4" s="385"/>
      <c r="AC4" s="385"/>
      <c r="AD4" s="386"/>
      <c r="AE4" s="384" t="s">
        <v>73</v>
      </c>
      <c r="AF4" s="385"/>
      <c r="AG4" s="385"/>
      <c r="AH4" s="386"/>
      <c r="AI4" s="384" t="s">
        <v>75</v>
      </c>
      <c r="AJ4" s="385"/>
      <c r="AK4" s="385"/>
      <c r="AL4" s="386"/>
      <c r="AM4" s="384" t="s">
        <v>77</v>
      </c>
      <c r="AN4" s="385"/>
      <c r="AO4" s="385"/>
      <c r="AP4" s="386"/>
      <c r="AQ4" s="384" t="s">
        <v>79</v>
      </c>
      <c r="AR4" s="385"/>
      <c r="AS4" s="385"/>
      <c r="AT4" s="386"/>
      <c r="AU4" s="384" t="s">
        <v>84</v>
      </c>
      <c r="AV4" s="385"/>
      <c r="AW4" s="385"/>
      <c r="AX4" s="38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3">
        <f>'01'!K19</f>
        <v>26383.54</v>
      </c>
      <c r="D5" s="391"/>
      <c r="E5" s="391"/>
      <c r="F5" s="392"/>
      <c r="G5" s="393">
        <f>'02'!K19</f>
        <v>25229.379999999997</v>
      </c>
      <c r="H5" s="391"/>
      <c r="I5" s="391"/>
      <c r="J5" s="392"/>
      <c r="K5" s="390">
        <f>'03'!K19</f>
        <v>25574.760000000002</v>
      </c>
      <c r="L5" s="391"/>
      <c r="M5" s="391"/>
      <c r="N5" s="392"/>
      <c r="O5" s="390">
        <f>'04'!K19</f>
        <v>26443.759999999998</v>
      </c>
      <c r="P5" s="391"/>
      <c r="Q5" s="391"/>
      <c r="R5" s="392"/>
      <c r="S5" s="390">
        <f>'05'!K19</f>
        <v>27163.090000000004</v>
      </c>
      <c r="T5" s="391"/>
      <c r="U5" s="391"/>
      <c r="V5" s="392"/>
      <c r="W5" s="390">
        <f>'06'!K19</f>
        <v>29014.079999999998</v>
      </c>
      <c r="X5" s="391"/>
      <c r="Y5" s="391"/>
      <c r="Z5" s="392"/>
      <c r="AA5" s="390">
        <f>'07'!K19</f>
        <v>29282.959999999999</v>
      </c>
      <c r="AB5" s="391"/>
      <c r="AC5" s="391"/>
      <c r="AD5" s="392"/>
      <c r="AE5" s="390">
        <f>'08'!K19</f>
        <v>29166.850000000002</v>
      </c>
      <c r="AF5" s="391"/>
      <c r="AG5" s="391"/>
      <c r="AH5" s="392"/>
      <c r="AI5" s="390">
        <f>'09'!K19</f>
        <v>29171.350000000002</v>
      </c>
      <c r="AJ5" s="391"/>
      <c r="AK5" s="391"/>
      <c r="AL5" s="392"/>
      <c r="AM5" s="390">
        <f>'10'!K19</f>
        <v>15101.890000000001</v>
      </c>
      <c r="AN5" s="391"/>
      <c r="AO5" s="391"/>
      <c r="AP5" s="392"/>
      <c r="AQ5" s="390">
        <f>'11'!K19</f>
        <v>15101.890000000001</v>
      </c>
      <c r="AR5" s="391"/>
      <c r="AS5" s="391"/>
      <c r="AT5" s="392"/>
      <c r="AU5" s="390">
        <f>'12'!K19</f>
        <v>15101.890000000001</v>
      </c>
      <c r="AV5" s="391"/>
      <c r="AW5" s="391"/>
      <c r="AX5" s="392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7" t="s">
        <v>230</v>
      </c>
      <c r="D7" s="388"/>
      <c r="E7" s="388"/>
      <c r="F7" s="389"/>
      <c r="G7" s="387" t="s">
        <v>230</v>
      </c>
      <c r="H7" s="388"/>
      <c r="I7" s="388"/>
      <c r="J7" s="389"/>
      <c r="K7" s="387" t="s">
        <v>230</v>
      </c>
      <c r="L7" s="388"/>
      <c r="M7" s="388"/>
      <c r="N7" s="389"/>
      <c r="O7" s="387" t="s">
        <v>230</v>
      </c>
      <c r="P7" s="388"/>
      <c r="Q7" s="388"/>
      <c r="R7" s="389"/>
      <c r="S7" s="387" t="s">
        <v>230</v>
      </c>
      <c r="T7" s="388"/>
      <c r="U7" s="388"/>
      <c r="V7" s="389"/>
      <c r="W7" s="387" t="s">
        <v>230</v>
      </c>
      <c r="X7" s="388"/>
      <c r="Y7" s="388"/>
      <c r="Z7" s="389"/>
      <c r="AA7" s="387" t="s">
        <v>230</v>
      </c>
      <c r="AB7" s="388"/>
      <c r="AC7" s="388"/>
      <c r="AD7" s="389"/>
      <c r="AE7" s="387" t="s">
        <v>230</v>
      </c>
      <c r="AF7" s="388"/>
      <c r="AG7" s="388"/>
      <c r="AH7" s="389"/>
      <c r="AI7" s="387" t="s">
        <v>230</v>
      </c>
      <c r="AJ7" s="388"/>
      <c r="AK7" s="388"/>
      <c r="AL7" s="389"/>
      <c r="AM7" s="387" t="s">
        <v>230</v>
      </c>
      <c r="AN7" s="388"/>
      <c r="AO7" s="388"/>
      <c r="AP7" s="389"/>
      <c r="AQ7" s="387" t="s">
        <v>230</v>
      </c>
      <c r="AR7" s="388"/>
      <c r="AS7" s="388"/>
      <c r="AT7" s="389"/>
      <c r="AU7" s="387" t="s">
        <v>230</v>
      </c>
      <c r="AV7" s="388"/>
      <c r="AW7" s="388"/>
      <c r="AX7" s="389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4">
        <f>SUM('01'!L25:'01'!L29)</f>
        <v>2593.46</v>
      </c>
      <c r="D8" s="395"/>
      <c r="E8" s="395"/>
      <c r="F8" s="396"/>
      <c r="G8" s="394">
        <f>SUM('02'!L25:'02'!L29)</f>
        <v>2592.42</v>
      </c>
      <c r="H8" s="395"/>
      <c r="I8" s="395"/>
      <c r="J8" s="396"/>
      <c r="K8" s="394">
        <f>SUM('03'!L25:'03'!L29)</f>
        <v>2526.87</v>
      </c>
      <c r="L8" s="395"/>
      <c r="M8" s="395"/>
      <c r="N8" s="396"/>
      <c r="O8" s="394">
        <f>SUM('04'!L25:'04'!L29)</f>
        <v>2570.56</v>
      </c>
      <c r="P8" s="395"/>
      <c r="Q8" s="395"/>
      <c r="R8" s="396"/>
      <c r="S8" s="394">
        <f>SUM('05'!L25:'05'!L29)</f>
        <v>4448.8500000000004</v>
      </c>
      <c r="T8" s="395"/>
      <c r="U8" s="395"/>
      <c r="V8" s="396"/>
      <c r="W8" s="394">
        <f>SUM('06'!L25:'06'!L29)</f>
        <v>2574.61</v>
      </c>
      <c r="X8" s="395"/>
      <c r="Y8" s="395"/>
      <c r="Z8" s="396"/>
      <c r="AA8" s="394">
        <f>SUM('07'!L25:'07'!L29)</f>
        <v>2568.54</v>
      </c>
      <c r="AB8" s="395"/>
      <c r="AC8" s="395"/>
      <c r="AD8" s="396"/>
      <c r="AE8" s="394">
        <f>SUM('08'!L25:'08'!L29)</f>
        <v>0</v>
      </c>
      <c r="AF8" s="395"/>
      <c r="AG8" s="395"/>
      <c r="AH8" s="396"/>
      <c r="AI8" s="394">
        <f>SUM('09'!L25:'09'!L29)</f>
        <v>0</v>
      </c>
      <c r="AJ8" s="395"/>
      <c r="AK8" s="395"/>
      <c r="AL8" s="396"/>
      <c r="AM8" s="394">
        <f>SUM('10'!L25:'10'!L29)</f>
        <v>0</v>
      </c>
      <c r="AN8" s="395"/>
      <c r="AO8" s="395"/>
      <c r="AP8" s="396"/>
      <c r="AQ8" s="394">
        <f>SUM('11'!L25:'11'!L29)</f>
        <v>0</v>
      </c>
      <c r="AR8" s="395"/>
      <c r="AS8" s="395"/>
      <c r="AT8" s="396"/>
      <c r="AU8" s="394">
        <f>SUM('12'!L25:'12'!L29)</f>
        <v>0</v>
      </c>
      <c r="AV8" s="395"/>
      <c r="AW8" s="395"/>
      <c r="AX8" s="396"/>
      <c r="AZ8" s="209">
        <f>SUM(C8:AU8)</f>
        <v>19875.310000000001</v>
      </c>
      <c r="BA8" s="112">
        <f t="shared" ref="BA8:BA16" ca="1" si="0">AZ8/BC$17</f>
        <v>2484.4137500000002</v>
      </c>
      <c r="BB8" s="1"/>
      <c r="BC8" s="1"/>
    </row>
    <row r="9" spans="1:55" ht="15.75">
      <c r="A9" s="189" t="s">
        <v>213</v>
      </c>
      <c r="B9" s="193">
        <v>5835.74</v>
      </c>
      <c r="C9" s="381">
        <f>SUM('01'!L30:'01'!L34)</f>
        <v>655.59</v>
      </c>
      <c r="D9" s="382"/>
      <c r="E9" s="382"/>
      <c r="F9" s="383"/>
      <c r="G9" s="381">
        <f>SUM('02'!L30:'02'!L34)</f>
        <v>760.26</v>
      </c>
      <c r="H9" s="382"/>
      <c r="I9" s="382"/>
      <c r="J9" s="383"/>
      <c r="K9" s="381">
        <f>SUM('03'!L30:'03'!L34)</f>
        <v>516.44000000000005</v>
      </c>
      <c r="L9" s="382"/>
      <c r="M9" s="382"/>
      <c r="N9" s="383"/>
      <c r="O9" s="381">
        <f>SUM('04'!L30:'04'!L34)</f>
        <v>507.54</v>
      </c>
      <c r="P9" s="382"/>
      <c r="Q9" s="382"/>
      <c r="R9" s="383"/>
      <c r="S9" s="381">
        <f>SUM('05'!L30:'05'!L34)</f>
        <v>578.16999999999996</v>
      </c>
      <c r="T9" s="382"/>
      <c r="U9" s="382"/>
      <c r="V9" s="383"/>
      <c r="W9" s="381">
        <f>SUM('06'!L30:'06'!L34)</f>
        <v>613.67000000000007</v>
      </c>
      <c r="X9" s="382"/>
      <c r="Y9" s="382"/>
      <c r="Z9" s="383"/>
      <c r="AA9" s="381">
        <f>SUM('07'!L30:'07'!L34)</f>
        <v>1147.52</v>
      </c>
      <c r="AB9" s="382"/>
      <c r="AC9" s="382"/>
      <c r="AD9" s="383"/>
      <c r="AE9" s="381">
        <f>SUM('08'!L30:'08'!L34)</f>
        <v>291.60000000000002</v>
      </c>
      <c r="AF9" s="382"/>
      <c r="AG9" s="382"/>
      <c r="AH9" s="383"/>
      <c r="AI9" s="381">
        <f>SUM('09'!L30:'09'!L34)</f>
        <v>0</v>
      </c>
      <c r="AJ9" s="382"/>
      <c r="AK9" s="382"/>
      <c r="AL9" s="383"/>
      <c r="AM9" s="381">
        <f>SUM('10'!L30:'10'!L34)</f>
        <v>0</v>
      </c>
      <c r="AN9" s="382"/>
      <c r="AO9" s="382"/>
      <c r="AP9" s="383"/>
      <c r="AQ9" s="381">
        <f>SUM('11'!L30:'11'!L34)</f>
        <v>0</v>
      </c>
      <c r="AR9" s="382"/>
      <c r="AS9" s="382"/>
      <c r="AT9" s="383"/>
      <c r="AU9" s="381">
        <f>SUM('12'!L30:'12'!L34)</f>
        <v>0</v>
      </c>
      <c r="AV9" s="382"/>
      <c r="AW9" s="382"/>
      <c r="AX9" s="383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81">
        <f>SUM('01'!L35:'01'!L39)</f>
        <v>120.85</v>
      </c>
      <c r="D10" s="382"/>
      <c r="E10" s="382"/>
      <c r="F10" s="383"/>
      <c r="G10" s="381">
        <f>SUM('02'!L35:'02'!L39)</f>
        <v>107.38</v>
      </c>
      <c r="H10" s="382"/>
      <c r="I10" s="382"/>
      <c r="J10" s="383"/>
      <c r="K10" s="381">
        <f>SUM('03'!L35:'03'!L39)</f>
        <v>91.73</v>
      </c>
      <c r="L10" s="382"/>
      <c r="M10" s="382"/>
      <c r="N10" s="383"/>
      <c r="O10" s="381">
        <f>SUM('04'!L35:'04'!L39)</f>
        <v>204.23</v>
      </c>
      <c r="P10" s="382"/>
      <c r="Q10" s="382"/>
      <c r="R10" s="383"/>
      <c r="S10" s="381">
        <f>SUM('05'!L35:'05'!L39)</f>
        <v>119.85</v>
      </c>
      <c r="T10" s="382"/>
      <c r="U10" s="382"/>
      <c r="V10" s="383"/>
      <c r="W10" s="397">
        <f>SUM('06'!L35:'06'!L39)</f>
        <v>55.09</v>
      </c>
      <c r="X10" s="398"/>
      <c r="Y10" s="398"/>
      <c r="Z10" s="399"/>
      <c r="AA10" s="397">
        <f>SUM('07'!L35:'07'!L39)</f>
        <v>124.52</v>
      </c>
      <c r="AB10" s="398"/>
      <c r="AC10" s="398"/>
      <c r="AD10" s="399"/>
      <c r="AE10" s="397">
        <f>SUM('08'!L35:'08'!L39)</f>
        <v>0</v>
      </c>
      <c r="AF10" s="398"/>
      <c r="AG10" s="398"/>
      <c r="AH10" s="399"/>
      <c r="AI10" s="397">
        <f>SUM('09'!L35:'09'!L39)</f>
        <v>0</v>
      </c>
      <c r="AJ10" s="398"/>
      <c r="AK10" s="398"/>
      <c r="AL10" s="399"/>
      <c r="AM10" s="397">
        <f>SUM('10'!L35:'10'!L39)</f>
        <v>0</v>
      </c>
      <c r="AN10" s="398"/>
      <c r="AO10" s="398"/>
      <c r="AP10" s="399"/>
      <c r="AQ10" s="397">
        <f>SUM('11'!L35:'11'!L39)</f>
        <v>0</v>
      </c>
      <c r="AR10" s="398"/>
      <c r="AS10" s="398"/>
      <c r="AT10" s="399"/>
      <c r="AU10" s="397">
        <f>SUM('12'!L35:'12'!L39)</f>
        <v>0</v>
      </c>
      <c r="AV10" s="398"/>
      <c r="AW10" s="398"/>
      <c r="AX10" s="399"/>
      <c r="AZ10" s="211">
        <f t="shared" si="1"/>
        <v>823.65</v>
      </c>
      <c r="BA10" s="112">
        <f t="shared" ca="1" si="0"/>
        <v>102.95625</v>
      </c>
      <c r="BB10" s="1"/>
      <c r="BC10" s="1"/>
    </row>
    <row r="11" spans="1:55" ht="15.75">
      <c r="A11" s="189" t="s">
        <v>214</v>
      </c>
      <c r="B11" s="193">
        <v>2906.88</v>
      </c>
      <c r="C11" s="381">
        <f>SUM('01'!L40:'01'!L44)</f>
        <v>3.87</v>
      </c>
      <c r="D11" s="382"/>
      <c r="E11" s="382"/>
      <c r="F11" s="383"/>
      <c r="G11" s="381">
        <f>SUM('02'!L40:'02'!L44)</f>
        <v>0</v>
      </c>
      <c r="H11" s="382"/>
      <c r="I11" s="382"/>
      <c r="J11" s="383"/>
      <c r="K11" s="381">
        <f>SUM('03'!L40:'03'!L44)</f>
        <v>0</v>
      </c>
      <c r="L11" s="382"/>
      <c r="M11" s="382"/>
      <c r="N11" s="383"/>
      <c r="O11" s="381">
        <f>SUM('04'!L40:'04'!L44)</f>
        <v>356.59</v>
      </c>
      <c r="P11" s="382"/>
      <c r="Q11" s="382"/>
      <c r="R11" s="383"/>
      <c r="S11" s="381">
        <f>SUM('05'!L40:'05'!L44)</f>
        <v>45.86</v>
      </c>
      <c r="T11" s="382"/>
      <c r="U11" s="382"/>
      <c r="V11" s="383"/>
      <c r="W11" s="381">
        <f>SUM('06'!L40:'06'!L44)</f>
        <v>0</v>
      </c>
      <c r="X11" s="382"/>
      <c r="Y11" s="382"/>
      <c r="Z11" s="383"/>
      <c r="AA11" s="381">
        <f>SUM('07'!L40:'07'!L44)</f>
        <v>1.02</v>
      </c>
      <c r="AB11" s="382"/>
      <c r="AC11" s="382"/>
      <c r="AD11" s="383"/>
      <c r="AE11" s="381">
        <f>SUM('08'!L40:'08'!L44)</f>
        <v>0</v>
      </c>
      <c r="AF11" s="382"/>
      <c r="AG11" s="382"/>
      <c r="AH11" s="383"/>
      <c r="AI11" s="381">
        <f>SUM('09'!L40:'09'!L44)</f>
        <v>0</v>
      </c>
      <c r="AJ11" s="382"/>
      <c r="AK11" s="382"/>
      <c r="AL11" s="383"/>
      <c r="AM11" s="381">
        <f>SUM('10'!L40:'10'!L44)</f>
        <v>0</v>
      </c>
      <c r="AN11" s="382"/>
      <c r="AO11" s="382"/>
      <c r="AP11" s="383"/>
      <c r="AQ11" s="381">
        <f>SUM('11'!L40:'11'!L44)</f>
        <v>0</v>
      </c>
      <c r="AR11" s="382"/>
      <c r="AS11" s="382"/>
      <c r="AT11" s="383"/>
      <c r="AU11" s="381">
        <f>SUM('12'!L40:'12'!L44)</f>
        <v>0</v>
      </c>
      <c r="AV11" s="382"/>
      <c r="AW11" s="382"/>
      <c r="AX11" s="383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81">
        <f>SUM('01'!L45:'01'!L49)</f>
        <v>137</v>
      </c>
      <c r="D12" s="382"/>
      <c r="E12" s="382"/>
      <c r="F12" s="383"/>
      <c r="G12" s="381">
        <f>SUM('02'!L45:'02'!L49)</f>
        <v>600.04</v>
      </c>
      <c r="H12" s="382"/>
      <c r="I12" s="382"/>
      <c r="J12" s="383"/>
      <c r="K12" s="381">
        <f>SUM('03'!L45:'03'!L49)</f>
        <v>380</v>
      </c>
      <c r="L12" s="382"/>
      <c r="M12" s="382"/>
      <c r="N12" s="383"/>
      <c r="O12" s="381">
        <f>SUM('04'!L45:'04'!L49)</f>
        <v>0</v>
      </c>
      <c r="P12" s="382"/>
      <c r="Q12" s="382"/>
      <c r="R12" s="383"/>
      <c r="S12" s="381">
        <f>SUM('05'!L45:'05'!L49)</f>
        <v>0</v>
      </c>
      <c r="T12" s="382"/>
      <c r="U12" s="382"/>
      <c r="V12" s="383"/>
      <c r="W12" s="397">
        <f>SUM('06'!L45:'06'!L49)</f>
        <v>242.41</v>
      </c>
      <c r="X12" s="398"/>
      <c r="Y12" s="398"/>
      <c r="Z12" s="399"/>
      <c r="AA12" s="397">
        <f>SUM('07'!L45:'07'!L49)</f>
        <v>0</v>
      </c>
      <c r="AB12" s="398"/>
      <c r="AC12" s="398"/>
      <c r="AD12" s="399"/>
      <c r="AE12" s="397">
        <f>SUM('08'!L45:'08'!L49)</f>
        <v>0</v>
      </c>
      <c r="AF12" s="398"/>
      <c r="AG12" s="398"/>
      <c r="AH12" s="399"/>
      <c r="AI12" s="397">
        <f>SUM('09'!L45:'09'!L49)</f>
        <v>0</v>
      </c>
      <c r="AJ12" s="398"/>
      <c r="AK12" s="398"/>
      <c r="AL12" s="399"/>
      <c r="AM12" s="397">
        <f>SUM('10'!L45:'10'!L49)</f>
        <v>0</v>
      </c>
      <c r="AN12" s="398"/>
      <c r="AO12" s="398"/>
      <c r="AP12" s="399"/>
      <c r="AQ12" s="397">
        <f>SUM('11'!L45:'11'!L49)</f>
        <v>0</v>
      </c>
      <c r="AR12" s="398"/>
      <c r="AS12" s="398"/>
      <c r="AT12" s="399"/>
      <c r="AU12" s="397">
        <f>SUM('12'!L45:'12'!L49)</f>
        <v>0</v>
      </c>
      <c r="AV12" s="398"/>
      <c r="AW12" s="398"/>
      <c r="AX12" s="399"/>
      <c r="AZ12" s="211">
        <f t="shared" si="1"/>
        <v>1359.45</v>
      </c>
      <c r="BA12" s="112">
        <f t="shared" ca="1" si="0"/>
        <v>169.93125000000001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81">
        <f>SUM('01'!L50:'01'!L54)</f>
        <v>95.8</v>
      </c>
      <c r="D13" s="382"/>
      <c r="E13" s="382"/>
      <c r="F13" s="383"/>
      <c r="G13" s="381">
        <f>SUM('02'!L50:'02'!L54)</f>
        <v>95.8</v>
      </c>
      <c r="H13" s="382"/>
      <c r="I13" s="382"/>
      <c r="J13" s="383"/>
      <c r="K13" s="381">
        <f>SUM('03'!L50:'03'!L54)</f>
        <v>4517.74</v>
      </c>
      <c r="L13" s="382"/>
      <c r="M13" s="382"/>
      <c r="N13" s="383"/>
      <c r="O13" s="381">
        <f>SUM('04'!L50:'04'!L54)</f>
        <v>95.8</v>
      </c>
      <c r="P13" s="382"/>
      <c r="Q13" s="382"/>
      <c r="R13" s="383"/>
      <c r="S13" s="381">
        <f>SUM('05'!L50:'05'!L54)</f>
        <v>95.8</v>
      </c>
      <c r="T13" s="382"/>
      <c r="U13" s="382"/>
      <c r="V13" s="383"/>
      <c r="W13" s="381">
        <f>SUM('06'!L50:'06'!L54)</f>
        <v>95.8</v>
      </c>
      <c r="X13" s="382"/>
      <c r="Y13" s="382"/>
      <c r="Z13" s="383"/>
      <c r="AA13" s="381">
        <f>SUM('07'!L50:'07'!L54)</f>
        <v>95.8</v>
      </c>
      <c r="AB13" s="382"/>
      <c r="AC13" s="382"/>
      <c r="AD13" s="383"/>
      <c r="AE13" s="381">
        <f>SUM('08'!L50:'08'!L54)</f>
        <v>117.03</v>
      </c>
      <c r="AF13" s="382"/>
      <c r="AG13" s="382"/>
      <c r="AH13" s="383"/>
      <c r="AI13" s="381">
        <f>SUM('09'!L50:'09'!L54)</f>
        <v>0</v>
      </c>
      <c r="AJ13" s="382"/>
      <c r="AK13" s="382"/>
      <c r="AL13" s="383"/>
      <c r="AM13" s="381">
        <f>SUM('10'!L50:'10'!L54)</f>
        <v>0</v>
      </c>
      <c r="AN13" s="382"/>
      <c r="AO13" s="382"/>
      <c r="AP13" s="383"/>
      <c r="AQ13" s="381">
        <f>SUM('11'!L50:'11'!L54)</f>
        <v>0</v>
      </c>
      <c r="AR13" s="382"/>
      <c r="AS13" s="382"/>
      <c r="AT13" s="383"/>
      <c r="AU13" s="381">
        <f>SUM('12'!L50:'12'!L54)</f>
        <v>0</v>
      </c>
      <c r="AV13" s="382"/>
      <c r="AW13" s="382"/>
      <c r="AX13" s="383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81">
        <f>SUM('01'!L55:'01'!L59)</f>
        <v>0</v>
      </c>
      <c r="D14" s="382"/>
      <c r="E14" s="382"/>
      <c r="F14" s="383"/>
      <c r="G14" s="381">
        <f>SUM('02'!L55:'02'!L59)</f>
        <v>0</v>
      </c>
      <c r="H14" s="382"/>
      <c r="I14" s="382"/>
      <c r="J14" s="383"/>
      <c r="K14" s="381">
        <f>SUM('03'!L55:'03'!L59)</f>
        <v>9.44</v>
      </c>
      <c r="L14" s="382"/>
      <c r="M14" s="382"/>
      <c r="N14" s="383"/>
      <c r="O14" s="381">
        <f>SUM('04'!L55:'04'!L59)</f>
        <v>37.980000000000004</v>
      </c>
      <c r="P14" s="382"/>
      <c r="Q14" s="382"/>
      <c r="R14" s="383"/>
      <c r="S14" s="381">
        <f>SUM('05'!L55:'05'!L59)</f>
        <v>17.350000000000001</v>
      </c>
      <c r="T14" s="382"/>
      <c r="U14" s="382"/>
      <c r="V14" s="383"/>
      <c r="W14" s="397">
        <f>SUM('06'!L55:'06'!L59)</f>
        <v>0</v>
      </c>
      <c r="X14" s="398"/>
      <c r="Y14" s="398"/>
      <c r="Z14" s="399"/>
      <c r="AA14" s="397">
        <f>SUM('07'!L55:'07'!L59)</f>
        <v>51.759999999999991</v>
      </c>
      <c r="AB14" s="398"/>
      <c r="AC14" s="398"/>
      <c r="AD14" s="399"/>
      <c r="AE14" s="397">
        <f>SUM('08'!L55:'08'!L59)</f>
        <v>0</v>
      </c>
      <c r="AF14" s="398"/>
      <c r="AG14" s="398"/>
      <c r="AH14" s="399"/>
      <c r="AI14" s="397">
        <f>SUM('09'!L55:'09'!L59)</f>
        <v>0</v>
      </c>
      <c r="AJ14" s="398"/>
      <c r="AK14" s="398"/>
      <c r="AL14" s="399"/>
      <c r="AM14" s="397">
        <f>SUM('10'!L55:'10'!L59)</f>
        <v>0</v>
      </c>
      <c r="AN14" s="398"/>
      <c r="AO14" s="398"/>
      <c r="AP14" s="399"/>
      <c r="AQ14" s="397">
        <f>SUM('11'!L55:'11'!L59)</f>
        <v>0</v>
      </c>
      <c r="AR14" s="398"/>
      <c r="AS14" s="398"/>
      <c r="AT14" s="399"/>
      <c r="AU14" s="397">
        <f>SUM('12'!L55:'12'!L59)</f>
        <v>0</v>
      </c>
      <c r="AV14" s="398"/>
      <c r="AW14" s="398"/>
      <c r="AX14" s="399"/>
      <c r="AZ14" s="211">
        <f t="shared" si="1"/>
        <v>116.53</v>
      </c>
      <c r="BA14" s="112">
        <f t="shared" ca="1" si="0"/>
        <v>14.56625</v>
      </c>
      <c r="BB14" s="3"/>
      <c r="BC14" s="3"/>
    </row>
    <row r="15" spans="1:55" ht="15.75">
      <c r="A15" s="189" t="s">
        <v>217</v>
      </c>
      <c r="B15" s="193">
        <v>7756.04</v>
      </c>
      <c r="C15" s="381">
        <f>SUM('01'!L60:'01'!L64)</f>
        <v>0</v>
      </c>
      <c r="D15" s="382"/>
      <c r="E15" s="382"/>
      <c r="F15" s="383"/>
      <c r="G15" s="381">
        <f>SUM('02'!L60:'02'!L64)</f>
        <v>665.77</v>
      </c>
      <c r="H15" s="382"/>
      <c r="I15" s="382"/>
      <c r="J15" s="383"/>
      <c r="K15" s="381">
        <f>SUM('03'!L60:'03'!L64)</f>
        <v>682.39</v>
      </c>
      <c r="L15" s="382"/>
      <c r="M15" s="382"/>
      <c r="N15" s="383"/>
      <c r="O15" s="381">
        <f>SUM('04'!L60:'04'!L64)</f>
        <v>550</v>
      </c>
      <c r="P15" s="382"/>
      <c r="Q15" s="382"/>
      <c r="R15" s="383"/>
      <c r="S15" s="381">
        <f>SUM('05'!L60:'05'!L64)</f>
        <v>652.44000000000005</v>
      </c>
      <c r="T15" s="382"/>
      <c r="U15" s="382"/>
      <c r="V15" s="383"/>
      <c r="W15" s="381">
        <f>SUM('06'!L60:'06'!L64)</f>
        <v>511.74</v>
      </c>
      <c r="X15" s="382"/>
      <c r="Y15" s="382"/>
      <c r="Z15" s="383"/>
      <c r="AA15" s="381">
        <f>SUM('07'!L60:'07'!L64)</f>
        <v>649.1</v>
      </c>
      <c r="AB15" s="382"/>
      <c r="AC15" s="382"/>
      <c r="AD15" s="383"/>
      <c r="AE15" s="381">
        <f>SUM('08'!L60:'08'!L64)</f>
        <v>550</v>
      </c>
      <c r="AF15" s="382"/>
      <c r="AG15" s="382"/>
      <c r="AH15" s="383"/>
      <c r="AI15" s="381">
        <f>SUM('09'!L60:'09'!L64)</f>
        <v>0</v>
      </c>
      <c r="AJ15" s="382"/>
      <c r="AK15" s="382"/>
      <c r="AL15" s="383"/>
      <c r="AM15" s="381">
        <f>SUM('10'!L60:'10'!L64)</f>
        <v>0</v>
      </c>
      <c r="AN15" s="382"/>
      <c r="AO15" s="382"/>
      <c r="AP15" s="383"/>
      <c r="AQ15" s="381">
        <f>SUM('11'!L60:'11'!L64)</f>
        <v>0</v>
      </c>
      <c r="AR15" s="382"/>
      <c r="AS15" s="382"/>
      <c r="AT15" s="383"/>
      <c r="AU15" s="381">
        <f>SUM('12'!L60:'12'!L64)</f>
        <v>0</v>
      </c>
      <c r="AV15" s="382"/>
      <c r="AW15" s="382"/>
      <c r="AX15" s="383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81">
        <f>SUM('01'!L65:'01'!L69)</f>
        <v>85</v>
      </c>
      <c r="D16" s="382"/>
      <c r="E16" s="382"/>
      <c r="F16" s="383"/>
      <c r="G16" s="381">
        <f>SUM('02'!L65:'02'!L69)</f>
        <v>0</v>
      </c>
      <c r="H16" s="382"/>
      <c r="I16" s="382"/>
      <c r="J16" s="383"/>
      <c r="K16" s="381">
        <f>SUM('03'!L65:'03'!L69)</f>
        <v>0</v>
      </c>
      <c r="L16" s="382"/>
      <c r="M16" s="382"/>
      <c r="N16" s="383"/>
      <c r="O16" s="381">
        <f>SUM('04'!L65:'04'!L69)</f>
        <v>0</v>
      </c>
      <c r="P16" s="382"/>
      <c r="Q16" s="382"/>
      <c r="R16" s="383"/>
      <c r="S16" s="381">
        <f>SUM('05'!L65:'05'!L69)</f>
        <v>0</v>
      </c>
      <c r="T16" s="382"/>
      <c r="U16" s="382"/>
      <c r="V16" s="383"/>
      <c r="W16" s="400">
        <f>SUM('06'!L65:'06'!L69)</f>
        <v>0</v>
      </c>
      <c r="X16" s="401"/>
      <c r="Y16" s="401"/>
      <c r="Z16" s="402"/>
      <c r="AA16" s="400">
        <f>SUM('07'!L65:'07'!L69)</f>
        <v>0</v>
      </c>
      <c r="AB16" s="401"/>
      <c r="AC16" s="401"/>
      <c r="AD16" s="402"/>
      <c r="AE16" s="400">
        <f>SUM('08'!L65:'08'!L69)</f>
        <v>0</v>
      </c>
      <c r="AF16" s="401"/>
      <c r="AG16" s="401"/>
      <c r="AH16" s="402"/>
      <c r="AI16" s="400">
        <f>SUM('09'!L65:'09'!L69)</f>
        <v>0</v>
      </c>
      <c r="AJ16" s="401"/>
      <c r="AK16" s="401"/>
      <c r="AL16" s="402"/>
      <c r="AM16" s="400">
        <f>SUM('10'!L65:'10'!L69)</f>
        <v>0</v>
      </c>
      <c r="AN16" s="401"/>
      <c r="AO16" s="401"/>
      <c r="AP16" s="402"/>
      <c r="AQ16" s="400">
        <f>SUM('11'!L65:'11'!L69)</f>
        <v>0</v>
      </c>
      <c r="AR16" s="401"/>
      <c r="AS16" s="401"/>
      <c r="AT16" s="402"/>
      <c r="AU16" s="400">
        <f>SUM('12'!L65:'12'!L69)</f>
        <v>0</v>
      </c>
      <c r="AV16" s="401"/>
      <c r="AW16" s="401"/>
      <c r="AX16" s="402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7">
        <f>SUM(C8:C16)</f>
        <v>3691.57</v>
      </c>
      <c r="D17" s="378"/>
      <c r="E17" s="378"/>
      <c r="F17" s="379"/>
      <c r="G17" s="377">
        <f>SUM(G8:G16)</f>
        <v>4821.67</v>
      </c>
      <c r="H17" s="378"/>
      <c r="I17" s="378"/>
      <c r="J17" s="379"/>
      <c r="K17" s="377">
        <f>SUM(K8:K16)</f>
        <v>8724.6099999999988</v>
      </c>
      <c r="L17" s="378"/>
      <c r="M17" s="378"/>
      <c r="N17" s="379"/>
      <c r="O17" s="377">
        <f>SUM(O8:O16)</f>
        <v>4322.7000000000007</v>
      </c>
      <c r="P17" s="378"/>
      <c r="Q17" s="378"/>
      <c r="R17" s="379"/>
      <c r="S17" s="377">
        <f>SUM(S8:S16)</f>
        <v>5958.3200000000015</v>
      </c>
      <c r="T17" s="378"/>
      <c r="U17" s="378"/>
      <c r="V17" s="379"/>
      <c r="W17" s="377">
        <f>SUM(W8:W16)</f>
        <v>4093.3200000000006</v>
      </c>
      <c r="X17" s="378"/>
      <c r="Y17" s="378"/>
      <c r="Z17" s="379"/>
      <c r="AA17" s="377">
        <f>SUM(AA8:AA16)</f>
        <v>4638.26</v>
      </c>
      <c r="AB17" s="378"/>
      <c r="AC17" s="378"/>
      <c r="AD17" s="379"/>
      <c r="AE17" s="377">
        <f>SUM(AE8:AE16)</f>
        <v>958.63</v>
      </c>
      <c r="AF17" s="378"/>
      <c r="AG17" s="378"/>
      <c r="AH17" s="379"/>
      <c r="AI17" s="377">
        <f>SUM(AI8:AI16)</f>
        <v>0</v>
      </c>
      <c r="AJ17" s="378"/>
      <c r="AK17" s="378"/>
      <c r="AL17" s="379"/>
      <c r="AM17" s="377">
        <f>SUM(AM8:AM16)</f>
        <v>0</v>
      </c>
      <c r="AN17" s="378"/>
      <c r="AO17" s="378"/>
      <c r="AP17" s="379"/>
      <c r="AQ17" s="377">
        <f>SUM(AQ8:AQ16)</f>
        <v>0</v>
      </c>
      <c r="AR17" s="378"/>
      <c r="AS17" s="378"/>
      <c r="AT17" s="379"/>
      <c r="AU17" s="377">
        <f>SUM(AU8:AU16)</f>
        <v>0</v>
      </c>
      <c r="AV17" s="378"/>
      <c r="AW17" s="378"/>
      <c r="AX17" s="379"/>
      <c r="AZ17" s="227">
        <f>SUM(AZ8:AZ16)</f>
        <v>37209.080000000009</v>
      </c>
      <c r="BA17" s="112">
        <f ca="1">AZ17/BC$17</f>
        <v>4651.1350000000011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380"/>
      <c r="AD18" s="380"/>
      <c r="AE18" s="380"/>
      <c r="AF18" s="380"/>
      <c r="AG18" s="380"/>
      <c r="AH18" s="380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 t="s">
        <v>173</v>
      </c>
      <c r="AV18" s="380"/>
      <c r="AW18" s="380"/>
      <c r="AX18" s="380"/>
      <c r="AZ18" s="131">
        <f>(2500*13)+(600*12)+(550*12)+(95*12)</f>
        <v>47440</v>
      </c>
      <c r="BA18" s="131">
        <f ca="1">12*BA17</f>
        <v>55813.62000000001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42.239999999999995</v>
      </c>
      <c r="AH20" s="145">
        <f t="shared" ref="AH20:AH45" si="9">AD20+AF20-AG20</f>
        <v>921.89999999999986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1465.8999999999999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2009.8999999999999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2553.8999999999996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3097.8999999999996</v>
      </c>
      <c r="AZ20" s="123">
        <f t="shared" ref="AZ20:AZ27" si="14">E20+I20+M20+Q20+U20+Y20+AC20+AG20+AK20+AO20+AS20+AW20</f>
        <v>4177.9000000000005</v>
      </c>
      <c r="BA20" s="21">
        <f t="shared" ref="BA20:BA45" si="15">AZ20/AZ$46</f>
        <v>0.12096566380700623</v>
      </c>
      <c r="BB20" s="22">
        <f>_xlfn.RANK.EQ(BA20,$BA$20:$BA$45,)</f>
        <v>3</v>
      </c>
      <c r="BC20" s="22">
        <f t="shared" ref="BC20:BC45" ca="1" si="16">AZ20/BC$17</f>
        <v>522.23750000000007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0.12499690935653342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473.12000000000023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104.19</v>
      </c>
      <c r="AH21" s="151">
        <f t="shared" si="9"/>
        <v>1423.9599999999994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2571.9599999999991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3699.9599999999991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4827.9599999999991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5955.9599999999991</v>
      </c>
      <c r="AZ21" s="152">
        <f t="shared" si="14"/>
        <v>8437.9000000000015</v>
      </c>
      <c r="BA21" s="21">
        <f t="shared" si="15"/>
        <v>0.24430842639535122</v>
      </c>
      <c r="BB21" s="22">
        <f t="shared" ref="BB21:BB45" si="20">_xlfn.RANK.EQ(BA21,$BA$20:$BA$45,)</f>
        <v>1</v>
      </c>
      <c r="BC21" s="22">
        <f t="shared" ca="1" si="16"/>
        <v>1054.7375000000002</v>
      </c>
      <c r="BE21" s="224">
        <f t="shared" ca="1" si="17"/>
        <v>9209</v>
      </c>
      <c r="BF21" s="21">
        <f t="shared" ca="1" si="18"/>
        <v>0.24749335377278878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771.09999999999968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300</v>
      </c>
      <c r="AG22" s="155">
        <f>SUM('08'!D60:F60)</f>
        <v>158.07000000000002</v>
      </c>
      <c r="AH22" s="156">
        <f t="shared" si="9"/>
        <v>631.61000000000013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931.61000000000013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1421.6100000000001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1911.6100000000001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2401.61</v>
      </c>
      <c r="AZ22" s="157">
        <f t="shared" si="14"/>
        <v>2176.8200000000002</v>
      </c>
      <c r="BA22" s="21">
        <f t="shared" si="15"/>
        <v>6.3026993534638767E-2</v>
      </c>
      <c r="BB22" s="22">
        <f t="shared" si="20"/>
        <v>6</v>
      </c>
      <c r="BC22" s="22">
        <f t="shared" ca="1" si="16"/>
        <v>272.10250000000002</v>
      </c>
      <c r="BE22" s="225">
        <f t="shared" ca="1" si="17"/>
        <v>2562.36</v>
      </c>
      <c r="BF22" s="21">
        <f t="shared" ca="1" si="18"/>
        <v>6.8863836461422856E-2</v>
      </c>
      <c r="BG22" s="22">
        <f t="shared" ca="1" si="21"/>
        <v>7</v>
      </c>
      <c r="BH22" s="22">
        <f t="shared" ca="1" si="19"/>
        <v>320.29500000000002</v>
      </c>
      <c r="BJ22" s="225">
        <f t="shared" ca="1" si="22"/>
        <v>385.53999999999996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170</v>
      </c>
      <c r="AG23" s="150">
        <f>SUM('08'!D80:F80)</f>
        <v>0</v>
      </c>
      <c r="AH23" s="151">
        <f t="shared" si="9"/>
        <v>299.48000000000008</v>
      </c>
      <c r="AI23" s="148" t="s">
        <v>76</v>
      </c>
      <c r="AJ23" s="149">
        <f>'09'!B80</f>
        <v>170</v>
      </c>
      <c r="AK23" s="150">
        <f>SUM('09'!D80:F80)</f>
        <v>0</v>
      </c>
      <c r="AL23" s="151">
        <f t="shared" si="10"/>
        <v>469.48000000000008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619.48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769.48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919.48</v>
      </c>
      <c r="AZ23" s="152">
        <f t="shared" si="14"/>
        <v>1147.6499999999999</v>
      </c>
      <c r="BA23" s="21">
        <f t="shared" si="15"/>
        <v>3.322871396350096E-2</v>
      </c>
      <c r="BB23" s="22">
        <f t="shared" si="20"/>
        <v>8</v>
      </c>
      <c r="BC23" s="22">
        <f t="shared" ca="1" si="16"/>
        <v>143.45624999999998</v>
      </c>
      <c r="BE23" s="224">
        <f t="shared" ca="1" si="17"/>
        <v>1405</v>
      </c>
      <c r="BF23" s="21">
        <f t="shared" ca="1" si="18"/>
        <v>3.7759600613613664E-2</v>
      </c>
      <c r="BG23" s="22">
        <f t="shared" ca="1" si="21"/>
        <v>9</v>
      </c>
      <c r="BH23" s="22">
        <f t="shared" ca="1" si="19"/>
        <v>175.625</v>
      </c>
      <c r="BJ23" s="224">
        <f t="shared" ca="1" si="22"/>
        <v>257.35000000000002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56.61</v>
      </c>
      <c r="AH24" s="156">
        <f t="shared" si="9"/>
        <v>298.29999999999995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458.29999999999995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618.29999999999995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778.3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938.3</v>
      </c>
      <c r="AZ24" s="157">
        <f t="shared" si="14"/>
        <v>1011.7</v>
      </c>
      <c r="BA24" s="21">
        <f t="shared" si="15"/>
        <v>2.9292458429725027E-2</v>
      </c>
      <c r="BB24" s="22">
        <f t="shared" si="20"/>
        <v>10</v>
      </c>
      <c r="BC24" s="22">
        <f t="shared" ca="1" si="16"/>
        <v>126.46250000000001</v>
      </c>
      <c r="BE24" s="225">
        <f t="shared" ca="1" si="17"/>
        <v>1310</v>
      </c>
      <c r="BF24" s="21">
        <f t="shared" ca="1" si="18"/>
        <v>3.5206460358600644E-2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298.29999999999995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7.7683935618552385E-2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9.3481214800258422E-2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17.990000000000002</v>
      </c>
      <c r="AH26" s="156">
        <f t="shared" si="9"/>
        <v>62.54999999999999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115.54999999999998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163.54999999999998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211.54999999999998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259.54999999999995</v>
      </c>
      <c r="AZ26" s="157">
        <f t="shared" si="14"/>
        <v>376.44000000000005</v>
      </c>
      <c r="BA26" s="21">
        <f t="shared" si="15"/>
        <v>1.0899330879989809E-2</v>
      </c>
      <c r="BB26" s="22">
        <f t="shared" si="20"/>
        <v>17</v>
      </c>
      <c r="BC26" s="22">
        <f t="shared" ca="1" si="16"/>
        <v>47.055000000000007</v>
      </c>
      <c r="BE26" s="225">
        <f t="shared" ca="1" si="17"/>
        <v>419.45</v>
      </c>
      <c r="BF26" s="21">
        <f t="shared" ca="1" si="18"/>
        <v>1.1272786104896976E-2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43.010000000000041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329.54000000000008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379.54000000000008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429.54000000000008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479.54000000000008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529.54000000000008</v>
      </c>
      <c r="AZ27" s="188">
        <f t="shared" si="14"/>
        <v>314.40999999999997</v>
      </c>
      <c r="BA27" s="21">
        <f t="shared" si="15"/>
        <v>9.1033328604228966E-3</v>
      </c>
      <c r="BB27" s="22">
        <f t="shared" si="20"/>
        <v>18</v>
      </c>
      <c r="BC27" s="22">
        <f t="shared" ca="1" si="16"/>
        <v>39.301249999999996</v>
      </c>
      <c r="BE27" s="224">
        <f t="shared" ca="1" si="17"/>
        <v>340</v>
      </c>
      <c r="BF27" s="21">
        <f t="shared" ca="1" si="18"/>
        <v>9.1375545968887164E-3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25.590000000000032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9.717122349650674E-2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8.815160170582019E-2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83.980000000000075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153.98000000000008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223.98000000000008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293.98000000000008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363.98000000000008</v>
      </c>
      <c r="AZ29" s="152">
        <f t="shared" si="23"/>
        <v>413.35</v>
      </c>
      <c r="BA29" s="21">
        <f t="shared" si="15"/>
        <v>1.1968011952087416E-2</v>
      </c>
      <c r="BB29" s="22">
        <f t="shared" si="20"/>
        <v>16</v>
      </c>
      <c r="BC29" s="22">
        <f t="shared" ca="1" si="16"/>
        <v>51.668750000000003</v>
      </c>
      <c r="BE29" s="224">
        <f t="shared" ca="1" si="17"/>
        <v>544</v>
      </c>
      <c r="BF29" s="21">
        <f t="shared" ca="1" si="18"/>
        <v>1.4620087355021946E-2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130.65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85.919999999999973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120.91999999999997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155.91999999999996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190.91999999999996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225.91999999999996</v>
      </c>
      <c r="AZ30" s="157">
        <f t="shared" si="23"/>
        <v>207.25</v>
      </c>
      <c r="BA30" s="21">
        <f t="shared" si="15"/>
        <v>6.0006543536231206E-3</v>
      </c>
      <c r="BB30" s="22">
        <f t="shared" si="20"/>
        <v>19</v>
      </c>
      <c r="BC30" s="22">
        <f t="shared" ca="1" si="16"/>
        <v>25.90625</v>
      </c>
      <c r="BE30" s="225">
        <f t="shared" ca="1" si="17"/>
        <v>320</v>
      </c>
      <c r="BF30" s="21">
        <f t="shared" ca="1" si="18"/>
        <v>8.6000513853070268E-3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112.75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78.679999999999978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98.679999999999978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118.67999999999998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138.67999999999998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158.67999999999998</v>
      </c>
      <c r="AZ31" s="152">
        <f t="shared" si="23"/>
        <v>157.35999999999999</v>
      </c>
      <c r="BA31" s="21">
        <f t="shared" si="15"/>
        <v>4.5561542537328548E-3</v>
      </c>
      <c r="BB31" s="22">
        <f t="shared" si="20"/>
        <v>21</v>
      </c>
      <c r="BC31" s="22">
        <f t="shared" ca="1" si="16"/>
        <v>19.669999999999998</v>
      </c>
      <c r="BE31" s="224">
        <f t="shared" ca="1" si="17"/>
        <v>160</v>
      </c>
      <c r="BF31" s="21">
        <f t="shared" ca="1" si="18"/>
        <v>4.3000256926535134E-3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2.6399999999999721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90</v>
      </c>
      <c r="AG32" s="155">
        <f>SUM('08'!D260:F260)</f>
        <v>45.4</v>
      </c>
      <c r="AH32" s="161">
        <f t="shared" si="9"/>
        <v>633.4899999999999</v>
      </c>
      <c r="AI32" s="143" t="s">
        <v>76</v>
      </c>
      <c r="AJ32" s="155">
        <f>'09'!B260</f>
        <v>90</v>
      </c>
      <c r="AK32" s="155">
        <f>SUM('09'!D260:F260)</f>
        <v>0</v>
      </c>
      <c r="AL32" s="161">
        <f t="shared" si="10"/>
        <v>723.4899999999999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773.4899999999999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823.4899999999999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873.4899999999999</v>
      </c>
      <c r="AZ32" s="157">
        <f t="shared" si="23"/>
        <v>1034.3900000000001</v>
      </c>
      <c r="BA32" s="21">
        <f t="shared" si="15"/>
        <v>2.9949417885858726E-2</v>
      </c>
      <c r="BB32" s="22">
        <f t="shared" si="20"/>
        <v>9</v>
      </c>
      <c r="BC32" s="22">
        <f t="shared" ca="1" si="16"/>
        <v>129.29875000000001</v>
      </c>
      <c r="BE32" s="225">
        <f t="shared" ca="1" si="17"/>
        <v>1682.13</v>
      </c>
      <c r="BF32" s="21">
        <f t="shared" ca="1" si="18"/>
        <v>4.5207513864895341E-2</v>
      </c>
      <c r="BG32" s="22">
        <f t="shared" ca="1" si="21"/>
        <v>8</v>
      </c>
      <c r="BH32" s="22">
        <f t="shared" ca="1" si="19"/>
        <v>210.26625000000001</v>
      </c>
      <c r="BJ32" s="225">
        <f t="shared" ca="1" si="22"/>
        <v>647.7399999999999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60</v>
      </c>
      <c r="AG33" s="150">
        <f>SUM('08'!D280:F280)</f>
        <v>11</v>
      </c>
      <c r="AH33" s="160">
        <f t="shared" si="9"/>
        <v>445.09000000000026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505.09000000000026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555.09000000000026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605.09000000000026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655.09000000000026</v>
      </c>
      <c r="AZ33" s="152">
        <f t="shared" si="23"/>
        <v>4406.8500000000004</v>
      </c>
      <c r="BA33" s="21">
        <f t="shared" si="15"/>
        <v>0.1275946134536263</v>
      </c>
      <c r="BB33" s="22">
        <f t="shared" si="20"/>
        <v>2</v>
      </c>
      <c r="BC33" s="22">
        <f t="shared" ca="1" si="16"/>
        <v>550.85625000000005</v>
      </c>
      <c r="BE33" s="224">
        <f t="shared" ca="1" si="17"/>
        <v>4431.9400000000005</v>
      </c>
      <c r="BF33" s="21">
        <f t="shared" ca="1" si="18"/>
        <v>0.11910909917686759</v>
      </c>
      <c r="BG33" s="22">
        <f t="shared" ca="1" si="21"/>
        <v>3</v>
      </c>
      <c r="BH33" s="22">
        <f t="shared" ca="1" si="19"/>
        <v>553.99250000000006</v>
      </c>
      <c r="BJ33" s="224">
        <f t="shared" ca="1" si="22"/>
        <v>25.090000000000259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79.649999999999807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169.64999999999981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259.64999999999981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349.64999999999981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439.64999999999981</v>
      </c>
      <c r="AZ34" s="152">
        <f t="shared" si="23"/>
        <v>1166.3600000000001</v>
      </c>
      <c r="BA34" s="21">
        <f t="shared" si="15"/>
        <v>3.3770437693084993E-2</v>
      </c>
      <c r="BB34" s="22">
        <f t="shared" si="20"/>
        <v>7</v>
      </c>
      <c r="BC34" s="22">
        <f t="shared" ca="1" si="16"/>
        <v>145.79500000000002</v>
      </c>
      <c r="BE34" s="225">
        <f t="shared" ca="1" si="17"/>
        <v>1144.4099999999999</v>
      </c>
      <c r="BF34" s="21">
        <f t="shared" ca="1" si="18"/>
        <v>3.0756202518310041E-2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-21.950000000000102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130</v>
      </c>
      <c r="AG35" s="186">
        <f>SUM('08'!D320:F320)</f>
        <v>0</v>
      </c>
      <c r="AH35" s="187">
        <f t="shared" si="9"/>
        <v>1904.0100000000004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2034.0100000000004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2149.0100000000002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2264.0100000000002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2379.0100000000002</v>
      </c>
      <c r="AZ35" s="188">
        <f t="shared" si="23"/>
        <v>967.6</v>
      </c>
      <c r="BA35" s="21">
        <f t="shared" si="15"/>
        <v>2.8015600253634414E-2</v>
      </c>
      <c r="BB35" s="22">
        <f t="shared" si="20"/>
        <v>11</v>
      </c>
      <c r="BC35" s="22">
        <f t="shared" ca="1" si="16"/>
        <v>120.95</v>
      </c>
      <c r="BE35" s="224">
        <f t="shared" ca="1" si="17"/>
        <v>1382.01</v>
      </c>
      <c r="BF35" s="21">
        <f t="shared" ca="1" si="18"/>
        <v>3.7141740671900514E-2</v>
      </c>
      <c r="BG35" s="22">
        <f t="shared" ca="1" si="21"/>
        <v>10</v>
      </c>
      <c r="BH35" s="22">
        <f t="shared" ca="1" si="19"/>
        <v>172.75125</v>
      </c>
      <c r="BJ35" s="224">
        <f t="shared" ca="1" si="22"/>
        <v>414.41000000000008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90</v>
      </c>
      <c r="AG36" s="164">
        <f>SUM('08'!D340:F340)</f>
        <v>291.27</v>
      </c>
      <c r="AH36" s="156">
        <f t="shared" si="9"/>
        <v>193.65000000000009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283.65000000000009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373.65000000000009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463.65000000000009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553.65000000000009</v>
      </c>
      <c r="AZ36" s="182">
        <f t="shared" si="23"/>
        <v>837.3599999999999</v>
      </c>
      <c r="BA36" s="21">
        <f t="shared" si="15"/>
        <v>2.4244670347647074E-2</v>
      </c>
      <c r="BB36" s="22">
        <f t="shared" si="20"/>
        <v>12</v>
      </c>
      <c r="BC36" s="22">
        <f t="shared" ca="1" si="16"/>
        <v>104.66999999999999</v>
      </c>
      <c r="BE36" s="223">
        <f t="shared" ca="1" si="17"/>
        <v>930.02</v>
      </c>
      <c r="BF36" s="21">
        <f t="shared" ca="1" si="18"/>
        <v>2.4994436841760129E-2</v>
      </c>
      <c r="BG36" s="22">
        <f t="shared" ca="1" si="21"/>
        <v>13</v>
      </c>
      <c r="BH36" s="22">
        <f t="shared" ca="1" si="19"/>
        <v>116.2525</v>
      </c>
      <c r="BJ36" s="223">
        <f t="shared" ca="1" si="22"/>
        <v>92.660000000000025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1.2506550774656247E-2</v>
      </c>
      <c r="BB37" s="22">
        <f t="shared" si="20"/>
        <v>15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1.1671882239496381E-2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13.5</v>
      </c>
      <c r="AH38" s="156">
        <f t="shared" si="9"/>
        <v>124.53000000000006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194.53000000000006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264.53000000000009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334.53000000000009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404.53000000000009</v>
      </c>
      <c r="AZ38" s="157">
        <f t="shared" si="23"/>
        <v>504.67000000000007</v>
      </c>
      <c r="BA38" s="21">
        <f t="shared" si="15"/>
        <v>1.4612063848699546E-2</v>
      </c>
      <c r="BB38" s="22">
        <f t="shared" si="20"/>
        <v>13</v>
      </c>
      <c r="BC38" s="22">
        <f t="shared" ca="1" si="16"/>
        <v>63.083750000000009</v>
      </c>
      <c r="BE38" s="225">
        <f t="shared" ca="1" si="17"/>
        <v>590</v>
      </c>
      <c r="BF38" s="21">
        <f t="shared" ca="1" si="18"/>
        <v>1.5856344741659832E-2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85.330000000000027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-3.141007517519917E-2</v>
      </c>
      <c r="BG39" s="22">
        <f t="shared" ca="1" si="21"/>
        <v>25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4.7550661736816659E-3</v>
      </c>
      <c r="BB40" s="22">
        <f t="shared" si="20"/>
        <v>20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-1.6459692096660278E-2</v>
      </c>
      <c r="BG40" s="22">
        <f t="shared" ca="1" si="21"/>
        <v>24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-2941.37</v>
      </c>
      <c r="AG41" s="165">
        <f>SUM('08'!D440:F440)</f>
        <v>0</v>
      </c>
      <c r="AH41" s="151">
        <f t="shared" si="9"/>
        <v>5524.3700000000017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1624.3700000000017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-2275.6299999999983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-6175.6299999999983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-10075.629999999997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-3025.6299999999974</v>
      </c>
      <c r="BF41" s="21">
        <f t="shared" ca="1" si="18"/>
        <v>-8.1314292102895244E-2</v>
      </c>
      <c r="BG41" s="22">
        <f t="shared" ca="1" si="21"/>
        <v>26</v>
      </c>
      <c r="BH41" s="22">
        <f t="shared" ca="1" si="19"/>
        <v>-378.20374999999967</v>
      </c>
      <c r="BJ41" s="224">
        <f t="shared" ca="1" si="22"/>
        <v>-3025.6299999999965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0.1087433497415147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1.4476850069054574E-2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-8.1799926254559358E-3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1.8698299549190888E-3</v>
      </c>
      <c r="BB45" s="22">
        <f t="shared" si="20"/>
        <v>22</v>
      </c>
      <c r="BC45" s="22">
        <f t="shared" ca="1" si="16"/>
        <v>8.0724999999999998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958.63000000000011</v>
      </c>
      <c r="AG46" s="219">
        <f>SUM(AG20:AG45)</f>
        <v>1070.76</v>
      </c>
      <c r="AH46" s="220">
        <f>SUM(AH20:AH45)</f>
        <v>29054.720000000001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29054.720000000001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29054.720000000001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29054.720000000001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29054.720000000001</v>
      </c>
      <c r="AZ46" s="227">
        <f>SUM(AZ20:AZ45)</f>
        <v>34537.9</v>
      </c>
      <c r="BA46" s="1"/>
      <c r="BB46" s="1"/>
      <c r="BC46" s="124">
        <f ca="1">SUM(BC20:BC45)</f>
        <v>4317.2375000000002</v>
      </c>
      <c r="BE46" s="227">
        <f ca="1">SUM(BE20:BE45)</f>
        <v>37209.08</v>
      </c>
      <c r="BF46" s="1"/>
      <c r="BG46" s="1"/>
      <c r="BH46" s="124">
        <f ca="1">SUM(BH20:BH45)</f>
        <v>4651.1350000000002</v>
      </c>
      <c r="BJ46" s="227">
        <f ca="1">SUM(BJ20:BJ45)</f>
        <v>2671.1800000000044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-112.13</v>
      </c>
      <c r="AH47" s="125"/>
      <c r="AI47" s="125">
        <f>AI5-AH46</f>
        <v>116.63000000000102</v>
      </c>
      <c r="AJ47" s="125">
        <f>AI17-AJ46</f>
        <v>0</v>
      </c>
      <c r="AK47" s="125">
        <f>AI17-AK46</f>
        <v>0</v>
      </c>
      <c r="AL47" s="125"/>
      <c r="AM47" s="125">
        <f>AM5-AL46</f>
        <v>-13952.83</v>
      </c>
      <c r="AN47" s="125">
        <f>AM17-AN46</f>
        <v>0</v>
      </c>
      <c r="AO47" s="125">
        <f>AM17-AO46</f>
        <v>0</v>
      </c>
      <c r="AP47" s="125"/>
      <c r="AQ47" s="125">
        <f>AQ5-AP46</f>
        <v>-13952.83</v>
      </c>
      <c r="AR47" s="125">
        <f>AQ17-AR46</f>
        <v>0</v>
      </c>
      <c r="AS47" s="125">
        <f>AQ17-AS46</f>
        <v>0</v>
      </c>
      <c r="AT47" s="140"/>
      <c r="AU47" s="125">
        <f>AU5-AT46</f>
        <v>-13952.83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51806.850000000006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158.07000000000002</v>
      </c>
      <c r="AH50" s="119" t="s">
        <v>610</v>
      </c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72" t="s">
        <v>257</v>
      </c>
      <c r="M54" s="373"/>
      <c r="N54" s="100">
        <v>70</v>
      </c>
      <c r="O54" s="95"/>
      <c r="P54" s="358"/>
      <c r="Q54" s="359"/>
      <c r="R54" s="102"/>
      <c r="S54" s="95">
        <v>43594</v>
      </c>
      <c r="T54" s="372" t="s">
        <v>243</v>
      </c>
      <c r="U54" s="373"/>
      <c r="V54" s="103"/>
      <c r="W54" s="95">
        <v>43624</v>
      </c>
      <c r="X54" s="372" t="s">
        <v>153</v>
      </c>
      <c r="Y54" s="373"/>
      <c r="Z54" s="104">
        <v>10</v>
      </c>
      <c r="AA54" s="95"/>
      <c r="AB54" s="370" t="s">
        <v>476</v>
      </c>
      <c r="AC54" s="371"/>
      <c r="AD54" s="239">
        <v>15</v>
      </c>
      <c r="AE54" s="95"/>
      <c r="AF54" s="366"/>
      <c r="AG54" s="367"/>
      <c r="AH54" s="100"/>
      <c r="AI54" s="95"/>
      <c r="AJ54" s="362"/>
      <c r="AK54" s="363"/>
      <c r="AL54" s="100"/>
      <c r="AM54" s="95"/>
      <c r="AN54" s="362"/>
      <c r="AO54" s="363"/>
      <c r="AP54" s="100"/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/>
      <c r="AJ55" s="360"/>
      <c r="AK55" s="361"/>
      <c r="AL55" s="100"/>
      <c r="AM55" s="96"/>
      <c r="AN55" s="360"/>
      <c r="AO55" s="361"/>
      <c r="AP55" s="100"/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70" t="s">
        <v>235</v>
      </c>
      <c r="Q56" s="371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/>
      <c r="AF56" s="360"/>
      <c r="AG56" s="361"/>
      <c r="AH56" s="100"/>
      <c r="AI56" s="96"/>
      <c r="AJ56" s="364"/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4" t="s">
        <v>389</v>
      </c>
      <c r="Q57" s="375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/>
      <c r="AJ57" s="354"/>
      <c r="AK57" s="355"/>
      <c r="AL57" s="100"/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4" t="s">
        <v>389</v>
      </c>
      <c r="M60" s="375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6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8" t="s">
        <v>566</v>
      </c>
      <c r="U71" s="369"/>
      <c r="V71" s="101">
        <v>1872.17</v>
      </c>
      <c r="W71" s="97"/>
      <c r="X71" s="368" t="s">
        <v>564</v>
      </c>
      <c r="Y71" s="369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24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8</v>
      </c>
      <c r="D75">
        <f>C75*D74</f>
        <v>25.806451612903224</v>
      </c>
      <c r="Z75" s="111"/>
    </row>
    <row r="76" spans="1:50">
      <c r="D76">
        <f>D75-D73</f>
        <v>1.8064516129032242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95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'08'!A6+(B6-SUM(D6:F6))</f>
        <v>812.16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7494.86</v>
      </c>
      <c r="L7" s="429"/>
      <c r="M7" s="1"/>
      <c r="N7" s="1"/>
      <c r="R7" s="3"/>
    </row>
    <row r="8" spans="1:22" ht="15.75">
      <c r="A8" s="112">
        <f>'08'!A8+(B8-SUM(D8:F8))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29171.350000000002</v>
      </c>
      <c r="L19" s="444"/>
      <c r="M19" s="1"/>
      <c r="N19" s="1"/>
      <c r="R19" s="3"/>
    </row>
    <row r="20" spans="1:18" ht="16.5" thickBot="1">
      <c r="A20" s="112">
        <f>SUM(A6:A15)</f>
        <v>1477.8999999999999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18232.990000000002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'08'!A27+(B27-SUM(D27:F27))</f>
        <v>414.03999999999996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'08'!A29+(B29-SUM(D29:F29))</f>
        <v>37.53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2571.96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22*8</f>
        <v>176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'08'!A66+(B66-SUM(D66:F78))+B67</f>
        <v>339.48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110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449.48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70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57.370000000000005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636.12000000000012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733.49000000000012</v>
      </c>
      <c r="B260" s="135">
        <f>SUM(B246:B259)</f>
        <v>90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E4:AH5" display="SALDO REAL" xr:uid="{A5F11C23-6102-4B9C-9DC0-66FA90989725}"/>
    <hyperlink ref="I22" location="Trimestre!C39:F40" display="TELÉFONO" xr:uid="{06A60D21-3D5C-4FCA-99D4-AB403F0B7FE9}"/>
    <hyperlink ref="I22:L23" location="AÑO!AE7:AH17" display="INGRESOS" xr:uid="{20A2F51F-E3D5-46C1-A9B8-B584D622EC80}"/>
    <hyperlink ref="B2" location="Trimestre!C25:F26" display="HIPOTECA" xr:uid="{9C34523C-A97A-4F1D-862F-867DC6E3D25F}"/>
    <hyperlink ref="B2:G3" location="AÑO!AE20:AH20" display="AÑO!AE20:AH20" xr:uid="{BB3F881B-CD87-4769-A536-BE52EB911255}"/>
    <hyperlink ref="B22" location="Trimestre!C25:F26" display="HIPOTECA" xr:uid="{47685C71-2D34-4E61-B62C-329DBE415E81}"/>
    <hyperlink ref="B22:G23" location="AÑO!AE21:AH21" display="AÑO!AE21:AH21" xr:uid="{8A3AB0FA-6211-4820-A7EA-D17AA841788F}"/>
    <hyperlink ref="B42" location="Trimestre!C25:F26" display="HIPOTECA" xr:uid="{62DD0DD5-D492-4CEB-8044-F202ED82692B}"/>
    <hyperlink ref="B42:G43" location="AÑO!AE22:AH22" display="AÑO!AE22:AH22" xr:uid="{1FC50A9E-8F8C-4C09-9E70-0AF5C9C13327}"/>
    <hyperlink ref="B62" location="Trimestre!C25:F26" display="HIPOTECA" xr:uid="{32518F96-520E-4C50-9506-69E3433365D0}"/>
    <hyperlink ref="B62:G63" location="AÑO!AE23:AH23" display="AÑO!AE23:AH23" xr:uid="{B84F7E24-6F21-4CEF-BFFF-7F0C1DA7A514}"/>
    <hyperlink ref="B82" location="Trimestre!C25:F26" display="HIPOTECA" xr:uid="{B736ABA4-E123-4DBA-AAE8-8041EBD6EAD7}"/>
    <hyperlink ref="B82:G83" location="AÑO!AE24:AH24" display="AÑO!AE24:AH24" xr:uid="{23761A3D-4ACC-47A6-9BC2-DC6A36360911}"/>
    <hyperlink ref="B102" location="Trimestre!C25:F26" display="HIPOTECA" xr:uid="{27BC92A5-276F-47C3-B2C9-A4A83734B3A7}"/>
    <hyperlink ref="B102:G103" location="AÑO!AE25:AH25" display="AÑO!AE25:AH25" xr:uid="{092FB7B6-14DD-463E-B272-571141D23863}"/>
    <hyperlink ref="B122" location="Trimestre!C25:F26" display="HIPOTECA" xr:uid="{F98B5A38-47BB-4BB8-AB4F-DB25FD5FA136}"/>
    <hyperlink ref="B122:G123" location="AÑO!AE26:AH26" display="AÑO!AE26:AH26" xr:uid="{F0749408-8E1D-4441-8528-E154CDB1F5AC}"/>
    <hyperlink ref="B142" location="Trimestre!C25:F26" display="HIPOTECA" xr:uid="{6F3380B4-6813-4D4F-AA22-B816B234D69E}"/>
    <hyperlink ref="B142:G143" location="AÑO!AE27:AH27" display="AÑO!AE27:AH27" xr:uid="{FCF21269-28B2-43FB-AA78-A53795FACD55}"/>
    <hyperlink ref="B162" location="Trimestre!C25:F26" display="HIPOTECA" xr:uid="{9718B55E-5BC9-401C-800E-2F4C8059B4F7}"/>
    <hyperlink ref="B162:G163" location="AÑO!AE28:AH28" display="AÑO!AE28:AH28" xr:uid="{37384EB3-8A57-487C-BD03-62F5A663065F}"/>
    <hyperlink ref="B182" location="Trimestre!C25:F26" display="HIPOTECA" xr:uid="{4749CF43-8151-4706-B3FA-2F592C2697BC}"/>
    <hyperlink ref="B182:G183" location="AÑO!AE29:AH29" display="AÑO!AE29:AH29" xr:uid="{4032A82D-203F-4749-B10B-D21CD922E331}"/>
    <hyperlink ref="B202" location="Trimestre!C25:F26" display="HIPOTECA" xr:uid="{4B2C4D54-E005-4997-8DE7-F2D862286D62}"/>
    <hyperlink ref="B202:G203" location="AÑO!AE30:AH30" display="AÑO!AE30:AH30" xr:uid="{2C0D2360-607A-4CB0-8E0A-1222DE2D8D2E}"/>
    <hyperlink ref="B222" location="Trimestre!C25:F26" display="HIPOTECA" xr:uid="{7C8ADB2C-F14D-4468-B4D4-9F373342A829}"/>
    <hyperlink ref="B222:G223" location="AÑO!AE31:AH31" display="AÑO!AE31:AH31" xr:uid="{78191103-3B83-41CB-83DF-306BDA36DD0C}"/>
    <hyperlink ref="B242" location="Trimestre!C25:F26" display="HIPOTECA" xr:uid="{99D5C17A-D16C-4CC6-B2FD-AB1C445411E4}"/>
    <hyperlink ref="B242:G243" location="AÑO!AE32:AH32" display="AÑO!AE32:AH32" xr:uid="{06CCAB83-9005-485D-BD15-28367959ABB5}"/>
    <hyperlink ref="B262" location="Trimestre!C25:F26" display="HIPOTECA" xr:uid="{9F606231-5EB9-4BC7-ABB7-51CD7F450858}"/>
    <hyperlink ref="B262:G263" location="AÑO!AE33:AH33" display="AÑO!AE33:AH33" xr:uid="{FCB2B599-FA45-4F50-A383-033045BD1684}"/>
    <hyperlink ref="B282" location="Trimestre!C25:F26" display="HIPOTECA" xr:uid="{9220F1E0-E563-4FAC-8420-17EF356017CE}"/>
    <hyperlink ref="B282:G283" location="AÑO!AE34:AH34" display="AÑO!AE34:AH34" xr:uid="{9DC21D0D-BD04-4656-AABE-60436C3FD435}"/>
    <hyperlink ref="B302" location="Trimestre!C25:F26" display="HIPOTECA" xr:uid="{099D4F8A-87BD-4903-8C38-C0C30C5F7218}"/>
    <hyperlink ref="B302:G303" location="AÑO!AE35:AH35" display="AÑO!AE35:AH35" xr:uid="{C014F2DF-6917-4707-946B-85AE73C8969A}"/>
    <hyperlink ref="B322" location="Trimestre!C25:F26" display="HIPOTECA" xr:uid="{26351CCC-AC94-4CB4-9691-3F63AF27B438}"/>
    <hyperlink ref="B322:G323" location="AÑO!AE36:AH36" display="AÑO!AE36:AH36" xr:uid="{E3162F14-6595-428C-ACC7-AFAB400362C1}"/>
    <hyperlink ref="B342" location="Trimestre!C25:F26" display="HIPOTECA" xr:uid="{734476D7-35FD-4B53-82A2-93719F0185E9}"/>
    <hyperlink ref="B342:G343" location="AÑO!AE37:AH37" display="AÑO!AE37:AH37" xr:uid="{485AB37C-7A3D-445F-AB06-8FE2F0E566FD}"/>
    <hyperlink ref="B362" location="Trimestre!C25:F26" display="HIPOTECA" xr:uid="{599B9A0E-B61D-498F-B242-E07BD281AA58}"/>
    <hyperlink ref="B362:G363" location="AÑO!AE38:AH38" display="AÑO!AE38:AH38" xr:uid="{C7784D81-0F31-4DD3-A9A4-0AB890233ECF}"/>
    <hyperlink ref="B382" location="Trimestre!C25:F26" display="HIPOTECA" xr:uid="{88B507F6-AE9E-4A96-9B10-08AE8877F109}"/>
    <hyperlink ref="B382:G383" location="AÑO!AE39:AH39" display="AÑO!AE39:AH39" xr:uid="{C868514F-F708-4636-86B4-4371022E47FE}"/>
    <hyperlink ref="B402" location="Trimestre!C25:F26" display="HIPOTECA" xr:uid="{F0FAE52D-84CF-4FD0-AEE3-BCCEBC3CFCC9}"/>
    <hyperlink ref="B402:G403" location="AÑO!AE40:AH40" display="AÑO!AE40:AH40" xr:uid="{365BD708-8D6F-4059-B20F-0E37A7E843F5}"/>
    <hyperlink ref="B422" location="Trimestre!C25:F26" display="HIPOTECA" xr:uid="{FFE4A60E-F373-4AA6-B350-7050ADBC40B6}"/>
    <hyperlink ref="B422:G423" location="AÑO!AE41:AH41" display="AÑO!AE41:AH41" xr:uid="{A29E4590-1503-44F5-8D46-391BD052CEF0}"/>
    <hyperlink ref="B442" location="Trimestre!C25:F26" display="HIPOTECA" xr:uid="{7AA67850-E181-4206-97E7-06F430D5AB2C}"/>
    <hyperlink ref="B442:G443" location="AÑO!AE42:AH42" display="AÑO!AE42:AH42" xr:uid="{832986B5-D92F-4176-9307-88B214766C4C}"/>
    <hyperlink ref="B462" location="Trimestre!C25:F26" display="HIPOTECA" xr:uid="{25D5169F-DB37-4791-9902-0287580312A2}"/>
    <hyperlink ref="B462:G463" location="AÑO!AE43:AH43" display="AÑO!AE43:AH43" xr:uid="{48732DF4-29EC-42AF-A5EC-BAC9DFE1A9B1}"/>
    <hyperlink ref="B482" location="Trimestre!C25:F26" display="HIPOTECA" xr:uid="{05A03635-6C71-40B3-B616-BEBD699C0EB8}"/>
    <hyperlink ref="B482:G483" location="AÑO!AE44:AH44" display="AÑO!AE44:AH44" xr:uid="{29B0AACB-ACF0-4EEC-BC7F-CB6281B1C9FA}"/>
    <hyperlink ref="B502" location="Trimestre!C25:F26" display="HIPOTECA" xr:uid="{A15FB698-74FC-4F13-9879-5ED8FA1CFA8D}"/>
    <hyperlink ref="B502:G503" location="AÑO!AE45:AH45" display="AÑO!AE45:AH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'09'!A8+(B8-SUM(D8:F8))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2021.8999999999999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'09'!A26+(B26-SUM(D26:F26))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'09'!A27+(B27-SUM(D27:F27))</f>
        <v>584.04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'09'!A29+(B29-SUM(D29:F29))</f>
        <v>55.53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3699.96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'10'!A6+(B6-SUM(D6:F6))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'10'!A8+(B8-SUM(D8:F8))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2565.9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'10'!A26+(B26-SUM(D26:F26))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'10'!A27+(B27-SUM(D27:F27))</f>
        <v>754.04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'10'!A29+(B29-SUM(D29:F29))</f>
        <v>73.53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4827.9599999999991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/>
      <c r="L5" s="427"/>
      <c r="M5" s="1"/>
      <c r="N5" s="1"/>
      <c r="R5" s="3"/>
    </row>
    <row r="6" spans="1:22" ht="15.75">
      <c r="A6" s="112">
        <f>'11'!A6+(B6-SUM(D6:F6))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550</v>
      </c>
      <c r="L6" s="429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/>
      <c r="L7" s="429"/>
      <c r="M7" s="1"/>
      <c r="N7" s="1"/>
      <c r="R7" s="3"/>
    </row>
    <row r="8" spans="1:22" ht="15.75">
      <c r="A8" s="112">
        <f>'11'!A8+(B8-SUM(D8:F8))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659.77</v>
      </c>
      <c r="L9" s="429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8"/>
      <c r="L11" s="42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15101.890000000001</v>
      </c>
      <c r="L19" s="435"/>
      <c r="M19" s="1"/>
      <c r="N19" s="1"/>
      <c r="R19" s="3"/>
    </row>
    <row r="20" spans="1:18" ht="16.5" thickBot="1">
      <c r="A20" s="112">
        <f>SUM(A6:A15)</f>
        <v>3109.8999999999996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198"/>
      <c r="M25" s="1"/>
      <c r="R25" s="3"/>
    </row>
    <row r="26" spans="1:18" ht="15.75">
      <c r="A26" s="112">
        <f>'11'!A26+(B26-SUM(D26:F26))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'11'!A27+(B27-SUM(D27:F27))</f>
        <v>924.04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'11'!A29+(B29-SUM(D29:F29))</f>
        <v>91.53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/>
      <c r="K30" s="40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5955.9599999999991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/>
      <c r="K50" s="40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E28" sqref="E2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Historico!H83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-0.31928571428571428</v>
      </c>
      <c r="C6" s="44" t="s">
        <v>95</v>
      </c>
      <c r="D6" s="43" t="s">
        <v>96</v>
      </c>
      <c r="E6" s="42"/>
      <c r="J6" t="s">
        <v>97</v>
      </c>
      <c r="K6" s="49">
        <f>B4-B15</f>
        <v>129677.1449535357</v>
      </c>
      <c r="L6" s="39">
        <f>B4*(E8/100)</f>
        <v>19.584736023809523</v>
      </c>
      <c r="M6" s="49">
        <f>B13-L6</f>
        <v>371.69504646429795</v>
      </c>
    </row>
    <row r="7" spans="1:13" ht="12.75" customHeight="1">
      <c r="E7" s="42"/>
      <c r="J7" t="s">
        <v>98</v>
      </c>
      <c r="K7" s="49">
        <f>K6-(B13-L7)</f>
        <v>129305.39393156738</v>
      </c>
      <c r="L7" s="39">
        <f>(K6*(E8/100))</f>
        <v>19.52876051978841</v>
      </c>
      <c r="M7" s="49">
        <f>B13-L7</f>
        <v>371.75102196831904</v>
      </c>
    </row>
    <row r="8" spans="1:13" ht="12.75" customHeight="1">
      <c r="B8" s="42"/>
      <c r="D8" t="s">
        <v>183</v>
      </c>
      <c r="E8" s="50">
        <f>(B6+0.5)/12</f>
        <v>1.5059523809523809E-2</v>
      </c>
      <c r="J8" t="s">
        <v>99</v>
      </c>
      <c r="K8" s="49">
        <f>K7-(B13-L8)</f>
        <v>128933.5869256654</v>
      </c>
      <c r="L8" s="39">
        <f>(K7*(E8/100))</f>
        <v>19.472776586122944</v>
      </c>
      <c r="M8" s="49">
        <f>B13-L8</f>
        <v>371.8070059019845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1.0001505952380951</v>
      </c>
      <c r="J9" t="s">
        <v>101</v>
      </c>
      <c r="K9" s="49">
        <f>K8-(B13-L9)</f>
        <v>128561.72392739884</v>
      </c>
      <c r="L9" s="39">
        <f>(K8*(E8/100))</f>
        <v>19.416784221543658</v>
      </c>
      <c r="M9" s="49">
        <f>B13-L9</f>
        <v>371.86299826656381</v>
      </c>
    </row>
    <row r="10" spans="1:13" ht="12.75" customHeight="1">
      <c r="B10" s="42"/>
      <c r="D10" t="s">
        <v>102</v>
      </c>
      <c r="E10" s="50">
        <f>E9^-B5</f>
        <v>0.94994697681727325</v>
      </c>
      <c r="J10" t="s">
        <v>103</v>
      </c>
      <c r="K10" s="49">
        <f>K9-(B13-L10)</f>
        <v>128189.80492833551</v>
      </c>
      <c r="L10" s="39">
        <f>(K9*(E8/100))</f>
        <v>19.360783424780895</v>
      </c>
      <c r="M10" s="49">
        <f>B13-L10</f>
        <v>371.91899906332657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5.0053023182726752</v>
      </c>
      <c r="J11" t="s">
        <v>106</v>
      </c>
      <c r="K11" s="51">
        <f>K10-(B13-L11)</f>
        <v>127817.82992004196</v>
      </c>
      <c r="L11" s="39">
        <f>(K10*(E8/100))</f>
        <v>19.304774194564811</v>
      </c>
      <c r="M11" s="49">
        <f>B13-L11</f>
        <v>371.97500829354266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391.27978248810746</v>
      </c>
      <c r="E13" s="42"/>
      <c r="F13" s="44"/>
      <c r="G13" s="53"/>
      <c r="L13" s="54">
        <f>SUM(L6:L11)</f>
        <v>116.66861497061025</v>
      </c>
      <c r="M13" s="54">
        <f>SUM(M6:M11)</f>
        <v>2231.0100799580346</v>
      </c>
    </row>
    <row r="14" spans="1:13" ht="12.75" customHeight="1">
      <c r="A14" t="s">
        <v>108</v>
      </c>
      <c r="B14" s="55">
        <f>B4*(E8/100)</f>
        <v>19.584736023809523</v>
      </c>
      <c r="E14" s="42"/>
    </row>
    <row r="15" spans="1:13" ht="12.75" customHeight="1">
      <c r="A15" t="s">
        <v>109</v>
      </c>
      <c r="B15" s="55">
        <f>B13-B14</f>
        <v>371.69504646429795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391.28134248810744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-0.31928571428571428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-2.2349999999999999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2231.0100799580346</v>
      </c>
      <c r="C22" s="58">
        <f>B22/170000</f>
        <v>1.3123588705635498E-2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127817.82992004196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0">IF(E43="",0,1)</f>
        <v>0</v>
      </c>
    </row>
    <row r="45" spans="2:7" ht="12.75" customHeight="1">
      <c r="G45" s="57">
        <f>SUM(G21:G43)</f>
        <v>7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G23" sqref="G2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5" workbookViewId="0">
      <selection activeCell="I21" sqref="I21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f>Hipoteca!B4</f>
        <v>130048.84</v>
      </c>
      <c r="C25" s="71">
        <f>Hipoteca!B$6/100</f>
        <v>-3.1928571428571427E-3</v>
      </c>
      <c r="D25" s="73">
        <f>Hipoteca!B$13</f>
        <v>391.27978248810746</v>
      </c>
      <c r="E25" s="72">
        <f t="shared" ref="E25" si="10">D25-D24</f>
        <v>-11.800217511892527</v>
      </c>
      <c r="H25">
        <f>IF(MONTH(I26)&gt;MONTH(I25),MONTH(I26)-MONTH(I25),(MONTH(I26)+12)-MONTH(I25))</f>
        <v>6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/>
      <c r="C26" s="71"/>
      <c r="D26" s="73"/>
      <c r="E26" s="72"/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2" si="11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2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1"/>
        <v>6</v>
      </c>
      <c r="I28" s="79">
        <f t="shared" si="4"/>
        <v>44287</v>
      </c>
      <c r="J28" s="128"/>
      <c r="K28" s="127"/>
      <c r="L28" s="127"/>
      <c r="M28" s="72"/>
      <c r="O28">
        <f t="shared" si="12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1"/>
        <v>6</v>
      </c>
      <c r="I29" s="79">
        <f t="shared" si="4"/>
        <v>44470</v>
      </c>
      <c r="J29" s="128"/>
      <c r="K29" s="127"/>
      <c r="L29" s="127"/>
      <c r="M29" s="72"/>
      <c r="O29">
        <f t="shared" si="12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1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1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1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1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1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1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1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1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1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1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1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1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1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1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1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1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1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1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1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1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1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1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1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1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1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1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1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1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1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1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1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1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1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1"/>
        <v>6</v>
      </c>
      <c r="I63" s="79">
        <f t="shared" ref="I63:I81" si="13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1"/>
        <v>6</v>
      </c>
      <c r="I64" s="79">
        <f t="shared" si="13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1"/>
        <v>6</v>
      </c>
      <c r="I65" s="79">
        <f t="shared" si="13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1"/>
        <v>6</v>
      </c>
      <c r="I66" s="79">
        <f t="shared" si="13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1"/>
        <v>6</v>
      </c>
      <c r="I67" s="79">
        <f t="shared" si="13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1"/>
        <v>6</v>
      </c>
      <c r="I68" s="79">
        <f t="shared" si="13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1"/>
        <v>6</v>
      </c>
      <c r="I69" s="79">
        <f t="shared" si="13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1"/>
        <v>6</v>
      </c>
      <c r="I70" s="79">
        <f t="shared" si="13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1"/>
        <v>6</v>
      </c>
      <c r="I71" s="79">
        <f t="shared" si="13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1"/>
        <v>6</v>
      </c>
      <c r="I72" s="79">
        <f t="shared" si="13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1"/>
        <v>6</v>
      </c>
      <c r="I73" s="79">
        <f t="shared" si="13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1"/>
        <v>6</v>
      </c>
      <c r="I74" s="79">
        <f t="shared" si="13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1"/>
        <v>6</v>
      </c>
      <c r="I75" s="79">
        <f t="shared" si="13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1"/>
        <v>6</v>
      </c>
      <c r="I76" s="79">
        <f t="shared" si="13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1"/>
        <v>6</v>
      </c>
      <c r="I77" s="79">
        <f t="shared" si="13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1"/>
        <v>6</v>
      </c>
      <c r="I78" s="79">
        <f t="shared" si="13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1"/>
        <v>6</v>
      </c>
      <c r="I79" s="79">
        <f t="shared" si="13"/>
        <v>53601</v>
      </c>
      <c r="J79" s="128"/>
      <c r="K79" s="127"/>
      <c r="L79" s="127"/>
      <c r="M79" s="72"/>
    </row>
    <row r="80" spans="1:13" ht="12.75" customHeight="1">
      <c r="A80" s="120">
        <f t="shared" ref="A80:A81" si="14">EDATE(A79,6)</f>
        <v>53724</v>
      </c>
      <c r="B80" s="116"/>
      <c r="C80" s="71"/>
      <c r="D80" s="73"/>
      <c r="E80" s="72"/>
      <c r="H80">
        <f t="shared" si="11"/>
        <v>6</v>
      </c>
      <c r="I80" s="79">
        <f t="shared" si="13"/>
        <v>53783</v>
      </c>
      <c r="J80" s="128"/>
      <c r="K80" s="127"/>
      <c r="L80" s="127"/>
      <c r="M80" s="72"/>
    </row>
    <row r="81" spans="1:13" ht="12.75" customHeight="1">
      <c r="A81" s="120">
        <f t="shared" si="14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3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8.3777587991718406E-3</v>
      </c>
      <c r="D83" s="85">
        <f>AVERAGE(D2:D82)</f>
        <v>492.32440104525949</v>
      </c>
      <c r="E83" s="86">
        <f>AVERAGE(E3:E82)</f>
        <v>-19.85957467443011</v>
      </c>
      <c r="H83">
        <f>SUM(H25:H82)</f>
        <v>341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H13" workbookViewId="0">
      <selection activeCell="R35" sqref="R35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1477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43686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81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43686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535</v>
      </c>
      <c r="S4" s="341">
        <v>43708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532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43686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535</v>
      </c>
      <c r="S5" s="341">
        <v>43708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3.8461538461538464E-2</v>
      </c>
      <c r="X13" s="119">
        <f ca="1">W13*E13</f>
        <v>154.58726730769231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3.4119106699751864E-2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8.6848635235732014E-3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0.53908188585607941</v>
      </c>
      <c r="X19" s="119">
        <f t="shared" ca="1" si="2"/>
        <v>2384.5747707692312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0.39205955334987591</v>
      </c>
      <c r="X20" s="119">
        <f t="shared" ca="1" si="2"/>
        <v>235.47096774193548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0.17866004962779156</v>
      </c>
      <c r="X25" s="119">
        <f t="shared" ca="1" si="2"/>
        <v>108.61874012903225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532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43686</v>
      </c>
      <c r="L28" s="302">
        <v>26.75</v>
      </c>
      <c r="M28" s="264">
        <f>(H28*L28)</f>
        <v>5243</v>
      </c>
      <c r="N28" s="264">
        <f>-(IF((M28*0.0075)&lt;30,30,(M28*0.0075)) + (M28*0.0035))</f>
        <v>-57.673000000000002</v>
      </c>
      <c r="O28" s="272">
        <f>J28+N28</f>
        <v>-113.68588</v>
      </c>
      <c r="P28" s="273">
        <f ca="1">IF(K28=0,0,M28-E28+N28)</f>
        <v>37.234119999999848</v>
      </c>
      <c r="Q28" s="274">
        <f ca="1">P28/E28</f>
        <v>7.2326045523871448E-3</v>
      </c>
      <c r="R28" s="275" t="s">
        <v>517</v>
      </c>
      <c r="S28" s="59">
        <f ca="1">Q28+Q29+Q30+Q34</f>
        <v>3.1637758641215472E-2</v>
      </c>
      <c r="W28" s="39">
        <f t="shared" ca="1" si="0"/>
        <v>0.33002481389578164</v>
      </c>
      <c r="X28" s="119">
        <f t="shared" ca="1" si="2"/>
        <v>1698.9983946401985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1.3647642679900745E-2</v>
      </c>
      <c r="X33" s="119">
        <f t="shared" ca="1" si="2"/>
        <v>56.352838957816374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81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43686</v>
      </c>
      <c r="L35" s="302">
        <v>67</v>
      </c>
      <c r="M35" s="264">
        <f>(H35*L35)</f>
        <v>4154</v>
      </c>
      <c r="N35" s="264">
        <f>-(IF((M35*0.0075)&lt;30,30,(M35*0.0075)) + (M35*0.0035))</f>
        <v>-45.693999999999996</v>
      </c>
      <c r="O35" s="272">
        <f>J35+N35</f>
        <v>-90.180859999999996</v>
      </c>
      <c r="P35" s="273">
        <f ca="1">IF(K35=0,0,M35-E35+N35)</f>
        <v>19.559139999999807</v>
      </c>
      <c r="Q35" s="274">
        <f ca="1">P35/E35</f>
        <v>4.7836514877812233E-3</v>
      </c>
      <c r="R35" s="275" t="s">
        <v>412</v>
      </c>
      <c r="W35" s="39">
        <f t="shared" ca="1" si="0"/>
        <v>5.024813895781638E-2</v>
      </c>
      <c r="X35" s="119">
        <f t="shared" ca="1" si="2"/>
        <v>205.45192038461539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2555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-373.94825900000006</v>
      </c>
      <c r="O42" s="315">
        <f>SUM(O13:O41)</f>
        <v>-560.14639699999998</v>
      </c>
      <c r="P42" s="315">
        <f ca="1">SUM(P13:P41)</f>
        <v>3708.5019830000001</v>
      </c>
      <c r="Q42" s="326">
        <f ca="1">SUM(Q13:Q41)</f>
        <v>3.9353819622012383</v>
      </c>
      <c r="R42" s="317"/>
      <c r="W42" s="327">
        <f ca="1">SUM(W13:W41)</f>
        <v>1.5849875930521091</v>
      </c>
      <c r="X42" s="328">
        <f ca="1">SUM(X13:X41)</f>
        <v>4844.054899930522</v>
      </c>
      <c r="Y42" s="329">
        <f ca="1">P42/X42</f>
        <v>0.76557802494211846</v>
      </c>
      <c r="Z42" s="329">
        <f ca="1">Y42/(D$43/365)</f>
        <v>0.17334738157808513</v>
      </c>
    </row>
    <row r="43" spans="1:26">
      <c r="C43" s="119" t="s">
        <v>568</v>
      </c>
      <c r="D43" s="46">
        <f ca="1">_xlfn.DAYS(TODAY(),F13)</f>
        <v>1612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G15" sqref="G1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6.0175793683887182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6.7707803158055437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5.3198988195614989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1.4508814962440453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19.559139999999807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>
        <v>2018</v>
      </c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6">
        <v>2901.68</v>
      </c>
      <c r="L5" s="42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8">
        <v>620.05999999999995</v>
      </c>
      <c r="L6" s="429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8">
        <v>8035.29</v>
      </c>
      <c r="L7" s="42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8">
        <v>7000</v>
      </c>
      <c r="L8" s="42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8">
        <v>659.39</v>
      </c>
      <c r="L9" s="42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8">
        <v>1800.04</v>
      </c>
      <c r="L10" s="42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8">
        <f>240+35</f>
        <v>275</v>
      </c>
      <c r="L11" s="42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4">
        <f>SUM(K5:K18)</f>
        <v>26383.54</v>
      </c>
      <c r="L19" s="43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12"/>
      <c r="I22" s="418" t="s">
        <v>6</v>
      </c>
      <c r="J22" s="419"/>
      <c r="K22" s="419"/>
      <c r="L22" s="42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12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12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5" t="str">
        <f>AÑO!A8</f>
        <v>Manolo Salario</v>
      </c>
      <c r="J25" s="408" t="s">
        <v>291</v>
      </c>
      <c r="K25" s="40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6"/>
      <c r="J26" s="410"/>
      <c r="K26" s="41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6"/>
      <c r="J27" s="410"/>
      <c r="K27" s="41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6"/>
      <c r="J28" s="410"/>
      <c r="K28" s="41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4"/>
      <c r="J29" s="415"/>
      <c r="K29" s="41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5" t="str">
        <f>AÑO!A9</f>
        <v>Rocío Salario</v>
      </c>
      <c r="J30" s="408" t="s">
        <v>238</v>
      </c>
      <c r="K30" s="40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6"/>
      <c r="J31" s="410" t="s">
        <v>256</v>
      </c>
      <c r="K31" s="41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6"/>
      <c r="J32" s="417" t="s">
        <v>267</v>
      </c>
      <c r="K32" s="41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5" t="s">
        <v>218</v>
      </c>
      <c r="J35" s="408" t="s">
        <v>306</v>
      </c>
      <c r="K35" s="40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5" t="str">
        <f>AÑO!A11</f>
        <v>Finanazas</v>
      </c>
      <c r="J40" s="408" t="s">
        <v>239</v>
      </c>
      <c r="K40" s="40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6"/>
      <c r="J41" s="410" t="s">
        <v>240</v>
      </c>
      <c r="K41" s="411"/>
      <c r="L41" s="229">
        <v>1.87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12"/>
      <c r="I42" s="406"/>
      <c r="J42" s="410" t="s">
        <v>269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12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12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5" t="str">
        <f>AÑO!A12</f>
        <v>Regalos</v>
      </c>
      <c r="J45" s="408" t="s">
        <v>299</v>
      </c>
      <c r="K45" s="40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4"/>
      <c r="J49" s="415"/>
      <c r="K49" s="41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5" t="str">
        <f>AÑO!A13</f>
        <v>Gubernamental</v>
      </c>
      <c r="J50" s="408" t="s">
        <v>259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4"/>
      <c r="J54" s="415"/>
      <c r="K54" s="41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4"/>
      <c r="J59" s="415"/>
      <c r="K59" s="41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5" t="str">
        <f>AÑO!A15</f>
        <v>Alquiler Cartama</v>
      </c>
      <c r="J60" s="408"/>
      <c r="K60" s="40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12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12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12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5" t="str">
        <f>AÑO!A16</f>
        <v>Otros</v>
      </c>
      <c r="J65" s="408" t="s">
        <v>296</v>
      </c>
      <c r="K65" s="40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6"/>
      <c r="J66" s="410"/>
      <c r="K66" s="41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6"/>
      <c r="J67" s="410"/>
      <c r="K67" s="41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6"/>
      <c r="J68" s="410"/>
      <c r="K68" s="41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7"/>
      <c r="J69" s="412"/>
      <c r="K69" s="41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12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12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12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12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12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12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12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12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  <c r="H202" s="112"/>
    </row>
    <row r="203" spans="2:12" ht="15" customHeight="1" thickBot="1">
      <c r="B203" s="421"/>
      <c r="C203" s="422"/>
      <c r="D203" s="422"/>
      <c r="E203" s="422"/>
      <c r="F203" s="422"/>
      <c r="G203" s="423"/>
      <c r="H203" s="112"/>
    </row>
    <row r="204" spans="2:12" ht="15.75">
      <c r="B204" s="431" t="s">
        <v>8</v>
      </c>
      <c r="C204" s="432"/>
      <c r="D204" s="433" t="s">
        <v>9</v>
      </c>
      <c r="E204" s="433"/>
      <c r="F204" s="433"/>
      <c r="G204" s="43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30" t="str">
        <f>AÑO!A31</f>
        <v>Deportes</v>
      </c>
      <c r="C222" s="419"/>
      <c r="D222" s="419"/>
      <c r="E222" s="419"/>
      <c r="F222" s="419"/>
      <c r="G222" s="420"/>
      <c r="H222" s="112"/>
    </row>
    <row r="223" spans="2:8" ht="15" customHeight="1" thickBot="1">
      <c r="B223" s="421"/>
      <c r="C223" s="422"/>
      <c r="D223" s="422"/>
      <c r="E223" s="422"/>
      <c r="F223" s="422"/>
      <c r="G223" s="423"/>
      <c r="H223" s="112"/>
    </row>
    <row r="224" spans="2:8" ht="15.75">
      <c r="B224" s="431" t="s">
        <v>8</v>
      </c>
      <c r="C224" s="432"/>
      <c r="D224" s="433" t="s">
        <v>9</v>
      </c>
      <c r="E224" s="433"/>
      <c r="F224" s="433"/>
      <c r="G224" s="43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30" t="str">
        <f>AÑO!A32</f>
        <v>Hogar</v>
      </c>
      <c r="C242" s="419"/>
      <c r="D242" s="419"/>
      <c r="E242" s="419"/>
      <c r="F242" s="419"/>
      <c r="G242" s="420"/>
      <c r="H242" s="112"/>
    </row>
    <row r="243" spans="2:8" ht="15" customHeight="1" thickBot="1">
      <c r="B243" s="421"/>
      <c r="C243" s="422"/>
      <c r="D243" s="422"/>
      <c r="E243" s="422"/>
      <c r="F243" s="422"/>
      <c r="G243" s="423"/>
      <c r="H243" s="112"/>
    </row>
    <row r="244" spans="2:8" ht="15" customHeight="1">
      <c r="B244" s="431" t="s">
        <v>8</v>
      </c>
      <c r="C244" s="432"/>
      <c r="D244" s="433" t="s">
        <v>9</v>
      </c>
      <c r="E244" s="433"/>
      <c r="F244" s="433"/>
      <c r="G244" s="43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30" t="str">
        <f>AÑO!A33</f>
        <v>Formación</v>
      </c>
      <c r="C262" s="419"/>
      <c r="D262" s="419"/>
      <c r="E262" s="419"/>
      <c r="F262" s="419"/>
      <c r="G262" s="420"/>
      <c r="H262" s="112"/>
    </row>
    <row r="263" spans="2:8" ht="15" customHeight="1" thickBot="1">
      <c r="B263" s="421"/>
      <c r="C263" s="422"/>
      <c r="D263" s="422"/>
      <c r="E263" s="422"/>
      <c r="F263" s="422"/>
      <c r="G263" s="423"/>
      <c r="H263" s="112"/>
    </row>
    <row r="264" spans="2:8" ht="15.75">
      <c r="B264" s="431" t="s">
        <v>8</v>
      </c>
      <c r="C264" s="432"/>
      <c r="D264" s="433" t="s">
        <v>9</v>
      </c>
      <c r="E264" s="433"/>
      <c r="F264" s="433"/>
      <c r="G264" s="43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  <c r="H282" s="112"/>
    </row>
    <row r="283" spans="2:8" ht="15" customHeight="1" thickBot="1">
      <c r="B283" s="421"/>
      <c r="C283" s="422"/>
      <c r="D283" s="422"/>
      <c r="E283" s="422"/>
      <c r="F283" s="422"/>
      <c r="G283" s="423"/>
      <c r="H283" s="112"/>
    </row>
    <row r="284" spans="2:8" ht="15.75">
      <c r="B284" s="431" t="s">
        <v>8</v>
      </c>
      <c r="C284" s="432"/>
      <c r="D284" s="433" t="s">
        <v>9</v>
      </c>
      <c r="E284" s="433"/>
      <c r="F284" s="433"/>
      <c r="G284" s="43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  <c r="H302" s="112"/>
    </row>
    <row r="303" spans="2:8" ht="15" customHeight="1" thickBot="1">
      <c r="B303" s="421"/>
      <c r="C303" s="422"/>
      <c r="D303" s="422"/>
      <c r="E303" s="422"/>
      <c r="F303" s="422"/>
      <c r="G303" s="423"/>
      <c r="H303" s="112"/>
    </row>
    <row r="304" spans="2:8" ht="15.75">
      <c r="B304" s="431" t="s">
        <v>8</v>
      </c>
      <c r="C304" s="432"/>
      <c r="D304" s="433" t="s">
        <v>9</v>
      </c>
      <c r="E304" s="433"/>
      <c r="F304" s="433"/>
      <c r="G304" s="43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30" t="str">
        <f>AÑO!A36</f>
        <v>Nenas</v>
      </c>
      <c r="C322" s="419"/>
      <c r="D322" s="419"/>
      <c r="E322" s="419"/>
      <c r="F322" s="419"/>
      <c r="G322" s="420"/>
      <c r="H322" s="112"/>
    </row>
    <row r="323" spans="2:8" ht="15" customHeight="1" thickBot="1">
      <c r="B323" s="421"/>
      <c r="C323" s="422"/>
      <c r="D323" s="422"/>
      <c r="E323" s="422"/>
      <c r="F323" s="422"/>
      <c r="G323" s="423"/>
      <c r="H323" s="112"/>
    </row>
    <row r="324" spans="2:8" ht="15.75">
      <c r="B324" s="431" t="s">
        <v>8</v>
      </c>
      <c r="C324" s="432"/>
      <c r="D324" s="433" t="s">
        <v>9</v>
      </c>
      <c r="E324" s="433"/>
      <c r="F324" s="433"/>
      <c r="G324" s="43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30" t="str">
        <f>AÑO!A37</f>
        <v>Impuestos</v>
      </c>
      <c r="C342" s="419"/>
      <c r="D342" s="419"/>
      <c r="E342" s="419"/>
      <c r="F342" s="419"/>
      <c r="G342" s="420"/>
      <c r="H342" s="112"/>
    </row>
    <row r="343" spans="2:8" ht="15" customHeight="1" thickBot="1">
      <c r="B343" s="421"/>
      <c r="C343" s="422"/>
      <c r="D343" s="422"/>
      <c r="E343" s="422"/>
      <c r="F343" s="422"/>
      <c r="G343" s="423"/>
      <c r="H343" s="112"/>
    </row>
    <row r="344" spans="2:8" ht="15.75">
      <c r="B344" s="431" t="s">
        <v>8</v>
      </c>
      <c r="C344" s="432"/>
      <c r="D344" s="433" t="s">
        <v>9</v>
      </c>
      <c r="E344" s="433"/>
      <c r="F344" s="433"/>
      <c r="G344" s="43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30" t="str">
        <f>AÑO!A38</f>
        <v>Gastos Curros</v>
      </c>
      <c r="C362" s="419"/>
      <c r="D362" s="419"/>
      <c r="E362" s="419"/>
      <c r="F362" s="419"/>
      <c r="G362" s="420"/>
      <c r="H362" s="112"/>
    </row>
    <row r="363" spans="2:8" ht="15" customHeight="1" thickBot="1">
      <c r="B363" s="421"/>
      <c r="C363" s="422"/>
      <c r="D363" s="422"/>
      <c r="E363" s="422"/>
      <c r="F363" s="422"/>
      <c r="G363" s="423"/>
      <c r="H363" s="112"/>
    </row>
    <row r="364" spans="2:8" ht="15.75">
      <c r="B364" s="431" t="s">
        <v>8</v>
      </c>
      <c r="C364" s="432"/>
      <c r="D364" s="433" t="s">
        <v>9</v>
      </c>
      <c r="E364" s="433"/>
      <c r="F364" s="433"/>
      <c r="G364" s="43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30" t="str">
        <f>AÑO!A39</f>
        <v>Dreamed Holidays</v>
      </c>
      <c r="C382" s="419"/>
      <c r="D382" s="419"/>
      <c r="E382" s="419"/>
      <c r="F382" s="419"/>
      <c r="G382" s="420"/>
      <c r="H382" s="112"/>
    </row>
    <row r="383" spans="2:8" ht="15" customHeight="1" thickBot="1">
      <c r="B383" s="421"/>
      <c r="C383" s="422"/>
      <c r="D383" s="422"/>
      <c r="E383" s="422"/>
      <c r="F383" s="422"/>
      <c r="G383" s="423"/>
      <c r="H383" s="112"/>
    </row>
    <row r="384" spans="2:8" ht="15.75">
      <c r="B384" s="431" t="s">
        <v>8</v>
      </c>
      <c r="C384" s="432"/>
      <c r="D384" s="433" t="s">
        <v>9</v>
      </c>
      <c r="E384" s="433"/>
      <c r="F384" s="433"/>
      <c r="G384" s="43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30" t="str">
        <f>AÑO!A40</f>
        <v>Financieros</v>
      </c>
      <c r="C402" s="419"/>
      <c r="D402" s="419"/>
      <c r="E402" s="419"/>
      <c r="F402" s="419"/>
      <c r="G402" s="420"/>
      <c r="H402" s="112"/>
    </row>
    <row r="403" spans="2:8" ht="15" customHeight="1" thickBot="1">
      <c r="B403" s="421"/>
      <c r="C403" s="422"/>
      <c r="D403" s="422"/>
      <c r="E403" s="422"/>
      <c r="F403" s="422"/>
      <c r="G403" s="423"/>
      <c r="H403" s="112"/>
    </row>
    <row r="404" spans="2:8" ht="15.75">
      <c r="B404" s="431" t="s">
        <v>8</v>
      </c>
      <c r="C404" s="432"/>
      <c r="D404" s="433" t="s">
        <v>9</v>
      </c>
      <c r="E404" s="433"/>
      <c r="F404" s="433"/>
      <c r="G404" s="43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  <c r="H422" s="112"/>
    </row>
    <row r="423" spans="1:8" ht="15" customHeight="1" thickBot="1">
      <c r="B423" s="438"/>
      <c r="C423" s="439"/>
      <c r="D423" s="439"/>
      <c r="E423" s="439"/>
      <c r="F423" s="439"/>
      <c r="G423" s="440"/>
      <c r="H423" s="112"/>
    </row>
    <row r="424" spans="1:8" ht="15.75">
      <c r="B424" s="431" t="s">
        <v>8</v>
      </c>
      <c r="C424" s="432"/>
      <c r="D424" s="433" t="s">
        <v>9</v>
      </c>
      <c r="E424" s="433"/>
      <c r="F424" s="433"/>
      <c r="G424" s="43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30" t="str">
        <f>AÑO!A42</f>
        <v>Dinero Bloqueado</v>
      </c>
      <c r="C442" s="436"/>
      <c r="D442" s="436"/>
      <c r="E442" s="436"/>
      <c r="F442" s="436"/>
      <c r="G442" s="437"/>
      <c r="H442" s="112"/>
    </row>
    <row r="443" spans="2:8" ht="15" customHeight="1" thickBot="1">
      <c r="B443" s="438"/>
      <c r="C443" s="439"/>
      <c r="D443" s="439"/>
      <c r="E443" s="439"/>
      <c r="F443" s="439"/>
      <c r="G443" s="440"/>
      <c r="H443" s="112"/>
    </row>
    <row r="444" spans="2:8" ht="15.75">
      <c r="B444" s="431" t="s">
        <v>8</v>
      </c>
      <c r="C444" s="432"/>
      <c r="D444" s="433" t="s">
        <v>9</v>
      </c>
      <c r="E444" s="433"/>
      <c r="F444" s="433"/>
      <c r="G444" s="43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30" t="str">
        <f>AÑO!A43</f>
        <v>Cartama Finanazas</v>
      </c>
      <c r="C462" s="436"/>
      <c r="D462" s="436"/>
      <c r="E462" s="436"/>
      <c r="F462" s="436"/>
      <c r="G462" s="437"/>
      <c r="H462" s="112"/>
    </row>
    <row r="463" spans="2:8" ht="15" customHeight="1" thickBot="1">
      <c r="B463" s="438"/>
      <c r="C463" s="439"/>
      <c r="D463" s="439"/>
      <c r="E463" s="439"/>
      <c r="F463" s="439"/>
      <c r="G463" s="440"/>
      <c r="H463" s="112"/>
    </row>
    <row r="464" spans="2:8" ht="15.75">
      <c r="B464" s="431" t="s">
        <v>8</v>
      </c>
      <c r="C464" s="432"/>
      <c r="D464" s="433" t="s">
        <v>9</v>
      </c>
      <c r="E464" s="433"/>
      <c r="F464" s="433"/>
      <c r="G464" s="43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30" t="str">
        <f>AÑO!A44</f>
        <v>NULO</v>
      </c>
      <c r="C482" s="436"/>
      <c r="D482" s="436"/>
      <c r="E482" s="436"/>
      <c r="F482" s="436"/>
      <c r="G482" s="437"/>
      <c r="H482" s="112"/>
    </row>
    <row r="483" spans="2:8" ht="15" customHeight="1" thickBot="1">
      <c r="B483" s="438"/>
      <c r="C483" s="439"/>
      <c r="D483" s="439"/>
      <c r="E483" s="439"/>
      <c r="F483" s="439"/>
      <c r="G483" s="440"/>
      <c r="H483" s="112"/>
    </row>
    <row r="484" spans="2:8" ht="15.75">
      <c r="B484" s="431" t="s">
        <v>8</v>
      </c>
      <c r="C484" s="432"/>
      <c r="D484" s="433" t="s">
        <v>9</v>
      </c>
      <c r="E484" s="433"/>
      <c r="F484" s="433"/>
      <c r="G484" s="43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30" t="str">
        <f>AÑO!A45</f>
        <v>OTROS</v>
      </c>
      <c r="C502" s="436"/>
      <c r="D502" s="436"/>
      <c r="E502" s="436"/>
      <c r="F502" s="436"/>
      <c r="G502" s="437"/>
      <c r="H502" s="112"/>
    </row>
    <row r="503" spans="2:8" ht="15" customHeight="1" thickBot="1">
      <c r="B503" s="438"/>
      <c r="C503" s="439"/>
      <c r="D503" s="439"/>
      <c r="E503" s="439"/>
      <c r="F503" s="439"/>
      <c r="G503" s="440"/>
      <c r="H503" s="112"/>
    </row>
    <row r="504" spans="2:8" ht="15.75">
      <c r="B504" s="431" t="s">
        <v>8</v>
      </c>
      <c r="C504" s="432"/>
      <c r="D504" s="433" t="s">
        <v>9</v>
      </c>
      <c r="E504" s="433"/>
      <c r="F504" s="433"/>
      <c r="G504" s="43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2397.48-4.45</f>
        <v>2393.0300000000002</v>
      </c>
      <c r="L5" s="42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8">
        <f>7340.23-4.45</f>
        <v>7335.78</v>
      </c>
      <c r="L7" s="42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7001.87</v>
      </c>
      <c r="L8" s="42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8">
        <v>669.52</v>
      </c>
      <c r="L9" s="42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160+155</f>
        <v>315</v>
      </c>
      <c r="L11" s="42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25229.379999999997</v>
      </c>
      <c r="L19" s="43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314</v>
      </c>
      <c r="K30" s="40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319</v>
      </c>
      <c r="K31" s="41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 t="s">
        <v>314</v>
      </c>
      <c r="K33" s="41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6"/>
      <c r="J46" s="410"/>
      <c r="K46" s="41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6"/>
      <c r="J51" s="410"/>
      <c r="K51" s="41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5" t="str">
        <f>AÑO!A14</f>
        <v>Mutualite/DKV</v>
      </c>
      <c r="J55" s="408"/>
      <c r="K55" s="40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5" t="str">
        <f>AÑO!A15</f>
        <v>Alquiler Cartama</v>
      </c>
      <c r="J60" s="408" t="s">
        <v>315</v>
      </c>
      <c r="K60" s="40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6"/>
      <c r="J66" s="410"/>
      <c r="K66" s="41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6"/>
      <c r="J67" s="410"/>
      <c r="K67" s="41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7"/>
      <c r="J69" s="412"/>
      <c r="K69" s="41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2:7" ht="15" customHeight="1" thickBot="1">
      <c r="B243" s="421"/>
      <c r="C243" s="422"/>
      <c r="D243" s="422"/>
      <c r="E243" s="422"/>
      <c r="F243" s="422"/>
      <c r="G243" s="423"/>
    </row>
    <row r="244" spans="2:7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2:7" ht="15" customHeight="1" thickBot="1">
      <c r="B263" s="421"/>
      <c r="C263" s="422"/>
      <c r="D263" s="422"/>
      <c r="E263" s="422"/>
      <c r="F263" s="422"/>
      <c r="G263" s="423"/>
    </row>
    <row r="264" spans="2:7">
      <c r="B264" s="431" t="s">
        <v>8</v>
      </c>
      <c r="C264" s="432"/>
      <c r="D264" s="433" t="s">
        <v>9</v>
      </c>
      <c r="E264" s="433"/>
      <c r="F264" s="433"/>
      <c r="G264" s="43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3" t="s">
        <v>9</v>
      </c>
      <c r="E424" s="433"/>
      <c r="F424" s="433"/>
      <c r="G424" s="43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3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1559.34</v>
      </c>
      <c r="L5" s="427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8">
        <v>8577.0300000000007</v>
      </c>
      <c r="L7" s="42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8">
        <v>4167.34</v>
      </c>
      <c r="L9" s="42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255</v>
      </c>
      <c r="L11" s="42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4">
        <f>SUM(K5:K18)</f>
        <v>25574.760000000002</v>
      </c>
      <c r="L19" s="435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3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6"/>
      <c r="J27" s="410"/>
      <c r="K27" s="41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362</v>
      </c>
      <c r="K30" s="40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238</v>
      </c>
      <c r="K31" s="411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19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19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199"/>
      <c r="M43" s="1"/>
      <c r="R43" s="3"/>
    </row>
    <row r="44" spans="1:18" ht="15.75">
      <c r="A44" s="1"/>
      <c r="B44" s="431" t="s">
        <v>8</v>
      </c>
      <c r="C44" s="432"/>
      <c r="D44" s="433" t="s">
        <v>9</v>
      </c>
      <c r="E44" s="433"/>
      <c r="F44" s="433"/>
      <c r="G44" s="432"/>
      <c r="H44" s="1"/>
      <c r="I44" s="414"/>
      <c r="J44" s="415"/>
      <c r="K44" s="41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379</v>
      </c>
      <c r="K45" s="409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6"/>
      <c r="J46" s="410" t="s">
        <v>160</v>
      </c>
      <c r="K46" s="411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6"/>
      <c r="J47" s="410"/>
      <c r="K47" s="411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6"/>
      <c r="J48" s="410"/>
      <c r="K48" s="411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4"/>
      <c r="J49" s="415"/>
      <c r="K49" s="41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5" t="str">
        <f>AÑO!A13</f>
        <v>Gubernamental</v>
      </c>
      <c r="J50" s="408" t="s">
        <v>259</v>
      </c>
      <c r="K50" s="409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6"/>
      <c r="J51" s="410" t="s">
        <v>417</v>
      </c>
      <c r="K51" s="411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6"/>
      <c r="J52" s="410"/>
      <c r="K52" s="411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6"/>
      <c r="J53" s="410"/>
      <c r="K53" s="411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4"/>
      <c r="J54" s="415"/>
      <c r="K54" s="41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5" t="str">
        <f>AÑO!A14</f>
        <v>Mutualite/DKV</v>
      </c>
      <c r="J55" s="441" t="str">
        <f>G306</f>
        <v>12/03 Chirec</v>
      </c>
      <c r="K55" s="409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366</v>
      </c>
      <c r="K60" s="409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19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19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199"/>
      <c r="M63" s="1"/>
      <c r="R63" s="3"/>
    </row>
    <row r="64" spans="1:18" ht="15.75">
      <c r="A64" s="1"/>
      <c r="B64" s="431" t="s">
        <v>8</v>
      </c>
      <c r="C64" s="432"/>
      <c r="D64" s="433" t="s">
        <v>9</v>
      </c>
      <c r="E64" s="433"/>
      <c r="F64" s="433"/>
      <c r="G64" s="432"/>
      <c r="H64" s="1"/>
      <c r="I64" s="414"/>
      <c r="J64" s="415"/>
      <c r="K64" s="41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6"/>
      <c r="J66" s="410"/>
      <c r="K66" s="411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6"/>
      <c r="J67" s="410"/>
      <c r="K67" s="41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6"/>
      <c r="J68" s="410"/>
      <c r="K68" s="41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7"/>
      <c r="J69" s="412"/>
      <c r="K69" s="413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3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3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3" t="s">
        <v>9</v>
      </c>
      <c r="E124" s="433"/>
      <c r="F124" s="433"/>
      <c r="G124" s="43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3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3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3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3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3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8" ht="15" customHeight="1" thickBot="1">
      <c r="B243" s="421"/>
      <c r="C243" s="422"/>
      <c r="D243" s="422"/>
      <c r="E243" s="422"/>
      <c r="F243" s="422"/>
      <c r="G243" s="423"/>
    </row>
    <row r="244" spans="1:8" ht="15" customHeight="1">
      <c r="B244" s="431" t="s">
        <v>8</v>
      </c>
      <c r="C244" s="432"/>
      <c r="D244" s="433" t="s">
        <v>9</v>
      </c>
      <c r="E244" s="433"/>
      <c r="F244" s="433"/>
      <c r="G244" s="43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3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3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3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19"/>
      <c r="D322" s="419"/>
      <c r="E322" s="419"/>
      <c r="F322" s="419"/>
      <c r="G322" s="420"/>
    </row>
    <row r="323" spans="2:7" ht="15" customHeight="1" thickBot="1">
      <c r="B323" s="421"/>
      <c r="C323" s="422"/>
      <c r="D323" s="422"/>
      <c r="E323" s="422"/>
      <c r="F323" s="422"/>
      <c r="G323" s="423"/>
    </row>
    <row r="324" spans="2:7">
      <c r="B324" s="431" t="s">
        <v>8</v>
      </c>
      <c r="C324" s="432"/>
      <c r="D324" s="433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3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3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19"/>
      <c r="D382" s="419"/>
      <c r="E382" s="419"/>
      <c r="F382" s="419"/>
      <c r="G382" s="420"/>
    </row>
    <row r="383" spans="2:7" ht="15" customHeight="1" thickBot="1">
      <c r="B383" s="421"/>
      <c r="C383" s="422"/>
      <c r="D383" s="422"/>
      <c r="E383" s="422"/>
      <c r="F383" s="422"/>
      <c r="G383" s="423"/>
    </row>
    <row r="384" spans="2:7">
      <c r="B384" s="431" t="s">
        <v>8</v>
      </c>
      <c r="C384" s="432"/>
      <c r="D384" s="433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3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3" t="s">
        <v>9</v>
      </c>
      <c r="E424" s="433"/>
      <c r="F424" s="433"/>
      <c r="G424" s="43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3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861.84</v>
      </c>
      <c r="L5" s="427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620.08000000000004</v>
      </c>
      <c r="L6" s="429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10075.709999999999</v>
      </c>
      <c r="L7" s="429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3501.87</v>
      </c>
      <c r="L8" s="42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35.96</v>
      </c>
      <c r="L9" s="429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370</v>
      </c>
      <c r="L11" s="42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5092.08+4084.2</f>
        <v>9176.2799999999988</v>
      </c>
      <c r="L12" s="429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26443.759999999998</v>
      </c>
      <c r="L19" s="444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362</v>
      </c>
      <c r="K30" s="409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430</v>
      </c>
      <c r="K31" s="411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424</v>
      </c>
      <c r="K40" s="409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444</v>
      </c>
      <c r="K41" s="411"/>
      <c r="L41" s="229">
        <v>352.82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 t="s">
        <v>60</v>
      </c>
      <c r="K42" s="411"/>
      <c r="L42" s="229">
        <v>0.02</v>
      </c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5" t="str">
        <f>AÑO!A13</f>
        <v>Gubernamental</v>
      </c>
      <c r="J50" s="408" t="s">
        <v>433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41" t="str">
        <f>'03'!G307</f>
        <v>22/03 Chirec</v>
      </c>
      <c r="K55" s="409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42" t="str">
        <f>'03'!G309</f>
        <v>26/03 Ginecologa</v>
      </c>
      <c r="K56" s="411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448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7" ht="15" customHeight="1" thickBot="1">
      <c r="B263" s="421"/>
      <c r="C263" s="422"/>
      <c r="D263" s="422"/>
      <c r="E263" s="422"/>
      <c r="F263" s="422"/>
      <c r="G263" s="423"/>
    </row>
    <row r="264" spans="1:7">
      <c r="B264" s="431" t="s">
        <v>8</v>
      </c>
      <c r="C264" s="432"/>
      <c r="D264" s="431" t="s">
        <v>9</v>
      </c>
      <c r="E264" s="433"/>
      <c r="F264" s="433"/>
      <c r="G264" s="43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1773.93</v>
      </c>
      <c r="L5" s="427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7144.52</v>
      </c>
      <c r="L7" s="429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10005.620000000001</v>
      </c>
      <c r="L8" s="42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514.82000000000005</v>
      </c>
      <c r="L9" s="429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210</f>
        <v>210</v>
      </c>
      <c r="L11" s="42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v>5092.08</v>
      </c>
      <c r="L12" s="429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27163.090000000004</v>
      </c>
      <c r="L19" s="444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430</v>
      </c>
      <c r="K30" s="409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362</v>
      </c>
      <c r="K31" s="411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472</v>
      </c>
      <c r="K40" s="409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5" t="str">
        <f>AÑO!A13</f>
        <v>Gubernamental</v>
      </c>
      <c r="J50" s="408" t="s">
        <v>483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5" t="str">
        <f>AÑO!A14</f>
        <v>Mutualite/DKV</v>
      </c>
      <c r="J55" s="408" t="s">
        <v>477</v>
      </c>
      <c r="K55" s="409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/>
      <c r="K60" s="409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2:7" ht="15" customHeight="1" thickBot="1">
      <c r="B343" s="421"/>
      <c r="C343" s="422"/>
      <c r="D343" s="422"/>
      <c r="E343" s="422"/>
      <c r="F343" s="422"/>
      <c r="G343" s="423"/>
    </row>
    <row r="344" spans="2:7">
      <c r="B344" s="431" t="s">
        <v>8</v>
      </c>
      <c r="C344" s="432"/>
      <c r="D344" s="431" t="s">
        <v>9</v>
      </c>
      <c r="E344" s="433"/>
      <c r="F344" s="433"/>
      <c r="G344" s="43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2:7" ht="15" customHeight="1" thickBot="1">
      <c r="B363" s="421"/>
      <c r="C363" s="422"/>
      <c r="D363" s="422"/>
      <c r="E363" s="422"/>
      <c r="F363" s="422"/>
      <c r="G363" s="423"/>
    </row>
    <row r="364" spans="2:7">
      <c r="B364" s="431" t="s">
        <v>8</v>
      </c>
      <c r="C364" s="432"/>
      <c r="D364" s="431" t="s">
        <v>9</v>
      </c>
      <c r="E364" s="433"/>
      <c r="F364" s="433"/>
      <c r="G364" s="43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8" ht="15" customHeight="1" thickBot="1">
      <c r="B423" s="438"/>
      <c r="C423" s="439"/>
      <c r="D423" s="439"/>
      <c r="E423" s="439"/>
      <c r="F423" s="439"/>
      <c r="G423" s="440"/>
    </row>
    <row r="424" spans="1:8">
      <c r="B424" s="431" t="s">
        <v>8</v>
      </c>
      <c r="C424" s="432"/>
      <c r="D424" s="431" t="s">
        <v>9</v>
      </c>
      <c r="E424" s="433"/>
      <c r="F424" s="433"/>
      <c r="G424" s="43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02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M5+2156.93</f>
        <v>1614.1099999999997</v>
      </c>
      <c r="L5" s="427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f>9234.42-58.2</f>
        <v>9176.2199999999993</v>
      </c>
      <c r="L7" s="429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190</v>
      </c>
      <c r="L11" s="42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29014.079999999998</v>
      </c>
      <c r="L19" s="444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626</v>
      </c>
      <c r="K30" s="409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430</v>
      </c>
      <c r="K31" s="411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328</v>
      </c>
      <c r="K32" s="411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 t="s">
        <v>359</v>
      </c>
      <c r="K35" s="409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 t="s">
        <v>160</v>
      </c>
      <c r="K45" s="409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5" t="str">
        <f>AÑO!A13</f>
        <v>Gubernamental</v>
      </c>
      <c r="J50" s="408" t="s">
        <v>639</v>
      </c>
      <c r="K50" s="409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627</v>
      </c>
      <c r="K60" s="409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9" ht="15" customHeight="1" thickBot="1">
      <c r="B283" s="421"/>
      <c r="C283" s="422"/>
      <c r="D283" s="422"/>
      <c r="E283" s="422"/>
      <c r="F283" s="422"/>
      <c r="G283" s="423"/>
    </row>
    <row r="284" spans="2:9">
      <c r="B284" s="431" t="s">
        <v>8</v>
      </c>
      <c r="C284" s="432"/>
      <c r="D284" s="431" t="s">
        <v>9</v>
      </c>
      <c r="E284" s="433"/>
      <c r="F284" s="433"/>
      <c r="G284" s="43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29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f>2939.95</f>
        <v>2939.95</v>
      </c>
      <c r="L5" s="427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8">
        <v>620.1</v>
      </c>
      <c r="L6" s="429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8049.26</v>
      </c>
      <c r="L7" s="429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169.67</v>
      </c>
      <c r="L9" s="429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v>260</v>
      </c>
      <c r="L11" s="42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29282.959999999999</v>
      </c>
      <c r="L19" s="444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 t="s">
        <v>401</v>
      </c>
      <c r="K25" s="409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430</v>
      </c>
      <c r="K30" s="409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 t="s">
        <v>626</v>
      </c>
      <c r="K31" s="411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 t="s">
        <v>692</v>
      </c>
      <c r="K32" s="411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 t="s">
        <v>679</v>
      </c>
      <c r="K40" s="409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 t="s">
        <v>60</v>
      </c>
      <c r="K41" s="411"/>
      <c r="L41" s="229">
        <v>0.02</v>
      </c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06"/>
      <c r="J48" s="410"/>
      <c r="K48" s="411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05" t="str">
        <f>AÑO!A13</f>
        <v>Gubernamental</v>
      </c>
      <c r="J50" s="408" t="s">
        <v>639</v>
      </c>
      <c r="K50" s="409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 t="s">
        <v>693</v>
      </c>
      <c r="K55" s="409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 t="s">
        <v>693</v>
      </c>
      <c r="K56" s="411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 t="s">
        <v>693</v>
      </c>
      <c r="K57" s="411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708</v>
      </c>
      <c r="K60" s="409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A399" workbookViewId="0">
      <selection activeCell="G411" sqref="G4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30" t="str">
        <f>AÑO!A20</f>
        <v>Cártama Gastos</v>
      </c>
      <c r="C2" s="419"/>
      <c r="D2" s="419"/>
      <c r="E2" s="419"/>
      <c r="F2" s="419"/>
      <c r="G2" s="420"/>
      <c r="H2" s="222"/>
      <c r="I2" s="418" t="s">
        <v>4</v>
      </c>
      <c r="J2" s="419"/>
      <c r="K2" s="419"/>
      <c r="L2" s="420"/>
      <c r="M2" s="1"/>
      <c r="N2" s="1"/>
      <c r="R2" s="3"/>
    </row>
    <row r="3" spans="1:22" ht="16.5" thickBot="1">
      <c r="A3" s="1"/>
      <c r="B3" s="421"/>
      <c r="C3" s="422"/>
      <c r="D3" s="422"/>
      <c r="E3" s="422"/>
      <c r="F3" s="422"/>
      <c r="G3" s="423"/>
      <c r="H3" s="1"/>
      <c r="I3" s="421"/>
      <c r="J3" s="422"/>
      <c r="K3" s="422"/>
      <c r="L3" s="423"/>
      <c r="M3" s="1"/>
      <c r="N3" s="1"/>
      <c r="R3" s="3"/>
    </row>
    <row r="4" spans="1:22" ht="15.75">
      <c r="A4" s="1"/>
      <c r="B4" s="431" t="s">
        <v>8</v>
      </c>
      <c r="C4" s="432"/>
      <c r="D4" s="431" t="s">
        <v>9</v>
      </c>
      <c r="E4" s="433"/>
      <c r="F4" s="433"/>
      <c r="G4" s="432"/>
      <c r="H4" s="222"/>
      <c r="I4" s="40" t="s">
        <v>57</v>
      </c>
      <c r="J4" s="105" t="s">
        <v>58</v>
      </c>
      <c r="K4" s="424" t="s">
        <v>59</v>
      </c>
      <c r="L4" s="425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6">
        <v>3508.76</v>
      </c>
      <c r="L5" s="427"/>
      <c r="M5" s="1"/>
      <c r="N5" s="1"/>
      <c r="R5" s="3"/>
    </row>
    <row r="6" spans="1:22" ht="15.75">
      <c r="A6" s="112">
        <f>'07'!A6+(B6-SUM(D6:F6))</f>
        <v>409.08</v>
      </c>
      <c r="B6" s="133">
        <v>403.08</v>
      </c>
      <c r="C6" s="19" t="s">
        <v>741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8">
        <v>620.12</v>
      </c>
      <c r="L6" s="429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8">
        <v>7490.36</v>
      </c>
      <c r="L7" s="429"/>
      <c r="M7" s="1"/>
      <c r="N7" s="1"/>
      <c r="R7" s="3"/>
    </row>
    <row r="8" spans="1:22" ht="15.75">
      <c r="A8" s="112">
        <f>'07'!A8+(B8-SUM(D8:F8))</f>
        <v>9.0000000000017621E-2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8">
        <v>6305.62</v>
      </c>
      <c r="L8" s="42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8">
        <v>163.63</v>
      </c>
      <c r="L9" s="429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8">
        <v>1802.02</v>
      </c>
      <c r="L10" s="429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8">
        <f>20+120</f>
        <v>140</v>
      </c>
      <c r="L11" s="42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8">
        <f>5092.08+4044.26</f>
        <v>9136.34</v>
      </c>
      <c r="L12" s="429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8"/>
      <c r="L13" s="42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8"/>
      <c r="L14" s="42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8"/>
      <c r="L15" s="42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8"/>
      <c r="L16" s="42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8"/>
      <c r="L17" s="42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4"/>
      <c r="L18" s="43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3">
        <f>SUM(K5:K18)</f>
        <v>29166.850000000002</v>
      </c>
      <c r="L19" s="444"/>
      <c r="M19" s="1"/>
      <c r="N19" s="1"/>
      <c r="R19" s="3"/>
    </row>
    <row r="20" spans="1:18" ht="16.5" thickBot="1">
      <c r="A20" s="112">
        <f>SUM(A6:A15)</f>
        <v>933.90000000000009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30" t="str">
        <f>AÑO!A21</f>
        <v>Waterloo</v>
      </c>
      <c r="C22" s="419"/>
      <c r="D22" s="419"/>
      <c r="E22" s="419"/>
      <c r="F22" s="419"/>
      <c r="G22" s="420"/>
      <c r="H22" s="1"/>
      <c r="I22" s="418" t="s">
        <v>6</v>
      </c>
      <c r="J22" s="419"/>
      <c r="K22" s="419"/>
      <c r="L22" s="420"/>
      <c r="M22" s="1"/>
      <c r="R22" s="3"/>
    </row>
    <row r="23" spans="1:18" ht="16.149999999999999" customHeight="1" thickBot="1">
      <c r="A23" s="1"/>
      <c r="B23" s="421"/>
      <c r="C23" s="422"/>
      <c r="D23" s="422"/>
      <c r="E23" s="422"/>
      <c r="F23" s="422"/>
      <c r="G23" s="423"/>
      <c r="H23" s="1"/>
      <c r="I23" s="421"/>
      <c r="J23" s="422"/>
      <c r="K23" s="422"/>
      <c r="L23" s="423"/>
      <c r="M23" s="1"/>
      <c r="R23" s="3"/>
    </row>
    <row r="24" spans="1:18" ht="15.75">
      <c r="A24" s="1"/>
      <c r="B24" s="431" t="s">
        <v>8</v>
      </c>
      <c r="C24" s="432"/>
      <c r="D24" s="431" t="s">
        <v>9</v>
      </c>
      <c r="E24" s="433"/>
      <c r="F24" s="433"/>
      <c r="G24" s="432"/>
      <c r="H24" s="1"/>
      <c r="I24" s="40" t="s">
        <v>31</v>
      </c>
      <c r="J24" s="403" t="s">
        <v>87</v>
      </c>
      <c r="K24" s="404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5" t="str">
        <f>AÑO!A8</f>
        <v>Manolo Salario</v>
      </c>
      <c r="J25" s="408"/>
      <c r="K25" s="409"/>
      <c r="L25" s="231"/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6"/>
      <c r="J26" s="410"/>
      <c r="K26" s="411"/>
      <c r="L26" s="229"/>
      <c r="M26" s="1"/>
      <c r="R26" s="3"/>
    </row>
    <row r="27" spans="1:18" ht="15.75">
      <c r="A27" s="112">
        <f>'07'!A27+(B27-SUM(D27:F27))</f>
        <v>224.03999999999996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6"/>
      <c r="J27" s="410"/>
      <c r="K27" s="411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6"/>
      <c r="J28" s="410"/>
      <c r="K28" s="411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4"/>
      <c r="J29" s="415"/>
      <c r="K29" s="41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5" t="str">
        <f>AÑO!A9</f>
        <v>Rocío Salario</v>
      </c>
      <c r="J30" s="408" t="s">
        <v>328</v>
      </c>
      <c r="K30" s="409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6"/>
      <c r="J31" s="410"/>
      <c r="K31" s="411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6"/>
      <c r="J32" s="410"/>
      <c r="K32" s="411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6"/>
      <c r="J33" s="410"/>
      <c r="K33" s="41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4"/>
      <c r="J34" s="415"/>
      <c r="K34" s="41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5" t="s">
        <v>218</v>
      </c>
      <c r="J35" s="408"/>
      <c r="K35" s="409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6"/>
      <c r="J36" s="410"/>
      <c r="K36" s="41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6"/>
      <c r="J37" s="410"/>
      <c r="K37" s="41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6"/>
      <c r="J38" s="410"/>
      <c r="K38" s="41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4"/>
      <c r="J39" s="415"/>
      <c r="K39" s="416"/>
      <c r="L39" s="230"/>
      <c r="M39" s="1"/>
      <c r="R39" s="3"/>
    </row>
    <row r="40" spans="1:18" ht="16.5" thickBot="1">
      <c r="A40" s="112">
        <f>SUM(A26:A35)</f>
        <v>1423.96</v>
      </c>
      <c r="B40" s="135">
        <f>SUM(B26:B39)</f>
        <v>1148</v>
      </c>
      <c r="C40" s="17" t="s">
        <v>53</v>
      </c>
      <c r="D40" s="135">
        <f>SUM(D26:D39)</f>
        <v>104.19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5" t="str">
        <f>AÑO!A11</f>
        <v>Finanazas</v>
      </c>
      <c r="J40" s="408"/>
      <c r="K40" s="409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6"/>
      <c r="J41" s="410"/>
      <c r="K41" s="411"/>
      <c r="L41" s="229"/>
      <c r="M41" s="1"/>
      <c r="R41" s="3"/>
    </row>
    <row r="42" spans="1:18" ht="15.6" customHeight="1">
      <c r="A42" s="1"/>
      <c r="B42" s="430" t="str">
        <f>AÑO!A22</f>
        <v>Comida+Limpieza</v>
      </c>
      <c r="C42" s="419"/>
      <c r="D42" s="419"/>
      <c r="E42" s="419"/>
      <c r="F42" s="419"/>
      <c r="G42" s="420"/>
      <c r="H42" s="1"/>
      <c r="I42" s="406"/>
      <c r="J42" s="410"/>
      <c r="K42" s="411"/>
      <c r="L42" s="229"/>
      <c r="M42" s="1"/>
      <c r="R42" s="3"/>
    </row>
    <row r="43" spans="1:18" ht="16.149999999999999" customHeight="1" thickBot="1">
      <c r="A43" s="1"/>
      <c r="B43" s="421"/>
      <c r="C43" s="422"/>
      <c r="D43" s="422"/>
      <c r="E43" s="422"/>
      <c r="F43" s="422"/>
      <c r="G43" s="423"/>
      <c r="H43" s="1"/>
      <c r="I43" s="406"/>
      <c r="J43" s="410"/>
      <c r="K43" s="411"/>
      <c r="L43" s="229"/>
      <c r="M43" s="1"/>
      <c r="R43" s="3"/>
    </row>
    <row r="44" spans="1:18" ht="15.75">
      <c r="A44" s="1"/>
      <c r="B44" s="431" t="s">
        <v>8</v>
      </c>
      <c r="C44" s="432"/>
      <c r="D44" s="431" t="s">
        <v>9</v>
      </c>
      <c r="E44" s="433"/>
      <c r="F44" s="433"/>
      <c r="G44" s="432"/>
      <c r="H44" s="1"/>
      <c r="I44" s="414"/>
      <c r="J44" s="415"/>
      <c r="K44" s="41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5" t="str">
        <f>AÑO!A12</f>
        <v>Regalos</v>
      </c>
      <c r="J45" s="408"/>
      <c r="K45" s="409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749</v>
      </c>
      <c r="H46" s="1"/>
      <c r="I46" s="406"/>
      <c r="J46" s="410"/>
      <c r="K46" s="411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06"/>
      <c r="J47" s="410"/>
      <c r="K47" s="411"/>
      <c r="L47" s="229"/>
      <c r="M47" s="1"/>
      <c r="R47" s="3"/>
    </row>
    <row r="48" spans="1:18" ht="15.75">
      <c r="A48" s="1"/>
      <c r="B48" s="134"/>
      <c r="C48" s="16" t="s">
        <v>746</v>
      </c>
      <c r="D48" s="137">
        <v>22.34</v>
      </c>
      <c r="E48" s="138"/>
      <c r="F48" s="138"/>
      <c r="G48" s="16" t="s">
        <v>750</v>
      </c>
      <c r="H48" s="1">
        <f>20*8</f>
        <v>160</v>
      </c>
      <c r="I48" s="406"/>
      <c r="J48" s="410"/>
      <c r="K48" s="411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4"/>
      <c r="J49" s="415"/>
      <c r="K49" s="41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5" t="str">
        <f>AÑO!A13</f>
        <v>Gubernamental</v>
      </c>
      <c r="J50" s="408" t="s">
        <v>639</v>
      </c>
      <c r="K50" s="409"/>
      <c r="L50" s="231">
        <v>117.03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6"/>
      <c r="J51" s="410"/>
      <c r="K51" s="411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6"/>
      <c r="J52" s="410"/>
      <c r="K52" s="411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6"/>
      <c r="J53" s="410"/>
      <c r="K53" s="411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4"/>
      <c r="J54" s="415"/>
      <c r="K54" s="41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5" t="str">
        <f>AÑO!A14</f>
        <v>Mutualite/DKV</v>
      </c>
      <c r="J55" s="408"/>
      <c r="K55" s="409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6"/>
      <c r="J56" s="410"/>
      <c r="K56" s="411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6"/>
      <c r="J57" s="410"/>
      <c r="K57" s="411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6"/>
      <c r="J58" s="410"/>
      <c r="K58" s="41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4"/>
      <c r="J59" s="415"/>
      <c r="K59" s="41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158.07000000000002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5" t="str">
        <f>AÑO!A15</f>
        <v>Alquiler Cartama</v>
      </c>
      <c r="J60" s="408" t="s">
        <v>39</v>
      </c>
      <c r="K60" s="409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6"/>
      <c r="J61" s="410"/>
      <c r="K61" s="411"/>
      <c r="L61" s="229"/>
      <c r="M61" s="1"/>
      <c r="R61" s="3"/>
    </row>
    <row r="62" spans="1:18" ht="15.6" customHeight="1">
      <c r="A62" s="1"/>
      <c r="B62" s="430" t="str">
        <f>AÑO!A23</f>
        <v>Ocio</v>
      </c>
      <c r="C62" s="419"/>
      <c r="D62" s="419"/>
      <c r="E62" s="419"/>
      <c r="F62" s="419"/>
      <c r="G62" s="420"/>
      <c r="H62" s="1"/>
      <c r="I62" s="406"/>
      <c r="J62" s="410"/>
      <c r="K62" s="411"/>
      <c r="L62" s="229"/>
      <c r="M62" s="1"/>
      <c r="R62" s="3"/>
    </row>
    <row r="63" spans="1:18" ht="16.149999999999999" customHeight="1" thickBot="1">
      <c r="A63" s="1"/>
      <c r="B63" s="421"/>
      <c r="C63" s="422"/>
      <c r="D63" s="422"/>
      <c r="E63" s="422"/>
      <c r="F63" s="422"/>
      <c r="G63" s="423"/>
      <c r="H63" s="1"/>
      <c r="I63" s="406"/>
      <c r="J63" s="410"/>
      <c r="K63" s="411"/>
      <c r="L63" s="229"/>
      <c r="M63" s="1"/>
      <c r="R63" s="3"/>
    </row>
    <row r="64" spans="1:18" ht="15.75">
      <c r="A64" s="1"/>
      <c r="B64" s="431" t="s">
        <v>8</v>
      </c>
      <c r="C64" s="432"/>
      <c r="D64" s="431" t="s">
        <v>9</v>
      </c>
      <c r="E64" s="433"/>
      <c r="F64" s="433"/>
      <c r="G64" s="432"/>
      <c r="H64" s="1"/>
      <c r="I64" s="414"/>
      <c r="J64" s="415"/>
      <c r="K64" s="41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5" t="str">
        <f>AÑO!A16</f>
        <v>Otros</v>
      </c>
      <c r="J65" s="408"/>
      <c r="K65" s="409"/>
      <c r="L65" s="231"/>
      <c r="M65" s="1"/>
      <c r="R65" s="3"/>
    </row>
    <row r="66" spans="1:18" ht="15.75">
      <c r="A66" s="112">
        <f>'07'!A66+(B66-SUM(D66:F78))+B67</f>
        <v>179.48000000000002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406"/>
      <c r="J66" s="410"/>
      <c r="K66" s="411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6"/>
      <c r="J67" s="410"/>
      <c r="K67" s="411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6"/>
      <c r="J68" s="410"/>
      <c r="K68" s="411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7"/>
      <c r="J69" s="412"/>
      <c r="K69" s="413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279.48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30" t="str">
        <f>AÑO!A24</f>
        <v>Transportes</v>
      </c>
      <c r="C82" s="419"/>
      <c r="D82" s="419"/>
      <c r="E82" s="419"/>
      <c r="F82" s="419"/>
      <c r="G82" s="420"/>
      <c r="H82" s="1"/>
      <c r="M82" s="1"/>
      <c r="R82" s="3"/>
    </row>
    <row r="83" spans="1:18" ht="16.149999999999999" customHeight="1" thickBot="1">
      <c r="A83" s="1"/>
      <c r="B83" s="421"/>
      <c r="C83" s="422"/>
      <c r="D83" s="422"/>
      <c r="E83" s="422"/>
      <c r="F83" s="422"/>
      <c r="G83" s="423"/>
      <c r="H83" s="1"/>
      <c r="M83" s="1"/>
      <c r="R83" s="3"/>
    </row>
    <row r="84" spans="1:18" ht="15.75">
      <c r="A84" s="1"/>
      <c r="B84" s="431" t="s">
        <v>8</v>
      </c>
      <c r="C84" s="432"/>
      <c r="D84" s="431" t="s">
        <v>9</v>
      </c>
      <c r="E84" s="433"/>
      <c r="F84" s="433"/>
      <c r="G84" s="43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56.61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30" t="str">
        <f>AÑO!A25</f>
        <v>Coche</v>
      </c>
      <c r="C102" s="419"/>
      <c r="D102" s="419"/>
      <c r="E102" s="419"/>
      <c r="F102" s="419"/>
      <c r="G102" s="420"/>
      <c r="H102" s="1"/>
      <c r="M102" s="1"/>
      <c r="R102" s="3"/>
    </row>
    <row r="103" spans="1:18" ht="16.149999999999999" customHeight="1" thickBot="1">
      <c r="A103" s="1"/>
      <c r="B103" s="421"/>
      <c r="C103" s="422"/>
      <c r="D103" s="422"/>
      <c r="E103" s="422"/>
      <c r="F103" s="422"/>
      <c r="G103" s="423"/>
      <c r="H103" s="1"/>
      <c r="M103" s="1"/>
      <c r="R103" s="3"/>
    </row>
    <row r="104" spans="1:18" ht="15.75">
      <c r="A104" s="1"/>
      <c r="B104" s="431" t="s">
        <v>8</v>
      </c>
      <c r="C104" s="432"/>
      <c r="D104" s="431" t="s">
        <v>9</v>
      </c>
      <c r="E104" s="433"/>
      <c r="F104" s="433"/>
      <c r="G104" s="43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30" t="str">
        <f>AÑO!A26</f>
        <v>Teléfono</v>
      </c>
      <c r="C122" s="419"/>
      <c r="D122" s="419"/>
      <c r="E122" s="419"/>
      <c r="F122" s="419"/>
      <c r="G122" s="420"/>
      <c r="H122" s="1"/>
      <c r="M122" s="1"/>
      <c r="R122" s="3"/>
    </row>
    <row r="123" spans="1:18" ht="16.149999999999999" customHeight="1" thickBot="1">
      <c r="A123" s="1"/>
      <c r="B123" s="421"/>
      <c r="C123" s="422"/>
      <c r="D123" s="422"/>
      <c r="E123" s="422"/>
      <c r="F123" s="422"/>
      <c r="G123" s="423"/>
      <c r="H123" s="1"/>
      <c r="M123" s="1"/>
      <c r="R123" s="3"/>
    </row>
    <row r="124" spans="1:18" ht="15.75">
      <c r="A124" s="1"/>
      <c r="B124" s="431" t="s">
        <v>8</v>
      </c>
      <c r="C124" s="432"/>
      <c r="D124" s="431" t="s">
        <v>9</v>
      </c>
      <c r="E124" s="433"/>
      <c r="F124" s="433"/>
      <c r="G124" s="43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40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57.5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30" t="str">
        <f>AÑO!A27</f>
        <v>Gatos</v>
      </c>
      <c r="C142" s="419"/>
      <c r="D142" s="419"/>
      <c r="E142" s="419"/>
      <c r="F142" s="419"/>
      <c r="G142" s="420"/>
      <c r="H142" s="1"/>
      <c r="M142" s="1"/>
      <c r="R142" s="3"/>
    </row>
    <row r="143" spans="1:18" ht="16.149999999999999" customHeight="1" thickBot="1">
      <c r="A143" s="1"/>
      <c r="B143" s="421"/>
      <c r="C143" s="422"/>
      <c r="D143" s="422"/>
      <c r="E143" s="422"/>
      <c r="F143" s="422"/>
      <c r="G143" s="423"/>
      <c r="H143" s="1"/>
      <c r="M143" s="1"/>
      <c r="R143" s="3"/>
    </row>
    <row r="144" spans="1:18" ht="15.75">
      <c r="A144" s="1"/>
      <c r="B144" s="431" t="s">
        <v>8</v>
      </c>
      <c r="C144" s="432"/>
      <c r="D144" s="431" t="s">
        <v>9</v>
      </c>
      <c r="E144" s="433"/>
      <c r="F144" s="433"/>
      <c r="G144" s="43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30" t="str">
        <f>AÑO!A28</f>
        <v>Vacaciones</v>
      </c>
      <c r="C162" s="419"/>
      <c r="D162" s="419"/>
      <c r="E162" s="419"/>
      <c r="F162" s="419"/>
      <c r="G162" s="42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21"/>
      <c r="C163" s="422"/>
      <c r="D163" s="422"/>
      <c r="E163" s="422"/>
      <c r="F163" s="422"/>
      <c r="G163" s="42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31" t="s">
        <v>8</v>
      </c>
      <c r="C164" s="432"/>
      <c r="D164" s="431" t="s">
        <v>9</v>
      </c>
      <c r="E164" s="433"/>
      <c r="F164" s="433"/>
      <c r="G164" s="43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30" t="str">
        <f>AÑO!A29</f>
        <v>Ropa</v>
      </c>
      <c r="C182" s="419"/>
      <c r="D182" s="419"/>
      <c r="E182" s="419"/>
      <c r="F182" s="419"/>
      <c r="G182" s="42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21"/>
      <c r="C183" s="422"/>
      <c r="D183" s="422"/>
      <c r="E183" s="422"/>
      <c r="F183" s="422"/>
      <c r="G183" s="4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31" t="s">
        <v>8</v>
      </c>
      <c r="C184" s="432"/>
      <c r="D184" s="431" t="s">
        <v>9</v>
      </c>
      <c r="E184" s="433"/>
      <c r="F184" s="433"/>
      <c r="G184" s="4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30" t="str">
        <f>AÑO!A30</f>
        <v>Belleza</v>
      </c>
      <c r="C202" s="419"/>
      <c r="D202" s="419"/>
      <c r="E202" s="419"/>
      <c r="F202" s="419"/>
      <c r="G202" s="420"/>
    </row>
    <row r="203" spans="2:12" ht="15" customHeight="1" thickBot="1">
      <c r="B203" s="421"/>
      <c r="C203" s="422"/>
      <c r="D203" s="422"/>
      <c r="E203" s="422"/>
      <c r="F203" s="422"/>
      <c r="G203" s="423"/>
    </row>
    <row r="204" spans="2:12">
      <c r="B204" s="431" t="s">
        <v>8</v>
      </c>
      <c r="C204" s="432"/>
      <c r="D204" s="431" t="s">
        <v>9</v>
      </c>
      <c r="E204" s="433"/>
      <c r="F204" s="433"/>
      <c r="G204" s="43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30" t="str">
        <f>AÑO!A31</f>
        <v>Deportes</v>
      </c>
      <c r="C222" s="419"/>
      <c r="D222" s="419"/>
      <c r="E222" s="419"/>
      <c r="F222" s="419"/>
      <c r="G222" s="420"/>
    </row>
    <row r="223" spans="2:7" ht="15" customHeight="1" thickBot="1">
      <c r="B223" s="421"/>
      <c r="C223" s="422"/>
      <c r="D223" s="422"/>
      <c r="E223" s="422"/>
      <c r="F223" s="422"/>
      <c r="G223" s="423"/>
    </row>
    <row r="224" spans="2:7">
      <c r="B224" s="431" t="s">
        <v>8</v>
      </c>
      <c r="C224" s="432"/>
      <c r="D224" s="431" t="s">
        <v>9</v>
      </c>
      <c r="E224" s="433"/>
      <c r="F224" s="433"/>
      <c r="G224" s="43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30" t="str">
        <f>AÑO!A32</f>
        <v>Hogar</v>
      </c>
      <c r="C242" s="419"/>
      <c r="D242" s="419"/>
      <c r="E242" s="419"/>
      <c r="F242" s="419"/>
      <c r="G242" s="420"/>
    </row>
    <row r="243" spans="1:7" ht="15" customHeight="1" thickBot="1">
      <c r="B243" s="421"/>
      <c r="C243" s="422"/>
      <c r="D243" s="422"/>
      <c r="E243" s="422"/>
      <c r="F243" s="422"/>
      <c r="G243" s="423"/>
    </row>
    <row r="244" spans="1:7" ht="15" customHeight="1">
      <c r="B244" s="431" t="s">
        <v>8</v>
      </c>
      <c r="C244" s="432"/>
      <c r="D244" s="431" t="s">
        <v>9</v>
      </c>
      <c r="E244" s="433"/>
      <c r="F244" s="433"/>
      <c r="G244" s="43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'07'!A246+(B246-SUM(D246:F255))</f>
        <v>12.370000000000005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596.12000000000012</v>
      </c>
      <c r="B257" s="134">
        <v>40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643.49000000000012</v>
      </c>
      <c r="B260" s="135">
        <f>SUM(B246:B259)</f>
        <v>90</v>
      </c>
      <c r="C260" s="17" t="s">
        <v>53</v>
      </c>
      <c r="D260" s="135">
        <f>SUM(D246:D259)</f>
        <v>45.4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30" t="str">
        <f>AÑO!A33</f>
        <v>Formación</v>
      </c>
      <c r="C262" s="419"/>
      <c r="D262" s="419"/>
      <c r="E262" s="419"/>
      <c r="F262" s="419"/>
      <c r="G262" s="420"/>
    </row>
    <row r="263" spans="1:8" ht="15" customHeight="1" thickBot="1">
      <c r="B263" s="421"/>
      <c r="C263" s="422"/>
      <c r="D263" s="422"/>
      <c r="E263" s="422"/>
      <c r="F263" s="422"/>
      <c r="G263" s="423"/>
    </row>
    <row r="264" spans="1:8">
      <c r="B264" s="431" t="s">
        <v>8</v>
      </c>
      <c r="C264" s="432"/>
      <c r="D264" s="431" t="s">
        <v>9</v>
      </c>
      <c r="E264" s="433"/>
      <c r="F264" s="433"/>
      <c r="G264" s="43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60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30" t="str">
        <f>AÑO!A34</f>
        <v>Regalos</v>
      </c>
      <c r="C282" s="419"/>
      <c r="D282" s="419"/>
      <c r="E282" s="419"/>
      <c r="F282" s="419"/>
      <c r="G282" s="420"/>
    </row>
    <row r="283" spans="2:8" ht="15" customHeight="1" thickBot="1">
      <c r="B283" s="421"/>
      <c r="C283" s="422"/>
      <c r="D283" s="422"/>
      <c r="E283" s="422"/>
      <c r="F283" s="422"/>
      <c r="G283" s="423"/>
    </row>
    <row r="284" spans="2:8">
      <c r="B284" s="431" t="s">
        <v>8</v>
      </c>
      <c r="C284" s="432"/>
      <c r="D284" s="431" t="s">
        <v>9</v>
      </c>
      <c r="E284" s="433"/>
      <c r="F284" s="433"/>
      <c r="G284" s="43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 t="s">
        <v>695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30" t="str">
        <f>AÑO!A35</f>
        <v>Salud</v>
      </c>
      <c r="C302" s="419"/>
      <c r="D302" s="419"/>
      <c r="E302" s="419"/>
      <c r="F302" s="419"/>
      <c r="G302" s="420"/>
    </row>
    <row r="303" spans="2:8" ht="15" customHeight="1" thickBot="1">
      <c r="B303" s="421"/>
      <c r="C303" s="422"/>
      <c r="D303" s="422"/>
      <c r="E303" s="422"/>
      <c r="F303" s="422"/>
      <c r="G303" s="423"/>
    </row>
    <row r="304" spans="2:8">
      <c r="B304" s="431" t="s">
        <v>8</v>
      </c>
      <c r="C304" s="432"/>
      <c r="D304" s="431" t="s">
        <v>9</v>
      </c>
      <c r="E304" s="433"/>
      <c r="F304" s="433"/>
      <c r="G304" s="43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30" t="str">
        <f>AÑO!A36</f>
        <v>Nenas</v>
      </c>
      <c r="C322" s="436"/>
      <c r="D322" s="436"/>
      <c r="E322" s="436"/>
      <c r="F322" s="436"/>
      <c r="G322" s="437"/>
    </row>
    <row r="323" spans="2:7" ht="15" customHeight="1" thickBot="1">
      <c r="B323" s="438"/>
      <c r="C323" s="439"/>
      <c r="D323" s="439"/>
      <c r="E323" s="439"/>
      <c r="F323" s="439"/>
      <c r="G323" s="440"/>
    </row>
    <row r="324" spans="2:7">
      <c r="B324" s="431" t="s">
        <v>8</v>
      </c>
      <c r="C324" s="432"/>
      <c r="D324" s="431" t="s">
        <v>9</v>
      </c>
      <c r="E324" s="433"/>
      <c r="F324" s="433"/>
      <c r="G324" s="43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/>
      <c r="C327" s="16"/>
      <c r="D327" s="137">
        <v>10</v>
      </c>
      <c r="E327" s="138"/>
      <c r="F327" s="138"/>
      <c r="G327" s="16" t="s">
        <v>747</v>
      </c>
    </row>
    <row r="328" spans="2:7">
      <c r="B328" s="134"/>
      <c r="C328" s="16"/>
      <c r="D328" s="137">
        <v>187.13</v>
      </c>
      <c r="E328" s="138"/>
      <c r="F328" s="138"/>
      <c r="G328" s="16" t="s">
        <v>751</v>
      </c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197.13</v>
      </c>
      <c r="E340" s="135">
        <f>SUM(E326:E339)</f>
        <v>94.14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30" t="str">
        <f>AÑO!A37</f>
        <v>Impuestos</v>
      </c>
      <c r="C342" s="419"/>
      <c r="D342" s="419"/>
      <c r="E342" s="419"/>
      <c r="F342" s="419"/>
      <c r="G342" s="420"/>
    </row>
    <row r="343" spans="1:7" ht="15" customHeight="1" thickBot="1">
      <c r="B343" s="421"/>
      <c r="C343" s="422"/>
      <c r="D343" s="422"/>
      <c r="E343" s="422"/>
      <c r="F343" s="422"/>
      <c r="G343" s="423"/>
    </row>
    <row r="344" spans="1:7">
      <c r="B344" s="431" t="s">
        <v>8</v>
      </c>
      <c r="C344" s="432"/>
      <c r="D344" s="431" t="s">
        <v>9</v>
      </c>
      <c r="E344" s="433"/>
      <c r="F344" s="433"/>
      <c r="G344" s="43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30" t="str">
        <f>AÑO!A38</f>
        <v>Gastos Curros</v>
      </c>
      <c r="C362" s="419"/>
      <c r="D362" s="419"/>
      <c r="E362" s="419"/>
      <c r="F362" s="419"/>
      <c r="G362" s="420"/>
    </row>
    <row r="363" spans="1:7" ht="15" customHeight="1" thickBot="1">
      <c r="B363" s="421"/>
      <c r="C363" s="422"/>
      <c r="D363" s="422"/>
      <c r="E363" s="422"/>
      <c r="F363" s="422"/>
      <c r="G363" s="423"/>
    </row>
    <row r="364" spans="1:7">
      <c r="B364" s="431" t="s">
        <v>8</v>
      </c>
      <c r="C364" s="432"/>
      <c r="D364" s="431" t="s">
        <v>9</v>
      </c>
      <c r="E364" s="433"/>
      <c r="F364" s="433"/>
      <c r="G364" s="43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</f>
        <v>13.5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13.5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30" t="str">
        <f>AÑO!A39</f>
        <v>Dreamed Holidays</v>
      </c>
      <c r="C382" s="436"/>
      <c r="D382" s="436"/>
      <c r="E382" s="436"/>
      <c r="F382" s="436"/>
      <c r="G382" s="437"/>
    </row>
    <row r="383" spans="2:7" ht="15" customHeight="1" thickBot="1">
      <c r="B383" s="438"/>
      <c r="C383" s="439"/>
      <c r="D383" s="439"/>
      <c r="E383" s="439"/>
      <c r="F383" s="439"/>
      <c r="G383" s="440"/>
    </row>
    <row r="384" spans="2:7">
      <c r="B384" s="431" t="s">
        <v>8</v>
      </c>
      <c r="C384" s="432"/>
      <c r="D384" s="431" t="s">
        <v>9</v>
      </c>
      <c r="E384" s="433"/>
      <c r="F384" s="433"/>
      <c r="G384" s="43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30" t="str">
        <f>AÑO!A40</f>
        <v>Financieros</v>
      </c>
      <c r="C402" s="419"/>
      <c r="D402" s="419"/>
      <c r="E402" s="419"/>
      <c r="F402" s="419"/>
      <c r="G402" s="420"/>
    </row>
    <row r="403" spans="2:7" ht="15" customHeight="1" thickBot="1">
      <c r="B403" s="421"/>
      <c r="C403" s="422"/>
      <c r="D403" s="422"/>
      <c r="E403" s="422"/>
      <c r="F403" s="422"/>
      <c r="G403" s="423"/>
    </row>
    <row r="404" spans="2:7">
      <c r="B404" s="431" t="s">
        <v>8</v>
      </c>
      <c r="C404" s="432"/>
      <c r="D404" s="431" t="s">
        <v>9</v>
      </c>
      <c r="E404" s="433"/>
      <c r="F404" s="433"/>
      <c r="G404" s="43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30" t="str">
        <f>AÑO!A41</f>
        <v>Ahorros Colchón</v>
      </c>
      <c r="C422" s="436"/>
      <c r="D422" s="436"/>
      <c r="E422" s="436"/>
      <c r="F422" s="436"/>
      <c r="G422" s="437"/>
    </row>
    <row r="423" spans="1:7" ht="15" customHeight="1" thickBot="1">
      <c r="B423" s="438"/>
      <c r="C423" s="439"/>
      <c r="D423" s="439"/>
      <c r="E423" s="439"/>
      <c r="F423" s="439"/>
      <c r="G423" s="440"/>
    </row>
    <row r="424" spans="1:7">
      <c r="B424" s="431" t="s">
        <v>8</v>
      </c>
      <c r="C424" s="432"/>
      <c r="D424" s="431" t="s">
        <v>9</v>
      </c>
      <c r="E424" s="433"/>
      <c r="F424" s="433"/>
      <c r="G424" s="432"/>
    </row>
    <row r="425" spans="1:7">
      <c r="A425" s="113">
        <f>AÑO!AE17</f>
        <v>958.63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-2941.37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-2941.37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30" t="str">
        <f>AÑO!A42</f>
        <v>Dinero Bloqueado</v>
      </c>
      <c r="C442" s="436"/>
      <c r="D442" s="436"/>
      <c r="E442" s="436"/>
      <c r="F442" s="436"/>
      <c r="G442" s="437"/>
    </row>
    <row r="443" spans="2:7" ht="15" customHeight="1" thickBot="1">
      <c r="B443" s="438"/>
      <c r="C443" s="439"/>
      <c r="D443" s="439"/>
      <c r="E443" s="439"/>
      <c r="F443" s="439"/>
      <c r="G443" s="440"/>
    </row>
    <row r="444" spans="2:7">
      <c r="B444" s="431" t="s">
        <v>8</v>
      </c>
      <c r="C444" s="432"/>
      <c r="D444" s="433" t="s">
        <v>9</v>
      </c>
      <c r="E444" s="433"/>
      <c r="F444" s="433"/>
      <c r="G444" s="43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30" t="str">
        <f>AÑO!A43</f>
        <v>Cartama Finanazas</v>
      </c>
      <c r="C462" s="436"/>
      <c r="D462" s="436"/>
      <c r="E462" s="436"/>
      <c r="F462" s="436"/>
      <c r="G462" s="437"/>
    </row>
    <row r="463" spans="2:7" ht="15" customHeight="1" thickBot="1">
      <c r="B463" s="438"/>
      <c r="C463" s="439"/>
      <c r="D463" s="439"/>
      <c r="E463" s="439"/>
      <c r="F463" s="439"/>
      <c r="G463" s="440"/>
    </row>
    <row r="464" spans="2:7">
      <c r="B464" s="431" t="s">
        <v>8</v>
      </c>
      <c r="C464" s="432"/>
      <c r="D464" s="433" t="s">
        <v>9</v>
      </c>
      <c r="E464" s="433"/>
      <c r="F464" s="433"/>
      <c r="G464" s="43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30" t="str">
        <f>AÑO!A44</f>
        <v>NULO</v>
      </c>
      <c r="C482" s="436"/>
      <c r="D482" s="436"/>
      <c r="E482" s="436"/>
      <c r="F482" s="436"/>
      <c r="G482" s="437"/>
    </row>
    <row r="483" spans="2:7" ht="15" customHeight="1" thickBot="1">
      <c r="B483" s="438"/>
      <c r="C483" s="439"/>
      <c r="D483" s="439"/>
      <c r="E483" s="439"/>
      <c r="F483" s="439"/>
      <c r="G483" s="440"/>
    </row>
    <row r="484" spans="2:7">
      <c r="B484" s="431" t="s">
        <v>8</v>
      </c>
      <c r="C484" s="432"/>
      <c r="D484" s="433" t="s">
        <v>9</v>
      </c>
      <c r="E484" s="433"/>
      <c r="F484" s="433"/>
      <c r="G484" s="43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30" t="str">
        <f>AÑO!A45</f>
        <v>OTROS</v>
      </c>
      <c r="C502" s="436"/>
      <c r="D502" s="436"/>
      <c r="E502" s="436"/>
      <c r="F502" s="436"/>
      <c r="G502" s="437"/>
    </row>
    <row r="503" spans="2:7" ht="15" customHeight="1" thickBot="1">
      <c r="B503" s="438"/>
      <c r="C503" s="439"/>
      <c r="D503" s="439"/>
      <c r="E503" s="439"/>
      <c r="F503" s="439"/>
      <c r="G503" s="440"/>
    </row>
    <row r="504" spans="2:7">
      <c r="B504" s="431" t="s">
        <v>8</v>
      </c>
      <c r="C504" s="432"/>
      <c r="D504" s="431" t="s">
        <v>9</v>
      </c>
      <c r="E504" s="433"/>
      <c r="F504" s="433"/>
      <c r="G504" s="43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2019-08-09T15:31:16Z</dcterms:modified>
</cp:coreProperties>
</file>