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15323E87-317B-4574-AA25-DF790F7B1511}" xr6:coauthVersionLast="44" xr6:coauthVersionMax="44" xr10:uidLastSave="{00000000-0000-0000-0000-000000000000}"/>
  <bookViews>
    <workbookView xWindow="-108" yWindow="12852" windowWidth="22236" windowHeight="13176" firstSheet="1" activeTab="1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4" l="1"/>
  <c r="B42" i="5"/>
  <c r="B22" i="5"/>
  <c r="B2" i="5"/>
  <c r="A427" i="5"/>
  <c r="A130" i="5" l="1"/>
  <c r="A118" i="5"/>
  <c r="A109" i="5"/>
  <c r="A110" i="5"/>
  <c r="A116" i="5"/>
  <c r="A116" i="4"/>
  <c r="A118" i="4"/>
  <c r="A110" i="4"/>
  <c r="A31" i="5"/>
  <c r="B14" i="5"/>
  <c r="A14" i="5"/>
  <c r="A15" i="5"/>
  <c r="A6" i="5"/>
  <c r="A120" i="5" l="1"/>
  <c r="H166" i="4"/>
  <c r="A428" i="4"/>
  <c r="L60" i="4"/>
  <c r="B286" i="3"/>
  <c r="B299" i="3"/>
  <c r="B520" i="5"/>
  <c r="B500" i="5"/>
  <c r="B480" i="5"/>
  <c r="B460" i="5"/>
  <c r="B420" i="5"/>
  <c r="B400" i="5"/>
  <c r="B380" i="5"/>
  <c r="B360" i="5"/>
  <c r="B340" i="5"/>
  <c r="B320" i="5"/>
  <c r="B300" i="5"/>
  <c r="B280" i="5"/>
  <c r="B257" i="5"/>
  <c r="B260" i="5" s="1"/>
  <c r="B256" i="5"/>
  <c r="B240" i="5"/>
  <c r="B220" i="5"/>
  <c r="B200" i="5"/>
  <c r="B180" i="5"/>
  <c r="B160" i="5"/>
  <c r="B140" i="5"/>
  <c r="B120" i="5"/>
  <c r="B108" i="5"/>
  <c r="B106" i="5"/>
  <c r="B100" i="5"/>
  <c r="B80" i="5"/>
  <c r="B46" i="5"/>
  <c r="B60" i="5" s="1"/>
  <c r="B40" i="5"/>
  <c r="B20" i="5"/>
  <c r="F71" i="3"/>
  <c r="G26" i="15"/>
  <c r="B27" i="15"/>
  <c r="D27" i="15"/>
  <c r="C27" i="15"/>
  <c r="K11" i="4"/>
  <c r="F366" i="3"/>
  <c r="H166" i="3"/>
  <c r="B167" i="3"/>
  <c r="M45" i="3"/>
  <c r="B5" i="19"/>
  <c r="B4" i="19"/>
  <c r="B3" i="19"/>
  <c r="B11" i="19"/>
  <c r="B13" i="3"/>
  <c r="K39" i="18"/>
  <c r="D39" i="18" s="1"/>
  <c r="H39" i="18"/>
  <c r="I39" i="18" s="1"/>
  <c r="J39" i="18" l="1"/>
  <c r="M39" i="18"/>
  <c r="N39" i="18" l="1"/>
  <c r="Q39" i="18" s="1"/>
  <c r="E39" i="18"/>
  <c r="D56" i="3"/>
  <c r="P39" i="18" l="1"/>
  <c r="R39" i="18" s="1"/>
  <c r="O39" i="18"/>
  <c r="D7" i="19"/>
  <c r="J3" i="18"/>
  <c r="K38" i="18"/>
  <c r="D38" i="18" s="1"/>
  <c r="H38" i="18"/>
  <c r="I38" i="18" s="1"/>
  <c r="M38" i="18" l="1"/>
  <c r="A430" i="3"/>
  <c r="B307" i="3"/>
  <c r="N38" i="18" l="1"/>
  <c r="Q38" i="18" s="1"/>
  <c r="E38" i="18"/>
  <c r="E248" i="3"/>
  <c r="E287" i="3"/>
  <c r="O38" i="18" l="1"/>
  <c r="P38" i="18"/>
  <c r="R38" i="18" s="1"/>
  <c r="A246" i="3"/>
  <c r="D187" i="3"/>
  <c r="B12" i="3"/>
  <c r="C5" i="14" l="1"/>
  <c r="B46" i="4" l="1"/>
  <c r="D50" i="3"/>
  <c r="D146" i="3"/>
  <c r="D48" i="3" l="1"/>
  <c r="D206" i="3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I82" i="15"/>
  <c r="D286" i="3"/>
  <c r="A426" i="2" l="1"/>
  <c r="F366" i="2"/>
  <c r="A427" i="4"/>
  <c r="I257" i="4"/>
  <c r="A256" i="4"/>
  <c r="B257" i="4"/>
  <c r="B256" i="4"/>
  <c r="A127" i="4"/>
  <c r="A130" i="4"/>
  <c r="B108" i="4"/>
  <c r="B106" i="4"/>
  <c r="A31" i="4"/>
  <c r="B14" i="4"/>
  <c r="B46" i="3"/>
  <c r="B108" i="3"/>
  <c r="K11" i="3"/>
  <c r="M5" i="2"/>
  <c r="D56" i="2" l="1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A129" i="4" s="1"/>
  <c r="F140" i="3"/>
  <c r="E140" i="3"/>
  <c r="D140" i="3"/>
  <c r="B140" i="3"/>
  <c r="A118" i="3"/>
  <c r="B106" i="3"/>
  <c r="A31" i="3"/>
  <c r="A14" i="3"/>
  <c r="A14" i="4" s="1"/>
  <c r="A15" i="3"/>
  <c r="A15" i="4" s="1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286" i="4" s="1"/>
  <c r="A130" i="2"/>
  <c r="A129" i="2"/>
  <c r="A127" i="2"/>
  <c r="A126" i="2"/>
  <c r="A126" i="3" s="1"/>
  <c r="A126" i="4" s="1"/>
  <c r="A140" i="4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2" i="18"/>
  <c r="U69" i="18"/>
  <c r="U70" i="18" s="1"/>
  <c r="U71" i="18" s="1"/>
  <c r="U61" i="18"/>
  <c r="U62" i="18" s="1"/>
  <c r="D44" i="18"/>
  <c r="X41" i="18" s="1"/>
  <c r="Y41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3" i="18" s="1"/>
  <c r="Q9" i="18"/>
  <c r="Q8" i="18"/>
  <c r="Q7" i="18"/>
  <c r="Q6" i="18"/>
  <c r="K5" i="18"/>
  <c r="D5" i="18" s="1"/>
  <c r="H5" i="18"/>
  <c r="I5" i="18" s="1"/>
  <c r="K4" i="18"/>
  <c r="D4" i="18" s="1"/>
  <c r="H4" i="18"/>
  <c r="I4" i="18" s="1"/>
  <c r="J4" i="18" s="1"/>
  <c r="K3" i="18"/>
  <c r="D3" i="18" s="1"/>
  <c r="H3" i="18"/>
  <c r="I3" i="18" s="1"/>
  <c r="B12" i="19"/>
  <c r="B7" i="19"/>
  <c r="C3" i="19" s="1"/>
  <c r="M4" i="18" l="1"/>
  <c r="N4" i="18" s="1"/>
  <c r="O4" i="18" s="1"/>
  <c r="D3" i="19"/>
  <c r="C6" i="19"/>
  <c r="C4" i="19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40" i="18"/>
  <c r="Y40" i="18" s="1"/>
  <c r="J35" i="18"/>
  <c r="E35" i="18"/>
  <c r="E4" i="18"/>
  <c r="J5" i="18"/>
  <c r="E5" i="18"/>
  <c r="Q20" i="18"/>
  <c r="J13" i="18"/>
  <c r="J25" i="18"/>
  <c r="O25" i="18" s="1"/>
  <c r="E3" i="18"/>
  <c r="N28" i="18"/>
  <c r="Q28" i="18" s="1"/>
  <c r="Q13" i="18"/>
  <c r="Q19" i="18"/>
  <c r="N19" i="18"/>
  <c r="P33" i="18"/>
  <c r="R33" i="18" s="1"/>
  <c r="M35" i="18"/>
  <c r="X37" i="18"/>
  <c r="Y37" i="18" s="1"/>
  <c r="X42" i="18"/>
  <c r="Y42" i="18" s="1"/>
  <c r="M3" i="18"/>
  <c r="N3" i="18" s="1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 l="1"/>
  <c r="Q4" i="18"/>
  <c r="P4" i="18"/>
  <c r="R4" i="18" s="1"/>
  <c r="D4" i="19"/>
  <c r="C7" i="19"/>
  <c r="D6" i="19"/>
  <c r="G72" i="17"/>
  <c r="E72" i="17"/>
  <c r="D73" i="17" s="1"/>
  <c r="X43" i="18"/>
  <c r="Y35" i="18"/>
  <c r="R20" i="18"/>
  <c r="O3" i="18"/>
  <c r="O5" i="18"/>
  <c r="J19" i="18"/>
  <c r="O19" i="18" s="1"/>
  <c r="N35" i="18"/>
  <c r="Q35" i="18" s="1"/>
  <c r="N43" i="18"/>
  <c r="Q5" i="18"/>
  <c r="P5" i="18"/>
  <c r="R5" i="18" s="1"/>
  <c r="N5" i="18"/>
  <c r="E13" i="18"/>
  <c r="J28" i="18"/>
  <c r="O28" i="18" s="1"/>
  <c r="E25" i="18"/>
  <c r="G74" i="17" l="1"/>
  <c r="E73" i="17"/>
  <c r="G73" i="17"/>
  <c r="O43" i="18"/>
  <c r="Y25" i="18"/>
  <c r="P25" i="18"/>
  <c r="E19" i="18"/>
  <c r="Y19" i="18" s="1"/>
  <c r="J43" i="18"/>
  <c r="Q3" i="18"/>
  <c r="O35" i="18"/>
  <c r="P3" i="18"/>
  <c r="R3" i="18" s="1"/>
  <c r="E28" i="18"/>
  <c r="Y13" i="18"/>
  <c r="P35" i="18"/>
  <c r="R35" i="18" s="1"/>
  <c r="A31" i="2"/>
  <c r="A299" i="2"/>
  <c r="A299" i="3" s="1"/>
  <c r="B257" i="2"/>
  <c r="B256" i="2"/>
  <c r="A257" i="2"/>
  <c r="A257" i="3" s="1"/>
  <c r="A257" i="4" s="1"/>
  <c r="A256" i="2"/>
  <c r="A246" i="2"/>
  <c r="A246" i="4" s="1"/>
  <c r="I257" i="2"/>
  <c r="A300" i="3" l="1"/>
  <c r="A299" i="4"/>
  <c r="A300" i="4" s="1"/>
  <c r="A260" i="4"/>
  <c r="E74" i="17"/>
  <c r="A260" i="3"/>
  <c r="P28" i="18"/>
  <c r="R28" i="18" s="1"/>
  <c r="T28" i="18" s="1"/>
  <c r="Y28" i="18"/>
  <c r="Y43" i="18" s="1"/>
  <c r="E43" i="18"/>
  <c r="R25" i="18"/>
  <c r="R43" i="18" s="1"/>
  <c r="P43" i="18"/>
  <c r="A300" i="2"/>
  <c r="A260" i="2"/>
  <c r="A14" i="2"/>
  <c r="A15" i="2"/>
  <c r="Z43" i="18" l="1"/>
  <c r="AA43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K11" i="6" l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J56" i="5" l="1"/>
  <c r="J55" i="5"/>
  <c r="K10" i="1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l="1"/>
  <c r="A126" i="7" s="1"/>
  <c r="A126" i="8" s="1"/>
  <c r="A140" i="5"/>
  <c r="A140" i="8"/>
  <c r="A126" i="9"/>
  <c r="A140" i="7"/>
  <c r="A140" i="6"/>
  <c r="A140" i="9" l="1"/>
  <c r="A126" i="10"/>
  <c r="A140" i="10" l="1"/>
  <c r="A126" i="11"/>
  <c r="B502" i="5"/>
  <c r="F500" i="5"/>
  <c r="E500" i="5"/>
  <c r="D500" i="5"/>
  <c r="B482" i="5"/>
  <c r="B462" i="5"/>
  <c r="F460" i="5"/>
  <c r="E460" i="5"/>
  <c r="D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A140" i="11" l="1"/>
  <c r="A126" i="12"/>
  <c r="K19" i="5"/>
  <c r="L20" i="5" s="1"/>
  <c r="D20" i="5"/>
  <c r="E20" i="5"/>
  <c r="F20" i="5"/>
  <c r="I25" i="5"/>
  <c r="I30" i="5"/>
  <c r="D40" i="5"/>
  <c r="E40" i="5"/>
  <c r="F40" i="5"/>
  <c r="I40" i="5"/>
  <c r="I45" i="5"/>
  <c r="I50" i="5"/>
  <c r="I55" i="5"/>
  <c r="D60" i="5"/>
  <c r="E60" i="5"/>
  <c r="F60" i="5"/>
  <c r="I60" i="5"/>
  <c r="I65" i="5"/>
  <c r="D80" i="5"/>
  <c r="E80" i="5"/>
  <c r="F80" i="5"/>
  <c r="D100" i="5"/>
  <c r="E100" i="5"/>
  <c r="F100" i="5"/>
  <c r="D120" i="5"/>
  <c r="E120" i="5"/>
  <c r="F120" i="5"/>
  <c r="D140" i="5"/>
  <c r="E140" i="5"/>
  <c r="F140" i="5"/>
  <c r="D160" i="5"/>
  <c r="E160" i="5"/>
  <c r="F160" i="5"/>
  <c r="D180" i="5"/>
  <c r="E180" i="5"/>
  <c r="F180" i="5"/>
  <c r="D200" i="5"/>
  <c r="E200" i="5"/>
  <c r="F200" i="5"/>
  <c r="D220" i="5"/>
  <c r="E220" i="5"/>
  <c r="F220" i="5"/>
  <c r="D240" i="5"/>
  <c r="E240" i="5"/>
  <c r="F240" i="5"/>
  <c r="D260" i="5"/>
  <c r="E260" i="5"/>
  <c r="F260" i="5"/>
  <c r="D280" i="5"/>
  <c r="E280" i="5"/>
  <c r="F280" i="5"/>
  <c r="D300" i="5"/>
  <c r="E300" i="5"/>
  <c r="F300" i="5"/>
  <c r="D320" i="5"/>
  <c r="E320" i="5"/>
  <c r="F320" i="5"/>
  <c r="D340" i="5"/>
  <c r="E340" i="5"/>
  <c r="F340" i="5"/>
  <c r="D360" i="5"/>
  <c r="E360" i="5"/>
  <c r="F360" i="5"/>
  <c r="D380" i="5"/>
  <c r="E380" i="5"/>
  <c r="F380" i="5"/>
  <c r="D400" i="5"/>
  <c r="E400" i="5"/>
  <c r="F400" i="5"/>
  <c r="D420" i="5"/>
  <c r="E420" i="5"/>
  <c r="F420" i="5"/>
  <c r="D440" i="5"/>
  <c r="E440" i="5"/>
  <c r="F440" i="5"/>
  <c r="D480" i="5"/>
  <c r="E480" i="5"/>
  <c r="F48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6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1" i="6" l="1"/>
  <c r="A11" i="7" s="1"/>
  <c r="A11" i="8" s="1"/>
  <c r="A11" i="9" s="1"/>
  <c r="A11" i="10" s="1"/>
  <c r="A11" i="11" s="1"/>
  <c r="A11" i="12" s="1"/>
  <c r="A11" i="13" s="1"/>
  <c r="A20" i="5"/>
  <c r="A109" i="6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8" i="6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83" i="15" l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6"/>
  <c r="A259" i="6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F32" i="1"/>
  <c r="F21" i="1"/>
  <c r="BJ34" i="1" l="1"/>
  <c r="J21" i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22" i="1"/>
  <c r="BJ36" i="1" l="1"/>
  <c r="BJ32" i="1"/>
  <c r="A300" i="9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V20" i="1"/>
  <c r="AH22" i="1"/>
  <c r="BJ35" i="1" l="1"/>
  <c r="Z20" i="1"/>
  <c r="AL22" i="1"/>
  <c r="AD20" i="1" l="1"/>
  <c r="AP22" i="1"/>
  <c r="F41" i="1" l="1"/>
  <c r="B46" i="1"/>
  <c r="C47" i="1" s="1"/>
  <c r="AH20" i="1"/>
  <c r="AT22" i="1"/>
  <c r="J41" i="1" l="1"/>
  <c r="F46" i="1"/>
  <c r="G47" i="1" s="1"/>
  <c r="AL20" i="1"/>
  <c r="AX22" i="1"/>
  <c r="H427" i="3" l="1"/>
  <c r="N41" i="1"/>
  <c r="H427" i="5" s="1"/>
  <c r="J46" i="1"/>
  <c r="K47" i="1" s="1"/>
  <c r="AP20" i="1"/>
  <c r="BJ22" i="1"/>
  <c r="BJ41" i="1" l="1"/>
  <c r="H427" i="4"/>
  <c r="R41" i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<sst xmlns="http://schemas.openxmlformats.org/spreadsheetml/2006/main" count="5786" uniqueCount="882">
  <si>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</si>
  <si>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</si>
  <si>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</si>
  <si>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</si>
  <si>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</si>
  <si>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</si>
  <si>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</si>
  <si>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</si>
  <si>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</si>
  <si>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</si>
  <si>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</si>
  <si>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</si>
  <si>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</si>
  <si>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</si>
  <si>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</si>
  <si>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</si>
  <si>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</si>
  <si>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</si>
  <si>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</si>
  <si>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</si>
  <si>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</si>
  <si>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</si>
  <si>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</si>
  <si>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</si>
  <si>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</si>
  <si>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</si>
  <si>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</si>
  <si>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</si>
  <si>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</si>
  <si>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</si>
  <si>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</si>
  <si>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</si>
  <si>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</si>
  <si>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</si>
  <si>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</si>
  <si>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</si>
  <si>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</si>
  <si>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</si>
  <si>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</si>
  <si>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</si>
  <si>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</si>
  <si>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</si>
  <si>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</si>
  <si>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</si>
  <si>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</si>
  <si>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</si>
  <si>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</si>
  <si>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</si>
  <si>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</si>
  <si>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</si>
  <si>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</si>
  <si>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</si>
  <si>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</si>
  <si>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</si>
  <si>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</si>
  <si>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</si>
  <si>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</si>
  <si>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</si>
  <si>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</si>
  <si>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</si>
  <si>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</si>
  <si>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</si>
  <si>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</si>
  <si>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</si>
  <si>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</si>
  <si>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</si>
  <si>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</si>
  <si>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</si>
  <si>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</si>
  <si>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</si>
  <si>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</si>
  <si>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</si>
  <si>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</si>
  <si>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</si>
  <si>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</si>
  <si>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</si>
  <si>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</si>
  <si>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</si>
  <si>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</si>
  <si>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</si>
  <si>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</si>
  <si>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</si>
  <si>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</si>
  <si>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</si>
  <si>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</si>
  <si>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</si>
  <si>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</si>
  <si>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</si>
  <si>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</si>
  <si>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</si>
  <si>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</si>
  <si>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</si>
  <si>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</si>
  <si>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</si>
  <si>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</si>
  <si>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</si>
  <si>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</si>
  <si>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</si>
  <si>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</si>
  <si>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</si>
  <si>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</si>
  <si>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</si>
  <si>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</si>
  <si>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</si>
  <si>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</si>
  <si>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</si>
  <si>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</si>
  <si>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</si>
  <si>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</si>
  <si>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</si>
  <si>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</si>
  <si>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</si>
  <si>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</si>
  <si>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</si>
  <si>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</si>
  <si>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</si>
  <si>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</si>
  <si>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</si>
  <si>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</si>
  <si>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</si>
  <si>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</si>
  <si>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</si>
  <si>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</si>
  <si>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</si>
  <si>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</si>
  <si>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</si>
  <si>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</si>
  <si>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</si>
  <si>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</si>
  <si>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</si>
  <si>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</si>
  <si>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</si>
  <si>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</si>
  <si>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</si>
  <si>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</si>
  <si>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</si>
  <si>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</si>
  <si>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</si>
  <si>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</si>
  <si>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</si>
  <si>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</si>
  <si>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</si>
  <si>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</si>
  <si>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</si>
  <si>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</si>
  <si>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</si>
  <si>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</si>
  <si>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</si>
  <si>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</si>
  <si>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</si>
  <si>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</si>
  <si>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</si>
  <si>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</si>
  <si>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</si>
  <si>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</si>
  <si>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</si>
  <si>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</si>
  <si>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</si>
  <si>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</si>
  <si>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</si>
  <si>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</si>
  <si>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</si>
  <si>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</si>
  <si>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</si>
  <si>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</si>
  <si>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</si>
  <si>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</si>
  <si>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</si>
  <si>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</si>
  <si>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</si>
  <si>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</si>
  <si>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</si>
  <si>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</si>
  <si>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</si>
  <si>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</si>
  <si>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</si>
  <si>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</si>
  <si>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</si>
  <si>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</si>
  <si>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</si>
  <si>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</si>
  <si>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</si>
  <si>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</si>
  <si>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</si>
  <si>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</si>
  <si>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</si>
  <si>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</si>
  <si>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</si>
  <si>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</si>
  <si>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</si>
  <si>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</si>
  <si>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</si>
  <si>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</si>
  <si>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</si>
  <si>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</si>
  <si>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</si>
  <si>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</si>
  <si>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</si>
  <si>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</si>
  <si>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</si>
  <si>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</si>
  <si>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</si>
  <si>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</si>
  <si>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</si>
  <si>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</si>
  <si>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</si>
  <si>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</si>
  <si>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</si>
  <si>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</si>
  <si>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</si>
  <si>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</si>
  <si>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</si>
  <si>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</si>
  <si>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</si>
  <si>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</si>
  <si>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</si>
  <si>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</si>
  <si>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</si>
  <si>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</si>
  <si>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</si>
  <si>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</si>
  <si>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</si>
  <si>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</si>
  <si>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</si>
  <si>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</si>
  <si>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</si>
  <si>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</si>
  <si>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</si>
  <si>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</si>
  <si>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</si>
  <si>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</si>
  <si>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</si>
  <si>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</si>
  <si>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</si>
  <si>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</si>
  <si>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</si>
  <si>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</si>
  <si>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</si>
  <si>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</si>
  <si>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</si>
  <si>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</si>
  <si>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PC</t>
  </si>
  <si>
    <t>Microondas</t>
  </si>
  <si>
    <t>BMW.DE</t>
  </si>
  <si>
    <t>Fianza 550€ (BMW.DE)</t>
  </si>
  <si>
    <t>ING</t>
  </si>
  <si>
    <t>02/04 Custodia</t>
  </si>
  <si>
    <t>Kids&amp;Us</t>
  </si>
  <si>
    <t>PC (hasta 1208€)</t>
  </si>
  <si>
    <t>Allocation familier</t>
  </si>
  <si>
    <t>BMW.DE beneficio venta</t>
  </si>
  <si>
    <t>15/04 Gine</t>
  </si>
  <si>
    <t>Amortizar ultima cuota (hasta 402€)</t>
  </si>
  <si>
    <t>Ultima (hasta 9.486,92€)</t>
  </si>
  <si>
    <t>128€ Cheques</t>
  </si>
  <si>
    <t>Mutua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</si>
  <si>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</si>
  <si>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</si>
  <si>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</si>
  <si>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</si>
  <si>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</si>
  <si>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</si>
  <si>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</si>
  <si>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</si>
  <si>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</si>
  <si>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</si>
  <si>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</si>
  <si>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</si>
  <si>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</si>
  <si>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</si>
  <si>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</si>
  <si>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</si>
  <si>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</si>
  <si>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</si>
  <si>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</si>
  <si>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</si>
  <si>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</si>
  <si>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</si>
  <si>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</si>
  <si>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</si>
  <si>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</si>
  <si>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</si>
  <si>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</si>
  <si>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</si>
  <si>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</si>
  <si>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</si>
  <si>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</si>
  <si>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</si>
  <si>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</si>
  <si>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</si>
  <si>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</si>
  <si>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</si>
  <si>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</si>
  <si>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</si>
  <si>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</si>
  <si>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</si>
  <si>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</si>
  <si>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</si>
  <si>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</si>
  <si>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</si>
  <si>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</si>
  <si>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</si>
  <si>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</si>
  <si>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</si>
  <si>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</si>
  <si>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</si>
  <si>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</si>
  <si>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</si>
  <si>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</si>
  <si>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</si>
  <si>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</si>
  <si>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</si>
  <si>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</si>
  <si>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</si>
  <si>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</si>
  <si>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</si>
  <si>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</si>
  <si>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</si>
  <si>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</si>
  <si>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</si>
  <si>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</si>
  <si>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</si>
  <si>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</si>
  <si>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</si>
  <si>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</si>
  <si>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</si>
  <si>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</si>
  <si>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</si>
  <si>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</si>
  <si>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</si>
  <si>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</si>
  <si>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</si>
  <si>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</si>
  <si>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</si>
  <si>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</si>
  <si>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</si>
  <si>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</si>
  <si>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</si>
  <si>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</si>
  <si>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</si>
  <si>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</si>
  <si>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</si>
  <si>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</si>
  <si>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</si>
  <si>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</si>
  <si>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</si>
  <si>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</si>
  <si>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</si>
  <si>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</si>
  <si>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</si>
  <si>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</si>
  <si>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</si>
  <si>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</si>
  <si>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</si>
  <si>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</si>
  <si>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</si>
  <si>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</si>
  <si>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</si>
  <si>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</si>
  <si>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</si>
  <si>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</si>
  <si>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</si>
  <si>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</si>
  <si>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</si>
  <si>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</si>
  <si>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</si>
  <si>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</si>
  <si>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</si>
  <si>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</si>
  <si>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</si>
  <si>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</si>
  <si>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</si>
  <si>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</si>
  <si>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</si>
  <si>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</si>
  <si>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</si>
  <si>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</si>
  <si>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</si>
  <si>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</si>
  <si>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</si>
  <si>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</si>
  <si>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</si>
  <si>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</si>
  <si>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</si>
  <si>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</si>
  <si>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</si>
  <si>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</si>
  <si>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</si>
  <si>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</si>
  <si>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</si>
  <si>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</si>
  <si>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</si>
  <si>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</si>
  <si>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</si>
  <si>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</si>
  <si>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</si>
  <si>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</si>
  <si>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</si>
  <si>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</si>
  <si>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</si>
  <si>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</si>
  <si>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</si>
  <si>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</si>
  <si>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</si>
  <si>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</si>
  <si>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</si>
  <si>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</si>
  <si>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</si>
  <si>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</si>
  <si>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</si>
  <si>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</si>
  <si>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</si>
  <si>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</si>
  <si>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</si>
  <si>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</si>
  <si>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</si>
  <si>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</si>
  <si>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</si>
  <si>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</si>
  <si>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</si>
  <si>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</si>
  <si>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</si>
  <si>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</si>
  <si>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</si>
  <si>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</si>
  <si>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</si>
  <si>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</si>
  <si>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</si>
  <si>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</si>
  <si>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</si>
  <si>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</si>
  <si>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</si>
  <si>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</si>
  <si>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</si>
  <si>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</si>
  <si>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</si>
  <si>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</si>
  <si>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</si>
  <si>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</si>
  <si>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</si>
  <si>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</si>
  <si>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</si>
  <si>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</si>
  <si>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</si>
  <si>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</si>
  <si>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</si>
  <si>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</si>
  <si>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</si>
  <si>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</si>
  <si>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</si>
  <si>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</si>
  <si>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</si>
  <si>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</si>
  <si>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</si>
  <si>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</si>
  <si>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</si>
  <si>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</si>
  <si>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</si>
  <si>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</si>
  <si>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</si>
  <si>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</si>
  <si>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</si>
  <si>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</si>
  <si>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</si>
  <si>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</si>
  <si>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</si>
  <si>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</si>
  <si>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</si>
  <si>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</si>
  <si>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</si>
  <si>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</si>
  <si>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</si>
  <si>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</si>
  <si>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</si>
  <si>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</si>
  <si>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</si>
  <si>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</si>
  <si>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</si>
  <si>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</si>
  <si>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</si>
  <si>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</si>
  <si>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</si>
  <si>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</si>
  <si>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</si>
  <si>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</si>
  <si>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</si>
  <si>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</si>
  <si>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</si>
  <si>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</si>
  <si>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</si>
  <si>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</si>
  <si>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</si>
  <si>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</si>
  <si>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</si>
  <si>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</si>
  <si>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</si>
  <si>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</si>
  <si>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</si>
  <si>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</si>
  <si>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</si>
  <si>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</si>
  <si>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</si>
  <si>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</si>
  <si>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</si>
  <si>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</si>
  <si>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</si>
  <si>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</si>
  <si>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</si>
  <si>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</si>
  <si>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</si>
  <si>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</si>
  <si>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</si>
  <si>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</si>
  <si>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</si>
  <si>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</si>
  <si>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</si>
  <si>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</si>
  <si>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</si>
  <si>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</si>
  <si>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</si>
  <si>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</si>
  <si>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</si>
  <si>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</si>
  <si>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</si>
  <si>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</si>
  <si>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</si>
  <si>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</si>
  <si>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</si>
  <si>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</si>
  <si>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</si>
  <si>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</si>
  <si>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</si>
  <si>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</si>
  <si>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</si>
  <si>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</si>
  <si>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</si>
  <si>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</si>
  <si>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</si>
  <si>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</si>
  <si>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</si>
  <si>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</si>
  <si>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</si>
  <si>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</si>
  <si>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</si>
  <si>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</si>
  <si>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</si>
  <si>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</si>
  <si>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</si>
  <si>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</si>
  <si>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</si>
  <si>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</si>
  <si>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</si>
  <si>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</si>
  <si>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</si>
  <si>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</si>
  <si>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</si>
  <si>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</si>
  <si>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</si>
  <si>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</si>
  <si>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</si>
  <si>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</si>
  <si>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</si>
  <si>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</si>
  <si>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</si>
  <si>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</si>
  <si>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</si>
  <si>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</si>
  <si>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</si>
  <si>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</si>
  <si>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</si>
  <si>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</si>
  <si>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</si>
  <si>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</si>
  <si>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</si>
  <si>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</si>
  <si>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</si>
  <si>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</si>
  <si>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</si>
  <si>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</si>
  <si>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</si>
  <si>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</si>
  <si>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</si>
  <si>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</si>
  <si>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</si>
  <si>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</si>
  <si>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</si>
  <si>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</si>
  <si>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</si>
  <si>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</si>
  <si>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</si>
  <si>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</si>
  <si>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</si>
  <si>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</si>
  <si>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</si>
  <si>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</si>
  <si>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</si>
  <si>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</si>
  <si>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</si>
  <si>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</si>
  <si>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</si>
  <si>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</si>
  <si>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</si>
  <si>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</si>
  <si>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</si>
  <si>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</si>
  <si>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</si>
  <si>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</si>
  <si>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</si>
  <si>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</si>
  <si>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</si>
  <si>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</si>
  <si>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</si>
  <si>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</si>
  <si>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</si>
  <si>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</si>
  <si>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</si>
  <si>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</si>
  <si>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</si>
  <si>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</si>
  <si>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</si>
  <si>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</si>
  <si>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</si>
  <si>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</si>
  <si>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</si>
  <si>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</si>
  <si>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</si>
  <si>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</si>
  <si>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</si>
  <si>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</si>
  <si>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</si>
  <si>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</si>
  <si>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</si>
  <si>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</si>
  <si>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</si>
  <si>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</si>
  <si>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</si>
  <si>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</si>
  <si>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</si>
  <si>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</si>
  <si>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</si>
  <si>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</si>
  <si>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</si>
  <si>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</si>
  <si>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</si>
  <si>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</si>
  <si>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</si>
  <si>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</si>
  <si>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</si>
  <si>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</si>
  <si>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</si>
  <si>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</si>
  <si>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</si>
  <si>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</si>
  <si>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</si>
  <si>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</si>
  <si>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</si>
  <si>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</si>
  <si>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</si>
  <si>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</si>
  <si>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</si>
  <si>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</si>
  <si>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</si>
  <si>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</si>
  <si>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</si>
  <si>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</si>
  <si>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</si>
  <si>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</si>
  <si>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</si>
  <si>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</si>
  <si>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</si>
  <si>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</si>
  <si>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</si>
  <si>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</si>
  <si>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</si>
  <si>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</si>
  <si>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</si>
  <si>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</si>
  <si>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</si>
  <si>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</si>
  <si>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</si>
  <si>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</si>
  <si>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</si>
  <si>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</si>
  <si>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</si>
  <si>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</si>
  <si>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</si>
  <si>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</si>
  <si>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</si>
  <si>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</si>
  <si>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</si>
  <si>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</si>
  <si>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</si>
  <si>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</si>
  <si>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</si>
  <si>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</si>
  <si>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</si>
  <si>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</si>
  <si>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</si>
  <si>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</si>
  <si>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</si>
  <si>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</si>
  <si>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</si>
  <si>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</si>
  <si>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</si>
  <si>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</si>
  <si>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</si>
  <si>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</si>
  <si>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</si>
  <si>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</si>
  <si>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</si>
  <si>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</si>
  <si>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</si>
  <si>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</si>
  <si>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</si>
  <si>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</si>
  <si>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</si>
  <si>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</si>
  <si>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</si>
  <si>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</si>
  <si>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</si>
  <si>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</si>
  <si>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</si>
  <si>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</si>
  <si>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</si>
  <si>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</si>
  <si>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</si>
  <si>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</si>
  <si>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</si>
  <si>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</si>
  <si>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</si>
  <si>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</si>
  <si>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</si>
  <si>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</si>
  <si>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</si>
  <si>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</si>
  <si>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</si>
  <si>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</si>
  <si>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</si>
  <si>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</si>
  <si>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</si>
  <si>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</si>
  <si>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</si>
  <si>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</si>
  <si>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</si>
  <si>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</si>
  <si>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</si>
  <si>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</si>
  <si>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</si>
  <si>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</si>
  <si>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</si>
  <si>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</si>
  <si>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</si>
  <si>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</si>
  <si>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</si>
  <si>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</si>
  <si>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</si>
  <si>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</si>
  <si>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</si>
  <si>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</si>
  <si>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</si>
  <si>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</si>
  <si>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</si>
  <si>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</si>
  <si>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</si>
  <si>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</si>
  <si>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</si>
  <si>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</si>
  <si>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</si>
  <si>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</si>
  <si>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</si>
  <si>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</si>
  <si>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</si>
  <si>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</si>
  <si>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</si>
  <si>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</si>
  <si>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</si>
  <si>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</si>
  <si>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</si>
  <si>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</si>
  <si>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</si>
  <si>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</si>
  <si>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</si>
  <si>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</si>
  <si>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</si>
  <si>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</si>
  <si>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</si>
  <si>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</si>
  <si>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</si>
  <si>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</si>
  <si>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</si>
  <si>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</si>
  <si>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</si>
  <si>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</si>
  <si>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</si>
  <si>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</si>
  <si>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</si>
  <si>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</si>
  <si>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</si>
  <si>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</si>
  <si>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</si>
  <si>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</si>
  <si>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</si>
  <si>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</si>
  <si>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</si>
  <si>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</si>
  <si>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</si>
  <si>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</si>
  <si>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</si>
  <si>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</si>
  <si>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</si>
  <si>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</si>
  <si>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PC (hasta 201.30€)</t>
  </si>
  <si>
    <t>02/02 Bruselas</t>
  </si>
  <si>
    <t>01/02 Woman Secret</t>
  </si>
  <si>
    <t>Hipoteca Amortizacion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</si>
  <si>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</si>
  <si>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</si>
  <si>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</si>
  <si>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</si>
  <si>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</si>
  <si>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</si>
  <si>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</si>
  <si>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</si>
  <si>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</si>
  <si>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</si>
  <si>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</si>
  <si>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</si>
  <si>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</si>
  <si>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</si>
  <si>
    <t>12/02 Colruyt</t>
  </si>
  <si>
    <t>13/02 Delhaize</t>
  </si>
  <si>
    <t>17/02 Bol.com</t>
  </si>
  <si>
    <t>Impuesto Basura</t>
  </si>
  <si>
    <t>Segunda Mano</t>
  </si>
  <si>
    <t>14/02 Action</t>
  </si>
  <si>
    <t>Vacaciones -3 = 29</t>
  </si>
  <si>
    <t>17/02 Carrfour</t>
  </si>
  <si>
    <t>18/02 Dominos</t>
  </si>
  <si>
    <t>18/02 Bambinou</t>
  </si>
  <si>
    <t>18/02 Parking</t>
  </si>
  <si>
    <t>18/02 Amazon</t>
  </si>
  <si>
    <t>19/02 Ryanair</t>
  </si>
  <si>
    <t>Baja Maternal - 24/10/2019-03/02/2020. 88 dias</t>
  </si>
  <si>
    <t>baja Maternal</t>
  </si>
  <si>
    <t>A Dinero Bloqueado</t>
  </si>
  <si>
    <t>Fianza 550€ - A Dinero Bloqueado</t>
  </si>
  <si>
    <t>21/02 Shell</t>
  </si>
  <si>
    <t>24/02 Parking</t>
  </si>
  <si>
    <t>22/02 Aldi</t>
  </si>
  <si>
    <t>22/02 Delhaize</t>
  </si>
  <si>
    <t>23/02 Proxy</t>
  </si>
  <si>
    <t>24/02 Neuhaus</t>
  </si>
  <si>
    <t>21/02 Carrefour</t>
  </si>
  <si>
    <t>24/02 Giego</t>
  </si>
  <si>
    <t>24/02 Hotel Barcelo</t>
  </si>
  <si>
    <t>25/02 Google Libros</t>
  </si>
  <si>
    <t>Tita Luci</t>
  </si>
  <si>
    <t>26/02 Devolucion Muta</t>
  </si>
  <si>
    <t>Stop Perdidas</t>
  </si>
  <si>
    <t>26/02 Gym</t>
  </si>
  <si>
    <t>Papa - Viaje</t>
  </si>
  <si>
    <t>28/02 Shell</t>
  </si>
  <si>
    <t>28/02 Tom&amp;Co</t>
  </si>
  <si>
    <t>29/02 Pettite</t>
  </si>
  <si>
    <t>01/03 Bolas</t>
  </si>
  <si>
    <t>01/03 Quick</t>
  </si>
  <si>
    <t>29/02 Sequoia</t>
  </si>
  <si>
    <t>28/02 Delhaize</t>
  </si>
  <si>
    <t>29/02 Medi-Market</t>
  </si>
  <si>
    <t>29/02 Farmacia</t>
  </si>
  <si>
    <t>Prevision</t>
  </si>
  <si>
    <t>Hipoteca Reserva Mensual (389.26€)</t>
  </si>
  <si>
    <t>Qpar</t>
  </si>
  <si>
    <t>Viaje a Malaga</t>
  </si>
  <si>
    <t>02/03 Parking Charleroi</t>
  </si>
  <si>
    <t>03/03 Comision custodia</t>
  </si>
  <si>
    <t>Custodia de acciones 2020</t>
  </si>
  <si>
    <t>alquiler</t>
  </si>
  <si>
    <t>Agua+endesa</t>
  </si>
  <si>
    <t>Papa - Viaje a Malaga</t>
  </si>
  <si>
    <t>Hipoteca Reseva Mensual</t>
  </si>
  <si>
    <t>05/03 Brussels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</si>
</sst>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14" fontId="2" fillId="0" borderId="11" xfId="0" applyNumberFormat="1" applyFont="1" applyBorder="1"/>
    <xf numFmtId="2" fontId="0" fillId="0" borderId="0" xfId="0" applyNumberFormat="1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4" fillId="0" borderId="29" xfId="1" quotePrefix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C1" activePane="topRight" state="frozen"/>
      <selection pane="topRight" activeCell="K28" sqref="K2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8" t="s">
        <v>0</v>
      </c>
      <c r="D4" s="359"/>
      <c r="E4" s="359"/>
      <c r="F4" s="360"/>
      <c r="G4" s="358" t="s">
        <v>1</v>
      </c>
      <c r="H4" s="359"/>
      <c r="I4" s="359"/>
      <c r="J4" s="360"/>
      <c r="K4" s="358" t="s">
        <v>2</v>
      </c>
      <c r="L4" s="359"/>
      <c r="M4" s="359"/>
      <c r="N4" s="360"/>
      <c r="O4" s="358" t="s">
        <v>3</v>
      </c>
      <c r="P4" s="359"/>
      <c r="Q4" s="359"/>
      <c r="R4" s="360"/>
      <c r="S4" s="358" t="s">
        <v>69</v>
      </c>
      <c r="T4" s="359"/>
      <c r="U4" s="359"/>
      <c r="V4" s="360"/>
      <c r="W4" s="358" t="s">
        <v>68</v>
      </c>
      <c r="X4" s="359"/>
      <c r="Y4" s="359"/>
      <c r="Z4" s="360"/>
      <c r="AA4" s="358" t="s">
        <v>70</v>
      </c>
      <c r="AB4" s="359"/>
      <c r="AC4" s="359"/>
      <c r="AD4" s="360"/>
      <c r="AE4" s="358" t="s">
        <v>71</v>
      </c>
      <c r="AF4" s="359"/>
      <c r="AG4" s="359"/>
      <c r="AH4" s="360"/>
      <c r="AI4" s="358" t="s">
        <v>73</v>
      </c>
      <c r="AJ4" s="359"/>
      <c r="AK4" s="359"/>
      <c r="AL4" s="360"/>
      <c r="AM4" s="358" t="s">
        <v>75</v>
      </c>
      <c r="AN4" s="359"/>
      <c r="AO4" s="359"/>
      <c r="AP4" s="360"/>
      <c r="AQ4" s="358" t="s">
        <v>77</v>
      </c>
      <c r="AR4" s="359"/>
      <c r="AS4" s="359"/>
      <c r="AT4" s="360"/>
      <c r="AU4" s="358" t="s">
        <v>82</v>
      </c>
      <c r="AV4" s="359"/>
      <c r="AW4" s="359"/>
      <c r="AX4" s="360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61">
        <f>'01'!K19</f>
        <v>34150.43</v>
      </c>
      <c r="D5" s="362"/>
      <c r="E5" s="362"/>
      <c r="F5" s="363"/>
      <c r="G5" s="361">
        <f>'02'!K19</f>
        <v>33839.089999999997</v>
      </c>
      <c r="H5" s="362"/>
      <c r="I5" s="362"/>
      <c r="J5" s="363"/>
      <c r="K5" s="368">
        <f>'03'!K19</f>
        <v>35235.83</v>
      </c>
      <c r="L5" s="362"/>
      <c r="M5" s="362"/>
      <c r="N5" s="363"/>
      <c r="O5" s="368">
        <f>'04'!K19</f>
        <v>0</v>
      </c>
      <c r="P5" s="362"/>
      <c r="Q5" s="362"/>
      <c r="R5" s="363"/>
      <c r="S5" s="368">
        <f>'05'!K19</f>
        <v>27163.090000000004</v>
      </c>
      <c r="T5" s="362"/>
      <c r="U5" s="362"/>
      <c r="V5" s="363"/>
      <c r="W5" s="368">
        <f>'06'!K19</f>
        <v>29014.079999999998</v>
      </c>
      <c r="X5" s="362"/>
      <c r="Y5" s="362"/>
      <c r="Z5" s="363"/>
      <c r="AA5" s="368">
        <f>'07'!K19</f>
        <v>29282.959999999999</v>
      </c>
      <c r="AB5" s="362"/>
      <c r="AC5" s="362"/>
      <c r="AD5" s="363"/>
      <c r="AE5" s="368">
        <f>'08'!K19</f>
        <v>29166.850000000002</v>
      </c>
      <c r="AF5" s="362"/>
      <c r="AG5" s="362"/>
      <c r="AH5" s="363"/>
      <c r="AI5" s="368">
        <f>'09'!K19</f>
        <v>29258.260000000002</v>
      </c>
      <c r="AJ5" s="362"/>
      <c r="AK5" s="362"/>
      <c r="AL5" s="363"/>
      <c r="AM5" s="368">
        <f>'10'!K19</f>
        <v>30089.47</v>
      </c>
      <c r="AN5" s="362"/>
      <c r="AO5" s="362"/>
      <c r="AP5" s="363"/>
      <c r="AQ5" s="368">
        <f>'11'!K19</f>
        <v>30103.380000000005</v>
      </c>
      <c r="AR5" s="362"/>
      <c r="AS5" s="362"/>
      <c r="AT5" s="363"/>
      <c r="AU5" s="368">
        <f>'12'!K19</f>
        <v>30103.380000000005</v>
      </c>
      <c r="AV5" s="362"/>
      <c r="AW5" s="362"/>
      <c r="AX5" s="363"/>
      <c r="AZ5" s="6"/>
      <c r="BA5" s="7"/>
      <c r="BB5" s="1"/>
      <c r="BC5" s="1"/>
    </row>
    <row r="6" spans="1:55" ht="17.25" thickTop="1" thickBot="1">
      <c r="A6" s="205"/>
      <c r="B6" s="8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7"/>
      <c r="AH6" s="367"/>
      <c r="AI6" s="367"/>
      <c r="AJ6" s="367"/>
      <c r="AK6" s="367"/>
      <c r="AL6" s="367"/>
      <c r="AM6" s="367"/>
      <c r="AN6" s="367"/>
      <c r="AO6" s="367"/>
      <c r="AP6" s="367"/>
      <c r="AQ6" s="367"/>
      <c r="AR6" s="367"/>
      <c r="AS6" s="367"/>
      <c r="AT6" s="367"/>
      <c r="AU6" s="367"/>
      <c r="AV6" s="367"/>
      <c r="AW6" s="367"/>
      <c r="AX6" s="367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4" t="s">
        <v>215</v>
      </c>
      <c r="D7" s="365"/>
      <c r="E7" s="365"/>
      <c r="F7" s="366"/>
      <c r="G7" s="364" t="s">
        <v>215</v>
      </c>
      <c r="H7" s="365"/>
      <c r="I7" s="365"/>
      <c r="J7" s="366"/>
      <c r="K7" s="364" t="s">
        <v>215</v>
      </c>
      <c r="L7" s="365"/>
      <c r="M7" s="365"/>
      <c r="N7" s="366"/>
      <c r="O7" s="364" t="s">
        <v>215</v>
      </c>
      <c r="P7" s="365"/>
      <c r="Q7" s="365"/>
      <c r="R7" s="366"/>
      <c r="S7" s="364" t="s">
        <v>215</v>
      </c>
      <c r="T7" s="365"/>
      <c r="U7" s="365"/>
      <c r="V7" s="366"/>
      <c r="W7" s="364" t="s">
        <v>215</v>
      </c>
      <c r="X7" s="365"/>
      <c r="Y7" s="365"/>
      <c r="Z7" s="366"/>
      <c r="AA7" s="364" t="s">
        <v>215</v>
      </c>
      <c r="AB7" s="365"/>
      <c r="AC7" s="365"/>
      <c r="AD7" s="366"/>
      <c r="AE7" s="364" t="s">
        <v>215</v>
      </c>
      <c r="AF7" s="365"/>
      <c r="AG7" s="365"/>
      <c r="AH7" s="366"/>
      <c r="AI7" s="364" t="s">
        <v>215</v>
      </c>
      <c r="AJ7" s="365"/>
      <c r="AK7" s="365"/>
      <c r="AL7" s="366"/>
      <c r="AM7" s="364" t="s">
        <v>215</v>
      </c>
      <c r="AN7" s="365"/>
      <c r="AO7" s="365"/>
      <c r="AP7" s="366"/>
      <c r="AQ7" s="364" t="s">
        <v>215</v>
      </c>
      <c r="AR7" s="365"/>
      <c r="AS7" s="365"/>
      <c r="AT7" s="366"/>
      <c r="AU7" s="364" t="s">
        <v>215</v>
      </c>
      <c r="AV7" s="365"/>
      <c r="AW7" s="365"/>
      <c r="AX7" s="366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46">
        <f>SUM('01'!L25:'01'!L29)</f>
        <v>2583.61</v>
      </c>
      <c r="D8" s="347"/>
      <c r="E8" s="347"/>
      <c r="F8" s="348"/>
      <c r="G8" s="346">
        <f>SUM('02'!L25:'02'!L29)</f>
        <v>2681.83</v>
      </c>
      <c r="H8" s="347"/>
      <c r="I8" s="347"/>
      <c r="J8" s="348"/>
      <c r="K8" s="346">
        <f>SUM('03'!L25:'03'!L29)</f>
        <v>0</v>
      </c>
      <c r="L8" s="347"/>
      <c r="M8" s="347"/>
      <c r="N8" s="348"/>
      <c r="O8" s="346">
        <f>SUM('04'!L25:'04'!L29)</f>
        <v>0</v>
      </c>
      <c r="P8" s="347"/>
      <c r="Q8" s="347"/>
      <c r="R8" s="348"/>
      <c r="S8" s="346">
        <f>SUM('05'!L25:'05'!L29)</f>
        <v>0</v>
      </c>
      <c r="T8" s="347"/>
      <c r="U8" s="347"/>
      <c r="V8" s="348"/>
      <c r="W8" s="346">
        <f>SUM('06'!L25:'06'!L29)</f>
        <v>0</v>
      </c>
      <c r="X8" s="347"/>
      <c r="Y8" s="347"/>
      <c r="Z8" s="348"/>
      <c r="AA8" s="346">
        <f>SUM('07'!L25:'07'!L29)</f>
        <v>0</v>
      </c>
      <c r="AB8" s="347"/>
      <c r="AC8" s="347"/>
      <c r="AD8" s="348"/>
      <c r="AE8" s="346">
        <f>SUM('08'!L25:'08'!L29)</f>
        <v>0</v>
      </c>
      <c r="AF8" s="347"/>
      <c r="AG8" s="347"/>
      <c r="AH8" s="348"/>
      <c r="AI8" s="346">
        <f>SUM('09'!L25:'09'!L29)</f>
        <v>0</v>
      </c>
      <c r="AJ8" s="347"/>
      <c r="AK8" s="347"/>
      <c r="AL8" s="348"/>
      <c r="AM8" s="346">
        <f>SUM('10'!L25:'10'!L29)</f>
        <v>0</v>
      </c>
      <c r="AN8" s="347"/>
      <c r="AO8" s="347"/>
      <c r="AP8" s="348"/>
      <c r="AQ8" s="346">
        <f>SUM('11'!L25:'11'!L29)</f>
        <v>0</v>
      </c>
      <c r="AR8" s="347"/>
      <c r="AS8" s="347"/>
      <c r="AT8" s="348"/>
      <c r="AU8" s="346">
        <f>SUM('12'!L25:'12'!L29)</f>
        <v>0</v>
      </c>
      <c r="AV8" s="347"/>
      <c r="AW8" s="347"/>
      <c r="AX8" s="348"/>
      <c r="AZ8" s="209">
        <f>SUM(C8:AU8)</f>
        <v>5265.4400000000005</v>
      </c>
      <c r="BA8" s="112">
        <f t="shared" ref="BA8:BA16" ca="1" si="0">AZ8/BC$17</f>
        <v>1755.1466666666668</v>
      </c>
      <c r="BB8" s="1"/>
      <c r="BC8" s="1"/>
    </row>
    <row r="9" spans="1:55" ht="15.75">
      <c r="A9" s="189" t="s">
        <v>199</v>
      </c>
      <c r="B9" s="193">
        <v>6335.2300000000014</v>
      </c>
      <c r="C9" s="349">
        <f>SUM('01'!L30:'01'!L34)</f>
        <v>133.94</v>
      </c>
      <c r="D9" s="350"/>
      <c r="E9" s="350"/>
      <c r="F9" s="351"/>
      <c r="G9" s="349">
        <f>SUM('02'!L30:'02'!L34)</f>
        <v>274.77999999999997</v>
      </c>
      <c r="H9" s="350"/>
      <c r="I9" s="350"/>
      <c r="J9" s="351"/>
      <c r="K9" s="349">
        <f>SUM('03'!L30:'03'!L34)</f>
        <v>285.27999999999997</v>
      </c>
      <c r="L9" s="350"/>
      <c r="M9" s="350"/>
      <c r="N9" s="351"/>
      <c r="O9" s="349">
        <f>SUM('04'!L30:'04'!L34)</f>
        <v>0</v>
      </c>
      <c r="P9" s="350"/>
      <c r="Q9" s="350"/>
      <c r="R9" s="351"/>
      <c r="S9" s="349">
        <f>SUM('05'!L30:'05'!L34)</f>
        <v>0</v>
      </c>
      <c r="T9" s="350"/>
      <c r="U9" s="350"/>
      <c r="V9" s="351"/>
      <c r="W9" s="349">
        <f>SUM('06'!L30:'06'!L34)</f>
        <v>0</v>
      </c>
      <c r="X9" s="350"/>
      <c r="Y9" s="350"/>
      <c r="Z9" s="351"/>
      <c r="AA9" s="349">
        <f>SUM('07'!L30:'07'!L34)</f>
        <v>0</v>
      </c>
      <c r="AB9" s="350"/>
      <c r="AC9" s="350"/>
      <c r="AD9" s="351"/>
      <c r="AE9" s="349">
        <f>SUM('08'!L30:'08'!L34)</f>
        <v>0</v>
      </c>
      <c r="AF9" s="350"/>
      <c r="AG9" s="350"/>
      <c r="AH9" s="351"/>
      <c r="AI9" s="349">
        <f>SUM('09'!L30:'09'!L34)</f>
        <v>0</v>
      </c>
      <c r="AJ9" s="350"/>
      <c r="AK9" s="350"/>
      <c r="AL9" s="351"/>
      <c r="AM9" s="349">
        <f>SUM('10'!L30:'10'!L34)</f>
        <v>0</v>
      </c>
      <c r="AN9" s="350"/>
      <c r="AO9" s="350"/>
      <c r="AP9" s="351"/>
      <c r="AQ9" s="349">
        <f>SUM('11'!L30:'11'!L34)</f>
        <v>0</v>
      </c>
      <c r="AR9" s="350"/>
      <c r="AS9" s="350"/>
      <c r="AT9" s="351"/>
      <c r="AU9" s="349">
        <f>SUM('12'!L30:'12'!L34)</f>
        <v>0</v>
      </c>
      <c r="AV9" s="350"/>
      <c r="AW9" s="350"/>
      <c r="AX9" s="351"/>
      <c r="AZ9" s="210">
        <f t="shared" ref="AZ9:AZ16" si="1">SUM(C9:AW9)</f>
        <v>694</v>
      </c>
      <c r="BA9" s="112">
        <f t="shared" ca="1" si="0"/>
        <v>231.33333333333334</v>
      </c>
      <c r="BB9" s="1"/>
      <c r="BC9" s="1"/>
    </row>
    <row r="10" spans="1:55" ht="15.75">
      <c r="A10" s="190" t="s">
        <v>204</v>
      </c>
      <c r="B10" s="194">
        <v>1156.51</v>
      </c>
      <c r="C10" s="349">
        <f>SUM('01'!L35:'01'!L39)</f>
        <v>133.97</v>
      </c>
      <c r="D10" s="350"/>
      <c r="E10" s="350"/>
      <c r="F10" s="351"/>
      <c r="G10" s="349">
        <f>SUM('02'!L35:'02'!L39)</f>
        <v>168.61</v>
      </c>
      <c r="H10" s="350"/>
      <c r="I10" s="350"/>
      <c r="J10" s="351"/>
      <c r="K10" s="349">
        <f>SUM('03'!L35:'03'!L39)</f>
        <v>0</v>
      </c>
      <c r="L10" s="350"/>
      <c r="M10" s="350"/>
      <c r="N10" s="351"/>
      <c r="O10" s="349">
        <f>SUM('04'!L35:'04'!L39)</f>
        <v>0</v>
      </c>
      <c r="P10" s="350"/>
      <c r="Q10" s="350"/>
      <c r="R10" s="351"/>
      <c r="S10" s="349">
        <f>SUM('05'!L35:'05'!L39)</f>
        <v>0</v>
      </c>
      <c r="T10" s="350"/>
      <c r="U10" s="350"/>
      <c r="V10" s="351"/>
      <c r="W10" s="352">
        <f>SUM('06'!L35:'06'!L39)</f>
        <v>0</v>
      </c>
      <c r="X10" s="353"/>
      <c r="Y10" s="353"/>
      <c r="Z10" s="354"/>
      <c r="AA10" s="352">
        <f>SUM('07'!L35:'07'!L39)</f>
        <v>0</v>
      </c>
      <c r="AB10" s="353"/>
      <c r="AC10" s="353"/>
      <c r="AD10" s="354"/>
      <c r="AE10" s="352">
        <f>SUM('08'!L35:'08'!L39)</f>
        <v>0</v>
      </c>
      <c r="AF10" s="353"/>
      <c r="AG10" s="353"/>
      <c r="AH10" s="354"/>
      <c r="AI10" s="352">
        <f>SUM('09'!L35:'09'!L39)</f>
        <v>0</v>
      </c>
      <c r="AJ10" s="353"/>
      <c r="AK10" s="353"/>
      <c r="AL10" s="354"/>
      <c r="AM10" s="352">
        <f>SUM('10'!L35:'10'!L39)</f>
        <v>0</v>
      </c>
      <c r="AN10" s="353"/>
      <c r="AO10" s="353"/>
      <c r="AP10" s="354"/>
      <c r="AQ10" s="352">
        <f>SUM('11'!L35:'11'!L39)</f>
        <v>0</v>
      </c>
      <c r="AR10" s="353"/>
      <c r="AS10" s="353"/>
      <c r="AT10" s="354"/>
      <c r="AU10" s="352">
        <f>SUM('12'!L35:'12'!L39)</f>
        <v>0</v>
      </c>
      <c r="AV10" s="353"/>
      <c r="AW10" s="353"/>
      <c r="AX10" s="354"/>
      <c r="AZ10" s="211">
        <f t="shared" si="1"/>
        <v>302.58000000000004</v>
      </c>
      <c r="BA10" s="112">
        <f t="shared" ca="1" si="0"/>
        <v>100.86000000000001</v>
      </c>
      <c r="BB10" s="1"/>
      <c r="BC10" s="1"/>
    </row>
    <row r="11" spans="1:55" ht="15.75">
      <c r="A11" s="189" t="s">
        <v>200</v>
      </c>
      <c r="B11" s="193">
        <v>1224.4499999999998</v>
      </c>
      <c r="C11" s="349">
        <f>SUM('01'!L40:'01'!L44)</f>
        <v>2.63</v>
      </c>
      <c r="D11" s="350"/>
      <c r="E11" s="350"/>
      <c r="F11" s="351"/>
      <c r="G11" s="349">
        <f>SUM('02'!L40:'02'!L44)</f>
        <v>0</v>
      </c>
      <c r="H11" s="350"/>
      <c r="I11" s="350"/>
      <c r="J11" s="351"/>
      <c r="K11" s="349">
        <f>SUM('03'!L40:'03'!L44)</f>
        <v>0</v>
      </c>
      <c r="L11" s="350"/>
      <c r="M11" s="350"/>
      <c r="N11" s="351"/>
      <c r="O11" s="349">
        <f>SUM('04'!L40:'04'!L44)</f>
        <v>0</v>
      </c>
      <c r="P11" s="350"/>
      <c r="Q11" s="350"/>
      <c r="R11" s="351"/>
      <c r="S11" s="349">
        <f>SUM('05'!L40:'05'!L44)</f>
        <v>0</v>
      </c>
      <c r="T11" s="350"/>
      <c r="U11" s="350"/>
      <c r="V11" s="351"/>
      <c r="W11" s="349">
        <f>SUM('06'!L40:'06'!L44)</f>
        <v>0</v>
      </c>
      <c r="X11" s="350"/>
      <c r="Y11" s="350"/>
      <c r="Z11" s="351"/>
      <c r="AA11" s="349">
        <f>SUM('07'!L40:'07'!L44)</f>
        <v>0</v>
      </c>
      <c r="AB11" s="350"/>
      <c r="AC11" s="350"/>
      <c r="AD11" s="351"/>
      <c r="AE11" s="349">
        <f>SUM('08'!L40:'08'!L44)</f>
        <v>0</v>
      </c>
      <c r="AF11" s="350"/>
      <c r="AG11" s="350"/>
      <c r="AH11" s="351"/>
      <c r="AI11" s="349">
        <f>SUM('09'!L40:'09'!L44)</f>
        <v>0</v>
      </c>
      <c r="AJ11" s="350"/>
      <c r="AK11" s="350"/>
      <c r="AL11" s="351"/>
      <c r="AM11" s="349">
        <f>SUM('10'!L40:'10'!L44)</f>
        <v>0</v>
      </c>
      <c r="AN11" s="350"/>
      <c r="AO11" s="350"/>
      <c r="AP11" s="351"/>
      <c r="AQ11" s="349">
        <f>SUM('11'!L40:'11'!L44)</f>
        <v>0</v>
      </c>
      <c r="AR11" s="350"/>
      <c r="AS11" s="350"/>
      <c r="AT11" s="351"/>
      <c r="AU11" s="349">
        <f>SUM('12'!L40:'12'!L44)</f>
        <v>0</v>
      </c>
      <c r="AV11" s="350"/>
      <c r="AW11" s="350"/>
      <c r="AX11" s="351"/>
      <c r="AZ11" s="210">
        <f t="shared" si="1"/>
        <v>2.63</v>
      </c>
      <c r="BA11" s="112">
        <f t="shared" ca="1" si="0"/>
        <v>0.87666666666666659</v>
      </c>
      <c r="BB11" s="1"/>
      <c r="BC11" s="1"/>
    </row>
    <row r="12" spans="1:55" ht="15.75">
      <c r="A12" s="190" t="s">
        <v>22</v>
      </c>
      <c r="B12" s="194">
        <v>2312.4300000000003</v>
      </c>
      <c r="C12" s="349">
        <f>SUM('01'!L45:'01'!L49)</f>
        <v>1142.8599999999999</v>
      </c>
      <c r="D12" s="350"/>
      <c r="E12" s="350"/>
      <c r="F12" s="351"/>
      <c r="G12" s="349">
        <f>SUM('02'!L45:'02'!L49)</f>
        <v>771.43000000000006</v>
      </c>
      <c r="H12" s="350"/>
      <c r="I12" s="350"/>
      <c r="J12" s="351"/>
      <c r="K12" s="349">
        <f>SUM('03'!L45:'03'!L49)</f>
        <v>0</v>
      </c>
      <c r="L12" s="350"/>
      <c r="M12" s="350"/>
      <c r="N12" s="351"/>
      <c r="O12" s="349">
        <f>SUM('04'!L45:'04'!L49)</f>
        <v>0</v>
      </c>
      <c r="P12" s="350"/>
      <c r="Q12" s="350"/>
      <c r="R12" s="351"/>
      <c r="S12" s="349">
        <f>SUM('05'!L45:'05'!L49)</f>
        <v>0</v>
      </c>
      <c r="T12" s="350"/>
      <c r="U12" s="350"/>
      <c r="V12" s="351"/>
      <c r="W12" s="352">
        <f>SUM('06'!L45:'06'!L49)</f>
        <v>0</v>
      </c>
      <c r="X12" s="353"/>
      <c r="Y12" s="353"/>
      <c r="Z12" s="354"/>
      <c r="AA12" s="352">
        <f>SUM('07'!L45:'07'!L49)</f>
        <v>0</v>
      </c>
      <c r="AB12" s="353"/>
      <c r="AC12" s="353"/>
      <c r="AD12" s="354"/>
      <c r="AE12" s="352">
        <f>SUM('08'!L45:'08'!L49)</f>
        <v>0</v>
      </c>
      <c r="AF12" s="353"/>
      <c r="AG12" s="353"/>
      <c r="AH12" s="354"/>
      <c r="AI12" s="352">
        <f>SUM('09'!L45:'09'!L49)</f>
        <v>0</v>
      </c>
      <c r="AJ12" s="353"/>
      <c r="AK12" s="353"/>
      <c r="AL12" s="354"/>
      <c r="AM12" s="352">
        <f>SUM('10'!L45:'10'!L49)</f>
        <v>0</v>
      </c>
      <c r="AN12" s="353"/>
      <c r="AO12" s="353"/>
      <c r="AP12" s="354"/>
      <c r="AQ12" s="352">
        <f>SUM('11'!L45:'11'!L49)</f>
        <v>0</v>
      </c>
      <c r="AR12" s="353"/>
      <c r="AS12" s="353"/>
      <c r="AT12" s="354"/>
      <c r="AU12" s="352">
        <f>SUM('12'!L45:'12'!L49)</f>
        <v>0</v>
      </c>
      <c r="AV12" s="353"/>
      <c r="AW12" s="353"/>
      <c r="AX12" s="354"/>
      <c r="AZ12" s="211">
        <f t="shared" si="1"/>
        <v>1914.29</v>
      </c>
      <c r="BA12" s="112">
        <f t="shared" ca="1" si="0"/>
        <v>638.09666666666669</v>
      </c>
      <c r="BB12" s="1"/>
      <c r="BC12" s="1"/>
    </row>
    <row r="13" spans="1:55" ht="15.75">
      <c r="A13" s="189" t="s">
        <v>201</v>
      </c>
      <c r="B13" s="195">
        <v>10099.5</v>
      </c>
      <c r="C13" s="349">
        <f>SUM('01'!L50:'01'!L54)</f>
        <v>273.07</v>
      </c>
      <c r="D13" s="350"/>
      <c r="E13" s="350"/>
      <c r="F13" s="351"/>
      <c r="G13" s="349">
        <f>SUM('02'!L50:'02'!L54)</f>
        <v>273.07</v>
      </c>
      <c r="H13" s="350"/>
      <c r="I13" s="350"/>
      <c r="J13" s="351"/>
      <c r="K13" s="349">
        <f>SUM('03'!L50:'03'!L54)</f>
        <v>273.07</v>
      </c>
      <c r="L13" s="350"/>
      <c r="M13" s="350"/>
      <c r="N13" s="351"/>
      <c r="O13" s="349">
        <f>SUM('04'!L50:'04'!L54)</f>
        <v>0</v>
      </c>
      <c r="P13" s="350"/>
      <c r="Q13" s="350"/>
      <c r="R13" s="351"/>
      <c r="S13" s="349">
        <f>SUM('05'!L50:'05'!L54)</f>
        <v>0</v>
      </c>
      <c r="T13" s="350"/>
      <c r="U13" s="350"/>
      <c r="V13" s="351"/>
      <c r="W13" s="349">
        <f>SUM('06'!L50:'06'!L54)</f>
        <v>0</v>
      </c>
      <c r="X13" s="350"/>
      <c r="Y13" s="350"/>
      <c r="Z13" s="351"/>
      <c r="AA13" s="349">
        <f>SUM('07'!L50:'07'!L54)</f>
        <v>0</v>
      </c>
      <c r="AB13" s="350"/>
      <c r="AC13" s="350"/>
      <c r="AD13" s="351"/>
      <c r="AE13" s="349">
        <f>SUM('08'!L50:'08'!L54)</f>
        <v>0</v>
      </c>
      <c r="AF13" s="350"/>
      <c r="AG13" s="350"/>
      <c r="AH13" s="351"/>
      <c r="AI13" s="349">
        <f>SUM('09'!L50:'09'!L54)</f>
        <v>0</v>
      </c>
      <c r="AJ13" s="350"/>
      <c r="AK13" s="350"/>
      <c r="AL13" s="351"/>
      <c r="AM13" s="349">
        <f>SUM('10'!L50:'10'!L54)</f>
        <v>0</v>
      </c>
      <c r="AN13" s="350"/>
      <c r="AO13" s="350"/>
      <c r="AP13" s="351"/>
      <c r="AQ13" s="349">
        <f>SUM('11'!L50:'11'!L54)</f>
        <v>0</v>
      </c>
      <c r="AR13" s="350"/>
      <c r="AS13" s="350"/>
      <c r="AT13" s="351"/>
      <c r="AU13" s="349">
        <f>SUM('12'!L50:'12'!L54)</f>
        <v>0</v>
      </c>
      <c r="AV13" s="350"/>
      <c r="AW13" s="350"/>
      <c r="AX13" s="351"/>
      <c r="AZ13" s="212">
        <f t="shared" si="1"/>
        <v>819.21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49">
        <f>SUM('01'!L55:'01'!L59)</f>
        <v>776.51</v>
      </c>
      <c r="D14" s="350"/>
      <c r="E14" s="350"/>
      <c r="F14" s="351"/>
      <c r="G14" s="349">
        <f>SUM('02'!L55:'02'!L59)</f>
        <v>3126.06</v>
      </c>
      <c r="H14" s="350"/>
      <c r="I14" s="350"/>
      <c r="J14" s="351"/>
      <c r="K14" s="349">
        <f>SUM('03'!L55:'03'!L59)</f>
        <v>0</v>
      </c>
      <c r="L14" s="350"/>
      <c r="M14" s="350"/>
      <c r="N14" s="351"/>
      <c r="O14" s="349">
        <f>SUM('04'!L55:'04'!L59)</f>
        <v>0</v>
      </c>
      <c r="P14" s="350"/>
      <c r="Q14" s="350"/>
      <c r="R14" s="351"/>
      <c r="S14" s="349">
        <f>SUM('05'!L55:'05'!L59)</f>
        <v>0</v>
      </c>
      <c r="T14" s="350"/>
      <c r="U14" s="350"/>
      <c r="V14" s="351"/>
      <c r="W14" s="352">
        <f>SUM('06'!L55:'06'!L59)</f>
        <v>0</v>
      </c>
      <c r="X14" s="353"/>
      <c r="Y14" s="353"/>
      <c r="Z14" s="354"/>
      <c r="AA14" s="352">
        <f>SUM('07'!L55:'07'!L59)</f>
        <v>0</v>
      </c>
      <c r="AB14" s="353"/>
      <c r="AC14" s="353"/>
      <c r="AD14" s="354"/>
      <c r="AE14" s="352">
        <f>SUM('08'!L55:'08'!L59)</f>
        <v>0</v>
      </c>
      <c r="AF14" s="353"/>
      <c r="AG14" s="353"/>
      <c r="AH14" s="354"/>
      <c r="AI14" s="352">
        <f>SUM('09'!L55:'09'!L59)</f>
        <v>0</v>
      </c>
      <c r="AJ14" s="353"/>
      <c r="AK14" s="353"/>
      <c r="AL14" s="354"/>
      <c r="AM14" s="352">
        <f>SUM('10'!L55:'10'!L59)</f>
        <v>0</v>
      </c>
      <c r="AN14" s="353"/>
      <c r="AO14" s="353"/>
      <c r="AP14" s="354"/>
      <c r="AQ14" s="352">
        <f>SUM('11'!L55:'11'!L59)</f>
        <v>0</v>
      </c>
      <c r="AR14" s="353"/>
      <c r="AS14" s="353"/>
      <c r="AT14" s="354"/>
      <c r="AU14" s="352">
        <f>SUM('12'!L55:'12'!L59)</f>
        <v>0</v>
      </c>
      <c r="AV14" s="353"/>
      <c r="AW14" s="353"/>
      <c r="AX14" s="354"/>
      <c r="AZ14" s="211">
        <f t="shared" si="1"/>
        <v>3902.5699999999997</v>
      </c>
      <c r="BA14" s="112">
        <f t="shared" ca="1" si="0"/>
        <v>1300.8566666666666</v>
      </c>
      <c r="BB14" s="3"/>
      <c r="BC14" s="3"/>
    </row>
    <row r="15" spans="1:55" ht="15.75">
      <c r="A15" s="189" t="s">
        <v>203</v>
      </c>
      <c r="B15" s="193">
        <v>7259.8400000000011</v>
      </c>
      <c r="C15" s="349">
        <f>SUM('01'!L60:'01'!L64)</f>
        <v>0</v>
      </c>
      <c r="D15" s="350"/>
      <c r="E15" s="350"/>
      <c r="F15" s="351"/>
      <c r="G15" s="349">
        <f>SUM('02'!L60:'02'!L64)</f>
        <v>662.31</v>
      </c>
      <c r="H15" s="350"/>
      <c r="I15" s="350"/>
      <c r="J15" s="351"/>
      <c r="K15" s="349">
        <f>SUM('03'!L60:'03'!L64)</f>
        <v>683.86</v>
      </c>
      <c r="L15" s="350"/>
      <c r="M15" s="350"/>
      <c r="N15" s="351"/>
      <c r="O15" s="349">
        <f>SUM('04'!L60:'04'!L64)</f>
        <v>0</v>
      </c>
      <c r="P15" s="350"/>
      <c r="Q15" s="350"/>
      <c r="R15" s="351"/>
      <c r="S15" s="349">
        <f>SUM('05'!L60:'05'!L64)</f>
        <v>0</v>
      </c>
      <c r="T15" s="350"/>
      <c r="U15" s="350"/>
      <c r="V15" s="351"/>
      <c r="W15" s="349">
        <f>SUM('06'!L60:'06'!L64)</f>
        <v>0</v>
      </c>
      <c r="X15" s="350"/>
      <c r="Y15" s="350"/>
      <c r="Z15" s="351"/>
      <c r="AA15" s="349">
        <f>SUM('07'!L60:'07'!L64)</f>
        <v>0</v>
      </c>
      <c r="AB15" s="350"/>
      <c r="AC15" s="350"/>
      <c r="AD15" s="351"/>
      <c r="AE15" s="349">
        <f>SUM('08'!L60:'08'!L64)</f>
        <v>0</v>
      </c>
      <c r="AF15" s="350"/>
      <c r="AG15" s="350"/>
      <c r="AH15" s="351"/>
      <c r="AI15" s="349">
        <f>SUM('09'!L60:'09'!L64)</f>
        <v>0</v>
      </c>
      <c r="AJ15" s="350"/>
      <c r="AK15" s="350"/>
      <c r="AL15" s="351"/>
      <c r="AM15" s="349">
        <f>SUM('10'!L60:'10'!L64)</f>
        <v>0</v>
      </c>
      <c r="AN15" s="350"/>
      <c r="AO15" s="350"/>
      <c r="AP15" s="351"/>
      <c r="AQ15" s="349">
        <f>SUM('11'!L60:'11'!L64)</f>
        <v>0</v>
      </c>
      <c r="AR15" s="350"/>
      <c r="AS15" s="350"/>
      <c r="AT15" s="351"/>
      <c r="AU15" s="349">
        <f>SUM('12'!L60:'12'!L64)</f>
        <v>0</v>
      </c>
      <c r="AV15" s="350"/>
      <c r="AW15" s="350"/>
      <c r="AX15" s="351"/>
      <c r="AZ15" s="210">
        <f t="shared" si="1"/>
        <v>1346.17</v>
      </c>
      <c r="BA15" s="112">
        <f t="shared" ca="1" si="0"/>
        <v>448.72333333333336</v>
      </c>
      <c r="BB15" s="1"/>
      <c r="BC15" s="1"/>
    </row>
    <row r="16" spans="1:55" ht="16.5" thickBot="1">
      <c r="A16" s="191" t="s">
        <v>40</v>
      </c>
      <c r="B16" s="196">
        <v>185</v>
      </c>
      <c r="C16" s="349">
        <f>SUM('01'!L65:'01'!L69)</f>
        <v>87.95</v>
      </c>
      <c r="D16" s="350"/>
      <c r="E16" s="350"/>
      <c r="F16" s="351"/>
      <c r="G16" s="349">
        <f>SUM('02'!L65:'02'!L69)</f>
        <v>9.5</v>
      </c>
      <c r="H16" s="350"/>
      <c r="I16" s="350"/>
      <c r="J16" s="351"/>
      <c r="K16" s="349">
        <f>SUM('03'!L65:'03'!L69)</f>
        <v>0</v>
      </c>
      <c r="L16" s="350"/>
      <c r="M16" s="350"/>
      <c r="N16" s="351"/>
      <c r="O16" s="349">
        <f>SUM('04'!L65:'04'!L69)</f>
        <v>0</v>
      </c>
      <c r="P16" s="350"/>
      <c r="Q16" s="350"/>
      <c r="R16" s="351"/>
      <c r="S16" s="349">
        <f>SUM('05'!L65:'05'!L69)</f>
        <v>0</v>
      </c>
      <c r="T16" s="350"/>
      <c r="U16" s="350"/>
      <c r="V16" s="351"/>
      <c r="W16" s="355">
        <f>SUM('06'!L65:'06'!L69)</f>
        <v>0</v>
      </c>
      <c r="X16" s="356"/>
      <c r="Y16" s="356"/>
      <c r="Z16" s="357"/>
      <c r="AA16" s="355">
        <f>SUM('07'!L65:'07'!L69)</f>
        <v>0</v>
      </c>
      <c r="AB16" s="356"/>
      <c r="AC16" s="356"/>
      <c r="AD16" s="357"/>
      <c r="AE16" s="355">
        <f>SUM('08'!L65:'08'!L69)</f>
        <v>0</v>
      </c>
      <c r="AF16" s="356"/>
      <c r="AG16" s="356"/>
      <c r="AH16" s="357"/>
      <c r="AI16" s="355">
        <f>SUM('09'!L65:'09'!L69)</f>
        <v>0</v>
      </c>
      <c r="AJ16" s="356"/>
      <c r="AK16" s="356"/>
      <c r="AL16" s="357"/>
      <c r="AM16" s="355">
        <f>SUM('10'!L65:'10'!L69)</f>
        <v>0</v>
      </c>
      <c r="AN16" s="356"/>
      <c r="AO16" s="356"/>
      <c r="AP16" s="357"/>
      <c r="AQ16" s="355">
        <f>SUM('11'!L65:'11'!L69)</f>
        <v>0</v>
      </c>
      <c r="AR16" s="356"/>
      <c r="AS16" s="356"/>
      <c r="AT16" s="357"/>
      <c r="AU16" s="355">
        <f>SUM('12'!L65:'12'!L69)</f>
        <v>0</v>
      </c>
      <c r="AV16" s="356"/>
      <c r="AW16" s="356"/>
      <c r="AX16" s="357"/>
      <c r="AZ16" s="213">
        <f t="shared" si="1"/>
        <v>97.45</v>
      </c>
      <c r="BA16" s="112">
        <f t="shared" ca="1" si="0"/>
        <v>32.483333333333334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9">
        <f>SUM(C8:C16)</f>
        <v>5134.54</v>
      </c>
      <c r="D17" s="370"/>
      <c r="E17" s="370"/>
      <c r="F17" s="371"/>
      <c r="G17" s="369">
        <f>SUM(G8:G16)</f>
        <v>7967.5899999999983</v>
      </c>
      <c r="H17" s="370"/>
      <c r="I17" s="370"/>
      <c r="J17" s="371"/>
      <c r="K17" s="369">
        <f>SUM(K8:K16)</f>
        <v>1242.21</v>
      </c>
      <c r="L17" s="370"/>
      <c r="M17" s="370"/>
      <c r="N17" s="371"/>
      <c r="O17" s="369">
        <f>SUM(O8:O16)</f>
        <v>0</v>
      </c>
      <c r="P17" s="370"/>
      <c r="Q17" s="370"/>
      <c r="R17" s="371"/>
      <c r="S17" s="369">
        <f>SUM(S8:S16)</f>
        <v>0</v>
      </c>
      <c r="T17" s="370"/>
      <c r="U17" s="370"/>
      <c r="V17" s="371"/>
      <c r="W17" s="369">
        <f>SUM(W8:W16)</f>
        <v>0</v>
      </c>
      <c r="X17" s="370"/>
      <c r="Y17" s="370"/>
      <c r="Z17" s="371"/>
      <c r="AA17" s="369">
        <f>SUM(AA8:AA16)</f>
        <v>0</v>
      </c>
      <c r="AB17" s="370"/>
      <c r="AC17" s="370"/>
      <c r="AD17" s="371"/>
      <c r="AE17" s="369">
        <f>SUM(AE8:AE16)</f>
        <v>0</v>
      </c>
      <c r="AF17" s="370"/>
      <c r="AG17" s="370"/>
      <c r="AH17" s="371"/>
      <c r="AI17" s="369">
        <f>SUM(AI8:AI16)</f>
        <v>0</v>
      </c>
      <c r="AJ17" s="370"/>
      <c r="AK17" s="370"/>
      <c r="AL17" s="371"/>
      <c r="AM17" s="369">
        <f>SUM(AM8:AM16)</f>
        <v>0</v>
      </c>
      <c r="AN17" s="370"/>
      <c r="AO17" s="370"/>
      <c r="AP17" s="371"/>
      <c r="AQ17" s="369">
        <f>SUM(AQ8:AQ16)</f>
        <v>0</v>
      </c>
      <c r="AR17" s="370"/>
      <c r="AS17" s="370"/>
      <c r="AT17" s="371"/>
      <c r="AU17" s="369">
        <f>SUM(AU8:AU16)</f>
        <v>0</v>
      </c>
      <c r="AV17" s="370"/>
      <c r="AW17" s="370"/>
      <c r="AX17" s="371"/>
      <c r="AZ17" s="227">
        <f>SUM(AZ8:AZ16)</f>
        <v>14344.340000000002</v>
      </c>
      <c r="BA17" s="112">
        <f ca="1">AZ17/BC$17</f>
        <v>4781.4466666666676</v>
      </c>
      <c r="BB17" s="1" t="s">
        <v>81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72"/>
      <c r="AM18" s="372"/>
      <c r="AN18" s="372"/>
      <c r="AO18" s="372"/>
      <c r="AP18" s="372"/>
      <c r="AQ18" s="372"/>
      <c r="AR18" s="372"/>
      <c r="AS18" s="372"/>
      <c r="AT18" s="372"/>
      <c r="AU18" s="372" t="s">
        <v>170</v>
      </c>
      <c r="AV18" s="372"/>
      <c r="AW18" s="372"/>
      <c r="AX18" s="372"/>
      <c r="AZ18" s="131">
        <f>(2700*13)+(600*12)+(550*12)+(273*12)</f>
        <v>52176</v>
      </c>
      <c r="BA18" s="131">
        <f ca="1">12*BA17</f>
        <v>57377.360000000015</v>
      </c>
      <c r="BB18" s="1"/>
      <c r="BC18" s="1"/>
    </row>
    <row r="19" spans="1:62" ht="17.25" thickTop="1" thickBot="1">
      <c r="A19" s="24" t="s">
        <v>7</v>
      </c>
      <c r="B19" s="24" t="s">
        <v>716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701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205.09000000000003</v>
      </c>
      <c r="I20" s="144">
        <f>SUM('02'!D20:F20)</f>
        <v>1814.22</v>
      </c>
      <c r="J20" s="145">
        <f t="shared" ref="J20:J45" si="3">F20+H20-I20</f>
        <v>1007.9091905564921</v>
      </c>
      <c r="K20" s="143" t="s">
        <v>2</v>
      </c>
      <c r="L20" s="144">
        <f>'03'!B20</f>
        <v>710.64</v>
      </c>
      <c r="M20" s="144">
        <f>SUM('03'!D20:F20)</f>
        <v>30.24</v>
      </c>
      <c r="N20" s="145">
        <f t="shared" ref="N20:N45" si="4">J20+L20-M20</f>
        <v>1688.3091905564922</v>
      </c>
      <c r="O20" s="143" t="s">
        <v>3</v>
      </c>
      <c r="P20" s="144">
        <f>'04'!B20</f>
        <v>576.79</v>
      </c>
      <c r="Q20" s="144">
        <f>SUM('04'!D20:F20)</f>
        <v>0</v>
      </c>
      <c r="R20" s="145">
        <f t="shared" ref="R20:R45" si="5">N20+P20-Q20</f>
        <v>2265.0991905564924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2466.2191905564923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2465.8891905564924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2014.5791905564924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2009.4991905564925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2211.8591905564922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2187.6591905564919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2748.4891905564918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2990.6291905564917</v>
      </c>
      <c r="AZ20" s="123">
        <f t="shared" ref="AZ20:AZ27" si="14">E20+I20+M20+Q20+U20+Y20+AC20+AG20+AK20+AO20+AS20+AW20</f>
        <v>5316.2499999999991</v>
      </c>
      <c r="BA20" s="21">
        <f t="shared" ref="BA20:BA45" si="15">AZ20/AZ$46</f>
        <v>0.13274887620725623</v>
      </c>
      <c r="BB20" s="22">
        <f>_xlfn.RANK.EQ(BA20,$BA$20:$BA$45,)</f>
        <v>2</v>
      </c>
      <c r="BC20" s="22">
        <f t="shared" ref="BC20:BC45" ca="1" si="16">AZ20/BC$17</f>
        <v>1772.083333333333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1492.5100000000002</v>
      </c>
      <c r="BF20" s="21">
        <f t="shared" ref="BF20:BF45" ca="1" si="18">BE20/BE$46</f>
        <v>0.10526319501454279</v>
      </c>
      <c r="BG20" s="22">
        <f ca="1">_xlfn.RANK.EQ(BF20,$BF$20:$BF$45,)</f>
        <v>5</v>
      </c>
      <c r="BH20" s="22">
        <f t="shared" ref="BH20:BH45" ca="1" si="19">BE20/BC$17</f>
        <v>497.50333333333339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-783.44999999999959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1104.6099999999999</v>
      </c>
      <c r="J21" s="151">
        <f t="shared" si="3"/>
        <v>315.31999999999948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1479.3199999999995</v>
      </c>
      <c r="O21" s="148" t="s">
        <v>3</v>
      </c>
      <c r="P21" s="149">
        <f>'04'!B40</f>
        <v>1164</v>
      </c>
      <c r="Q21" s="150">
        <f>SUM('04'!D40:F40)</f>
        <v>0</v>
      </c>
      <c r="R21" s="151">
        <f t="shared" si="5"/>
        <v>2643.3199999999997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2519.5599999999995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2563.6199999999994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2607.6799999999994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2547.5499999999993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2591.6099999999992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2531.4799999999991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2574.869999999999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3727.869999999999</v>
      </c>
      <c r="AZ21" s="152">
        <f t="shared" si="14"/>
        <v>10417.86</v>
      </c>
      <c r="BA21" s="21">
        <f t="shared" si="15"/>
        <v>0.26013810627501088</v>
      </c>
      <c r="BB21" s="22">
        <f t="shared" ref="BB21:BB45" si="20">_xlfn.RANK.EQ(BA21,$BA$20:$BA$45,)</f>
        <v>1</v>
      </c>
      <c r="BC21" s="22">
        <f t="shared" ca="1" si="16"/>
        <v>3472.6200000000003</v>
      </c>
      <c r="BE21" s="224">
        <f t="shared" ca="1" si="17"/>
        <v>3492</v>
      </c>
      <c r="BF21" s="21">
        <f t="shared" ca="1" si="18"/>
        <v>0.24628248855336538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1178.5900000000001</v>
      </c>
    </row>
    <row r="22" spans="1:62" ht="15.75">
      <c r="A22" s="153" t="s">
        <v>702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447.53</v>
      </c>
      <c r="J22" s="156">
        <f t="shared" si="3"/>
        <v>-7.4900000000000091</v>
      </c>
      <c r="K22" s="143" t="s">
        <v>2</v>
      </c>
      <c r="L22" s="155">
        <f>'03'!B60</f>
        <v>466.75</v>
      </c>
      <c r="M22" s="155">
        <f>SUM('03'!D60:F60)</f>
        <v>0</v>
      </c>
      <c r="N22" s="156">
        <f t="shared" si="4"/>
        <v>459.26</v>
      </c>
      <c r="O22" s="143" t="s">
        <v>3</v>
      </c>
      <c r="P22" s="155">
        <f>'04'!B60</f>
        <v>466.75</v>
      </c>
      <c r="Q22" s="155">
        <f>SUM('04'!D60:F60)</f>
        <v>0</v>
      </c>
      <c r="R22" s="156">
        <f t="shared" si="5"/>
        <v>926.01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894.75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901.53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901.53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901.53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916.82999999999993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889.61999999999989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793.41999999999985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1108.4199999999998</v>
      </c>
      <c r="AZ22" s="157">
        <f t="shared" si="14"/>
        <v>2957.44</v>
      </c>
      <c r="BA22" s="21">
        <f t="shared" si="15"/>
        <v>7.3848452659372288E-2</v>
      </c>
      <c r="BB22" s="22">
        <f t="shared" si="20"/>
        <v>5</v>
      </c>
      <c r="BC22" s="22">
        <f t="shared" ca="1" si="16"/>
        <v>985.81333333333339</v>
      </c>
      <c r="BE22" s="225">
        <f t="shared" ca="1" si="17"/>
        <v>1288.5</v>
      </c>
      <c r="BF22" s="21">
        <f t="shared" ca="1" si="18"/>
        <v>9.0874852949888688E-2</v>
      </c>
      <c r="BG22" s="22">
        <f t="shared" ca="1" si="21"/>
        <v>7</v>
      </c>
      <c r="BH22" s="22">
        <f t="shared" ca="1" si="19"/>
        <v>429.5</v>
      </c>
      <c r="BJ22" s="225">
        <f t="shared" ca="1" si="22"/>
        <v>395.88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220.11</v>
      </c>
      <c r="J23" s="151">
        <f t="shared" si="3"/>
        <v>149.79000000000008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329.79000000000008</v>
      </c>
      <c r="O23" s="148" t="s">
        <v>3</v>
      </c>
      <c r="P23" s="149">
        <f>'04'!B80</f>
        <v>180</v>
      </c>
      <c r="Q23" s="150">
        <f>SUM('04'!D80:F80)</f>
        <v>0</v>
      </c>
      <c r="R23" s="151">
        <f t="shared" si="5"/>
        <v>509.79000000000008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466.94000000000005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469.29000000000008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497.09000000000009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490.44000000000017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497.54000000000013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514.1600000000002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545.96000000000026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730.96000000000026</v>
      </c>
      <c r="AZ23" s="152">
        <f t="shared" si="14"/>
        <v>1699.99</v>
      </c>
      <c r="BA23" s="21">
        <f t="shared" si="15"/>
        <v>4.2449426205233683E-2</v>
      </c>
      <c r="BB23" s="22">
        <f t="shared" si="20"/>
        <v>8</v>
      </c>
      <c r="BC23" s="22">
        <f t="shared" ca="1" si="16"/>
        <v>566.6633333333333</v>
      </c>
      <c r="BE23" s="224">
        <f t="shared" ca="1" si="17"/>
        <v>540</v>
      </c>
      <c r="BF23" s="21">
        <f t="shared" ca="1" si="18"/>
        <v>3.8084920910314235E-2</v>
      </c>
      <c r="BG23" s="22">
        <f t="shared" ca="1" si="21"/>
        <v>10</v>
      </c>
      <c r="BH23" s="22">
        <f t="shared" ca="1" si="19"/>
        <v>180</v>
      </c>
      <c r="BJ23" s="224">
        <f t="shared" ca="1" si="22"/>
        <v>148.83999999999997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145.29000000000002</v>
      </c>
      <c r="J24" s="156">
        <f t="shared" si="3"/>
        <v>265.93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445.93</v>
      </c>
      <c r="O24" s="143" t="s">
        <v>3</v>
      </c>
      <c r="P24" s="155">
        <f>'04'!B100</f>
        <v>180</v>
      </c>
      <c r="Q24" s="155">
        <f>SUM('04'!D100:F100)</f>
        <v>0</v>
      </c>
      <c r="R24" s="156">
        <f t="shared" si="5"/>
        <v>625.93000000000006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610.45000000000005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577.59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682.49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698.67000000000007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694.0100000000001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633.83000000000015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740.55000000000018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890.55000000000018</v>
      </c>
      <c r="AZ24" s="157">
        <f t="shared" si="14"/>
        <v>1346.0700000000002</v>
      </c>
      <c r="BA24" s="21">
        <f t="shared" si="15"/>
        <v>3.3611903088888118E-2</v>
      </c>
      <c r="BB24" s="22">
        <f t="shared" si="20"/>
        <v>9</v>
      </c>
      <c r="BC24" s="22">
        <f t="shared" ca="1" si="16"/>
        <v>448.69000000000005</v>
      </c>
      <c r="BE24" s="225">
        <f t="shared" ca="1" si="17"/>
        <v>560</v>
      </c>
      <c r="BF24" s="21">
        <f t="shared" ca="1" si="18"/>
        <v>3.9495473536622167E-2</v>
      </c>
      <c r="BG24" s="22">
        <f t="shared" ca="1" si="21"/>
        <v>9</v>
      </c>
      <c r="BH24" s="22">
        <f t="shared" ca="1" si="19"/>
        <v>186.66666666666666</v>
      </c>
      <c r="BJ24" s="225">
        <f t="shared" ca="1" si="22"/>
        <v>209.30999999999997</v>
      </c>
    </row>
    <row r="25" spans="1:62" ht="15.75">
      <c r="A25" s="146" t="s">
        <v>717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848.47</v>
      </c>
      <c r="I25" s="150">
        <f>SUM('02'!D120:F120)</f>
        <v>921.22</v>
      </c>
      <c r="J25" s="151">
        <f t="shared" si="3"/>
        <v>5657.7415974244968</v>
      </c>
      <c r="K25" s="148" t="s">
        <v>2</v>
      </c>
      <c r="L25" s="149">
        <f>'03'!B120</f>
        <v>678.47</v>
      </c>
      <c r="M25" s="150">
        <f>SUM('03'!D120:F120)</f>
        <v>258.47000000000003</v>
      </c>
      <c r="N25" s="151">
        <f t="shared" si="4"/>
        <v>6077.7415974244968</v>
      </c>
      <c r="O25" s="148" t="s">
        <v>3</v>
      </c>
      <c r="P25" s="149">
        <f>'04'!B120</f>
        <v>678.47</v>
      </c>
      <c r="Q25" s="150">
        <f>SUM('04'!D120:F120)</f>
        <v>0</v>
      </c>
      <c r="R25" s="151">
        <f t="shared" si="5"/>
        <v>6756.2115974244971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5943.831597424497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6061.4515974244969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6379.0715974244968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7046.6915974244966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7164.3115974244965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7598.2631948489943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7728.3531948489945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8185.8231948489947</v>
      </c>
      <c r="AZ25" s="152">
        <f t="shared" si="14"/>
        <v>4357.7600000000011</v>
      </c>
      <c r="BA25" s="21">
        <f t="shared" si="15"/>
        <v>0.10881499981771608</v>
      </c>
      <c r="BB25" s="22">
        <f t="shared" si="20"/>
        <v>3</v>
      </c>
      <c r="BC25" s="22">
        <f t="shared" ca="1" si="16"/>
        <v>1452.586666666667</v>
      </c>
      <c r="BE25" s="224">
        <f t="shared" ca="1" si="17"/>
        <v>3192.3199999999997</v>
      </c>
      <c r="BF25" s="21">
        <f t="shared" ca="1" si="18"/>
        <v>0.22514676800076727</v>
      </c>
      <c r="BG25" s="22">
        <f t="shared" ca="1" si="21"/>
        <v>3</v>
      </c>
      <c r="BH25" s="22">
        <f t="shared" ca="1" si="19"/>
        <v>1064.1066666666666</v>
      </c>
      <c r="BJ25" s="224">
        <f t="shared" ca="1" si="22"/>
        <v>1126.2200000000003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35.49</v>
      </c>
      <c r="J26" s="156">
        <f t="shared" si="3"/>
        <v>60.599999999999973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113.59999999999997</v>
      </c>
      <c r="O26" s="143" t="s">
        <v>3</v>
      </c>
      <c r="P26" s="155">
        <f>'04'!B140</f>
        <v>53</v>
      </c>
      <c r="Q26" s="155">
        <f>SUM('04'!D140:F140)</f>
        <v>0</v>
      </c>
      <c r="R26" s="156">
        <f t="shared" si="5"/>
        <v>166.59999999999997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184.10999999999996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181.61999999999995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189.12999999999994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186.63999999999993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194.14999999999992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136.65999999999991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144.1699999999999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212.1699999999999</v>
      </c>
      <c r="AZ26" s="157">
        <f t="shared" si="14"/>
        <v>484.41</v>
      </c>
      <c r="BA26" s="21">
        <f t="shared" si="15"/>
        <v>1.2095910298341313E-2</v>
      </c>
      <c r="BB26" s="22">
        <f t="shared" si="20"/>
        <v>13</v>
      </c>
      <c r="BC26" s="22">
        <f t="shared" ca="1" si="16"/>
        <v>161.47</v>
      </c>
      <c r="BE26" s="225">
        <f t="shared" ca="1" si="17"/>
        <v>159</v>
      </c>
      <c r="BF26" s="21">
        <f t="shared" ca="1" si="18"/>
        <v>1.121389337914808E-2</v>
      </c>
      <c r="BG26" s="22">
        <f t="shared" ca="1" si="21"/>
        <v>15</v>
      </c>
      <c r="BH26" s="22">
        <f t="shared" ca="1" si="19"/>
        <v>53</v>
      </c>
      <c r="BJ26" s="225">
        <f t="shared" ca="1" si="22"/>
        <v>68.019999999999982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39.870000000000005</v>
      </c>
      <c r="J27" s="187">
        <f t="shared" si="3"/>
        <v>424.67000000000007</v>
      </c>
      <c r="K27" s="185" t="s">
        <v>2</v>
      </c>
      <c r="L27" s="186">
        <f>'03'!B160</f>
        <v>45</v>
      </c>
      <c r="M27" s="186">
        <f>SUM('03'!D160:F160)</f>
        <v>0</v>
      </c>
      <c r="N27" s="187">
        <f t="shared" si="4"/>
        <v>469.67000000000007</v>
      </c>
      <c r="O27" s="185" t="s">
        <v>3</v>
      </c>
      <c r="P27" s="186">
        <f>'04'!B160</f>
        <v>45</v>
      </c>
      <c r="Q27" s="186">
        <f>SUM('04'!D160:F160)</f>
        <v>0</v>
      </c>
      <c r="R27" s="187">
        <f t="shared" si="5"/>
        <v>514.67000000000007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480.80000000000007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437.6400000000001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487.6400000000001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500.35000000000008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550.35000000000014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553.59000000000015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587.0100000000001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612.1400000000001</v>
      </c>
      <c r="AZ27" s="188">
        <f t="shared" si="14"/>
        <v>307.27</v>
      </c>
      <c r="BA27" s="21">
        <f t="shared" si="15"/>
        <v>7.6726540686016696E-3</v>
      </c>
      <c r="BB27" s="22">
        <f t="shared" si="20"/>
        <v>16</v>
      </c>
      <c r="BC27" s="22">
        <f t="shared" ca="1" si="16"/>
        <v>102.42333333333333</v>
      </c>
      <c r="BE27" s="224">
        <f t="shared" ca="1" si="17"/>
        <v>135</v>
      </c>
      <c r="BF27" s="21">
        <f t="shared" ca="1" si="18"/>
        <v>9.5212302275785587E-3</v>
      </c>
      <c r="BG27" s="22">
        <f t="shared" ca="1" si="21"/>
        <v>17</v>
      </c>
      <c r="BH27" s="22">
        <f t="shared" ca="1" si="19"/>
        <v>45</v>
      </c>
      <c r="BJ27" s="224">
        <f t="shared" ca="1" si="22"/>
        <v>70.259999999999991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1401.43</v>
      </c>
      <c r="I28" s="155">
        <f>SUM('02'!D180:F180)</f>
        <v>638.91000000000008</v>
      </c>
      <c r="J28" s="159">
        <f t="shared" si="3"/>
        <v>1876.5800000000002</v>
      </c>
      <c r="K28" s="181" t="s">
        <v>2</v>
      </c>
      <c r="L28" s="155">
        <f>'03'!B180</f>
        <v>200</v>
      </c>
      <c r="M28" s="155">
        <f>SUM('03'!D180:F180)</f>
        <v>790.63</v>
      </c>
      <c r="N28" s="159">
        <f t="shared" si="4"/>
        <v>1285.9499999999998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1485.9499999999998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2535.9499999999998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2735.95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1572.6699999999998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1772.6699999999998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1928.6699999999998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2128.67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2328.67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2528.67</v>
      </c>
      <c r="AZ28" s="182">
        <f t="shared" ref="AZ28:AZ45" si="23">E28+I28+M28+Q28+U28+Y28+AC28+AG28+AK28+AO28+AS28+AW28</f>
        <v>3211.76</v>
      </c>
      <c r="BA28" s="21">
        <f t="shared" si="15"/>
        <v>8.0198924175390054E-2</v>
      </c>
      <c r="BB28" s="22">
        <f t="shared" si="20"/>
        <v>4</v>
      </c>
      <c r="BC28" s="22">
        <f t="shared" ca="1" si="16"/>
        <v>1070.5866666666668</v>
      </c>
      <c r="BE28" s="223">
        <f t="shared" ca="1" si="17"/>
        <v>1801.43</v>
      </c>
      <c r="BF28" s="21">
        <f t="shared" ca="1" si="18"/>
        <v>0.12705059088049514</v>
      </c>
      <c r="BG28" s="22">
        <f t="shared" ca="1" si="21"/>
        <v>4</v>
      </c>
      <c r="BH28" s="22">
        <f t="shared" ca="1" si="19"/>
        <v>600.47666666666669</v>
      </c>
      <c r="BJ28" s="223">
        <f t="shared" ca="1" si="22"/>
        <v>-3.0500000000004093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64.75</v>
      </c>
      <c r="J29" s="160">
        <f t="shared" si="3"/>
        <v>124.85999999999999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204.85999999999999</v>
      </c>
      <c r="O29" s="148" t="s">
        <v>3</v>
      </c>
      <c r="P29" s="149">
        <f>'04'!B200</f>
        <v>80</v>
      </c>
      <c r="Q29" s="150">
        <f>SUM('04'!D200:F200)</f>
        <v>0</v>
      </c>
      <c r="R29" s="160">
        <f t="shared" si="5"/>
        <v>284.86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311.23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253.45000000000002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222.41000000000005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242.21000000000009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208.43000000000006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144.64000000000004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150.48000000000005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255.48000000000005</v>
      </c>
      <c r="AZ29" s="152">
        <f t="shared" si="23"/>
        <v>1120.7100000000003</v>
      </c>
      <c r="BA29" s="21">
        <f t="shared" si="15"/>
        <v>2.7984574287182543E-2</v>
      </c>
      <c r="BB29" s="22">
        <f t="shared" si="20"/>
        <v>12</v>
      </c>
      <c r="BC29" s="22">
        <f t="shared" ca="1" si="16"/>
        <v>373.57000000000011</v>
      </c>
      <c r="BE29" s="224">
        <f t="shared" ca="1" si="17"/>
        <v>304.95</v>
      </c>
      <c r="BF29" s="21">
        <f t="shared" ca="1" si="18"/>
        <v>2.1507401169630232E-2</v>
      </c>
      <c r="BG29" s="22">
        <f t="shared" ca="1" si="21"/>
        <v>13</v>
      </c>
      <c r="BH29" s="22">
        <f t="shared" ca="1" si="19"/>
        <v>101.64999999999999</v>
      </c>
      <c r="BJ29" s="224">
        <f t="shared" ca="1" si="22"/>
        <v>79.28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89.809999999999974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112.24999999999997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147.24999999999997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106.07999999999997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118.07999999999998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140.57999999999998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152.07999999999998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187.07999999999998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222.07999999999998</v>
      </c>
      <c r="AZ30" s="157">
        <f t="shared" si="23"/>
        <v>276.67</v>
      </c>
      <c r="BA30" s="21">
        <f t="shared" si="15"/>
        <v>6.9085599022358979E-3</v>
      </c>
      <c r="BB30" s="22">
        <f t="shared" si="20"/>
        <v>17</v>
      </c>
      <c r="BC30" s="22">
        <f t="shared" ca="1" si="16"/>
        <v>92.223333333333343</v>
      </c>
      <c r="BE30" s="225">
        <f t="shared" ca="1" si="17"/>
        <v>105</v>
      </c>
      <c r="BF30" s="21">
        <f t="shared" ca="1" si="18"/>
        <v>7.4054012881166562E-3</v>
      </c>
      <c r="BG30" s="22">
        <f t="shared" ca="1" si="21"/>
        <v>18</v>
      </c>
      <c r="BH30" s="22">
        <f t="shared" ca="1" si="19"/>
        <v>35</v>
      </c>
      <c r="BJ30" s="225">
        <f t="shared" ca="1" si="22"/>
        <v>-8.9399999999999906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21.66</v>
      </c>
      <c r="J31" s="160">
        <f t="shared" si="3"/>
        <v>51.779999999999973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72.779999999999973</v>
      </c>
      <c r="O31" s="148" t="s">
        <v>3</v>
      </c>
      <c r="P31" s="149">
        <f>'04'!B240</f>
        <v>21</v>
      </c>
      <c r="Q31" s="150">
        <f>SUM('04'!D240:F240)</f>
        <v>0</v>
      </c>
      <c r="R31" s="160">
        <f t="shared" si="5"/>
        <v>93.779999999999973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71.819999999999965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70.839999999999961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69.859999999999957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68.879999999999953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67.899999999999949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66.919999999999945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86.919999999999945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106.91999999999994</v>
      </c>
      <c r="AZ31" s="152">
        <f t="shared" si="23"/>
        <v>190.17999999999998</v>
      </c>
      <c r="BA31" s="21">
        <f t="shared" si="15"/>
        <v>4.7488702143608733E-3</v>
      </c>
      <c r="BB31" s="22">
        <f t="shared" si="20"/>
        <v>18</v>
      </c>
      <c r="BC31" s="22">
        <f t="shared" ca="1" si="16"/>
        <v>63.393333333333324</v>
      </c>
      <c r="BE31" s="224">
        <f t="shared" ca="1" si="17"/>
        <v>63</v>
      </c>
      <c r="BF31" s="21">
        <f t="shared" ca="1" si="18"/>
        <v>4.4432407728699939E-3</v>
      </c>
      <c r="BG31" s="22">
        <f t="shared" ca="1" si="21"/>
        <v>19</v>
      </c>
      <c r="BH31" s="22">
        <f t="shared" ca="1" si="19"/>
        <v>21</v>
      </c>
      <c r="BJ31" s="224">
        <f t="shared" ca="1" si="22"/>
        <v>19.680000000000007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142.01999999999998</v>
      </c>
      <c r="I32" s="155">
        <f>SUM('02'!D260:F260)</f>
        <v>217.10000000000002</v>
      </c>
      <c r="J32" s="161">
        <f t="shared" si="3"/>
        <v>316.68999999999971</v>
      </c>
      <c r="K32" s="143" t="s">
        <v>2</v>
      </c>
      <c r="L32" s="155">
        <f>'03'!B260</f>
        <v>65</v>
      </c>
      <c r="M32" s="155">
        <f>SUM('03'!D260:F260)</f>
        <v>0</v>
      </c>
      <c r="N32" s="161">
        <f t="shared" si="4"/>
        <v>381.68999999999971</v>
      </c>
      <c r="O32" s="143" t="s">
        <v>3</v>
      </c>
      <c r="P32" s="155">
        <f>'04'!B260</f>
        <v>65</v>
      </c>
      <c r="Q32" s="155">
        <f>SUM('04'!D260:F260)</f>
        <v>0</v>
      </c>
      <c r="R32" s="161">
        <f t="shared" si="5"/>
        <v>446.68999999999971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951.44999999999959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846.12999999999965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621.72999999999956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663.95999999999958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507.61999999999944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430.41999999999945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525.41999999999939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775.41999999999939</v>
      </c>
      <c r="AZ32" s="157">
        <f t="shared" si="23"/>
        <v>2036.7000000000003</v>
      </c>
      <c r="BA32" s="21">
        <f t="shared" si="15"/>
        <v>5.0857208778992496E-2</v>
      </c>
      <c r="BB32" s="22">
        <f t="shared" si="20"/>
        <v>7</v>
      </c>
      <c r="BC32" s="22">
        <f t="shared" ca="1" si="16"/>
        <v>678.90000000000009</v>
      </c>
      <c r="BE32" s="225">
        <f t="shared" ca="1" si="17"/>
        <v>257.02</v>
      </c>
      <c r="BF32" s="21">
        <f t="shared" ca="1" si="18"/>
        <v>1.8127011800683265E-2</v>
      </c>
      <c r="BG32" s="22">
        <f t="shared" ca="1" si="21"/>
        <v>14</v>
      </c>
      <c r="BH32" s="22">
        <f t="shared" ca="1" si="19"/>
        <v>85.673333333333332</v>
      </c>
      <c r="BJ32" s="225">
        <f t="shared" ca="1" si="22"/>
        <v>-85.210000000000036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0</v>
      </c>
      <c r="Q33" s="150">
        <f>SUM('04'!D280:F280)</f>
        <v>0</v>
      </c>
      <c r="R33" s="160">
        <f t="shared" si="5"/>
        <v>610.09000000000026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567.20000000000027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425.70000000000027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475.70000000000027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544.70000000000027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549.70000000000027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587.70000000000027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647.70000000000027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687.70000000000027</v>
      </c>
      <c r="AZ33" s="152">
        <f t="shared" si="23"/>
        <v>372.39</v>
      </c>
      <c r="BA33" s="21">
        <f t="shared" si="15"/>
        <v>9.2987263599003354E-3</v>
      </c>
      <c r="BB33" s="22">
        <f t="shared" si="20"/>
        <v>15</v>
      </c>
      <c r="BC33" s="22">
        <f t="shared" ca="1" si="16"/>
        <v>124.13</v>
      </c>
      <c r="BE33" s="224">
        <f t="shared" ca="1" si="17"/>
        <v>10</v>
      </c>
      <c r="BF33" s="21">
        <f t="shared" ca="1" si="18"/>
        <v>7.0527631315396729E-4</v>
      </c>
      <c r="BG33" s="22">
        <f t="shared" ca="1" si="21"/>
        <v>21</v>
      </c>
      <c r="BH33" s="22">
        <f t="shared" ca="1" si="19"/>
        <v>3.3333333333333335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210</v>
      </c>
      <c r="I34" s="155">
        <f>SUM('02'!D300:F300)</f>
        <v>73.150000000000006</v>
      </c>
      <c r="J34" s="161">
        <f t="shared" si="3"/>
        <v>174.1599999999998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284.1599999999998</v>
      </c>
      <c r="O34" s="143" t="s">
        <v>3</v>
      </c>
      <c r="P34" s="155">
        <f>'04'!B300</f>
        <v>110</v>
      </c>
      <c r="Q34" s="155">
        <f>SUM('04'!D300:F300)</f>
        <v>0</v>
      </c>
      <c r="R34" s="161">
        <f t="shared" si="5"/>
        <v>394.1599999999998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158.51999999999981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258.51999999999975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165.25999999999976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240.96999999999977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259.9699999999998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304.06999999999982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394.06999999999982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489.06999999999982</v>
      </c>
      <c r="AZ34" s="152">
        <f t="shared" si="23"/>
        <v>1183.19</v>
      </c>
      <c r="BA34" s="21">
        <f t="shared" si="15"/>
        <v>2.954472472883396E-2</v>
      </c>
      <c r="BB34" s="22">
        <f t="shared" si="20"/>
        <v>11</v>
      </c>
      <c r="BC34" s="22">
        <f t="shared" ca="1" si="16"/>
        <v>394.3966666666667</v>
      </c>
      <c r="BE34" s="225">
        <f t="shared" ca="1" si="17"/>
        <v>535.02</v>
      </c>
      <c r="BF34" s="21">
        <f t="shared" ca="1" si="18"/>
        <v>3.7733693306363558E-2</v>
      </c>
      <c r="BG34" s="22">
        <f t="shared" ca="1" si="21"/>
        <v>11</v>
      </c>
      <c r="BH34" s="22">
        <f t="shared" ca="1" si="19"/>
        <v>178.34</v>
      </c>
      <c r="BJ34" s="225">
        <f t="shared" ca="1" si="22"/>
        <v>269.33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474.65999999999997</v>
      </c>
      <c r="I35" s="186">
        <f>SUM('02'!D320:F320)</f>
        <v>509.35999999999996</v>
      </c>
      <c r="J35" s="187">
        <f t="shared" si="3"/>
        <v>2014.3300000000006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2114.3300000000008</v>
      </c>
      <c r="O35" s="185" t="s">
        <v>3</v>
      </c>
      <c r="P35" s="186">
        <f>'04'!B320</f>
        <v>100</v>
      </c>
      <c r="Q35" s="186">
        <f>SUM('04'!D320:F320)</f>
        <v>0</v>
      </c>
      <c r="R35" s="187">
        <f t="shared" si="5"/>
        <v>2214.3300000000008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2340.8200000000006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2318.2200000000007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2361.7500000000009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2404.5300000000011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2338.0200000000013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2020.3300000000013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1981.2800000000013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2111.2800000000016</v>
      </c>
      <c r="AZ35" s="188">
        <f t="shared" si="23"/>
        <v>2712.1600000000003</v>
      </c>
      <c r="BA35" s="21">
        <f t="shared" si="15"/>
        <v>6.7723713537601163E-2</v>
      </c>
      <c r="BB35" s="22">
        <f t="shared" si="20"/>
        <v>6</v>
      </c>
      <c r="BC35" s="22">
        <f t="shared" ca="1" si="16"/>
        <v>904.0533333333334</v>
      </c>
      <c r="BE35" s="224">
        <f t="shared" ca="1" si="17"/>
        <v>1464.1</v>
      </c>
      <c r="BF35" s="21">
        <f t="shared" ca="1" si="18"/>
        <v>0.10325950500887235</v>
      </c>
      <c r="BG35" s="22">
        <f t="shared" ca="1" si="21"/>
        <v>6</v>
      </c>
      <c r="BH35" s="22">
        <f t="shared" ca="1" si="19"/>
        <v>488.0333333333333</v>
      </c>
      <c r="BJ35" s="224">
        <f t="shared" ca="1" si="22"/>
        <v>532.97000000000025</v>
      </c>
    </row>
    <row r="36" spans="1:62" ht="15.75">
      <c r="A36" s="163" t="s">
        <v>334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290</v>
      </c>
      <c r="I36" s="164">
        <f>SUM('02'!D340:F340)</f>
        <v>230</v>
      </c>
      <c r="J36" s="156">
        <f t="shared" si="3"/>
        <v>1222.5100000000002</v>
      </c>
      <c r="K36" s="143" t="s">
        <v>2</v>
      </c>
      <c r="L36" s="164">
        <f>'03'!B340</f>
        <v>50</v>
      </c>
      <c r="M36" s="164">
        <f>SUM('03'!D340:F340)</f>
        <v>0</v>
      </c>
      <c r="N36" s="156">
        <f t="shared" si="4"/>
        <v>1272.5100000000002</v>
      </c>
      <c r="O36" s="143" t="s">
        <v>3</v>
      </c>
      <c r="P36" s="164">
        <f>'04'!B340</f>
        <v>50</v>
      </c>
      <c r="Q36" s="164">
        <f>SUM('04'!D340:F340)</f>
        <v>0</v>
      </c>
      <c r="R36" s="156">
        <f t="shared" si="5"/>
        <v>1322.5100000000002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1238.5100000000002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1246.5100000000002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1421.5100000000002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1083.9600000000003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1342.0800000000004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1427.0800000000004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1932.0800000000004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2022.0800000000004</v>
      </c>
      <c r="AZ36" s="182">
        <f t="shared" si="23"/>
        <v>1244.3799999999999</v>
      </c>
      <c r="BA36" s="21">
        <f t="shared" si="15"/>
        <v>3.1072663357589566E-2</v>
      </c>
      <c r="BB36" s="22">
        <f t="shared" si="20"/>
        <v>10</v>
      </c>
      <c r="BC36" s="22">
        <f t="shared" ca="1" si="16"/>
        <v>414.79333333333329</v>
      </c>
      <c r="BE36" s="223">
        <f t="shared" ca="1" si="17"/>
        <v>430.02</v>
      </c>
      <c r="BF36" s="21">
        <f t="shared" ca="1" si="18"/>
        <v>3.03282920182469E-2</v>
      </c>
      <c r="BG36" s="22">
        <f t="shared" ca="1" si="21"/>
        <v>12</v>
      </c>
      <c r="BH36" s="22">
        <f t="shared" ca="1" si="19"/>
        <v>143.34</v>
      </c>
      <c r="BJ36" s="223">
        <f t="shared" ca="1" si="22"/>
        <v>185.01999999999998</v>
      </c>
    </row>
    <row r="37" spans="1:62" ht="15.75">
      <c r="A37" s="146" t="s">
        <v>703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1010</v>
      </c>
      <c r="I37" s="165">
        <f>SUM('02'!D360:F360)</f>
        <v>44.68</v>
      </c>
      <c r="J37" s="151">
        <f t="shared" si="3"/>
        <v>1201.05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1211.05</v>
      </c>
      <c r="O37" s="148" t="s">
        <v>3</v>
      </c>
      <c r="P37" s="165">
        <f>'04'!B360</f>
        <v>10</v>
      </c>
      <c r="Q37" s="165">
        <f>SUM('04'!D360:F360)</f>
        <v>0</v>
      </c>
      <c r="R37" s="151">
        <f t="shared" si="5"/>
        <v>1221.05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1266.05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1351.05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1356.05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1401.05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1446.05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1491.05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1471.05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1516.05</v>
      </c>
      <c r="AZ37" s="152">
        <f t="shared" si="23"/>
        <v>173.98</v>
      </c>
      <c r="BA37" s="21">
        <f t="shared" si="15"/>
        <v>4.3443497733436998E-3</v>
      </c>
      <c r="BB37" s="22">
        <f t="shared" si="20"/>
        <v>19</v>
      </c>
      <c r="BC37" s="22">
        <f t="shared" ca="1" si="16"/>
        <v>57.993333333333332</v>
      </c>
      <c r="BE37" s="224">
        <f t="shared" ca="1" si="17"/>
        <v>1025</v>
      </c>
      <c r="BF37" s="21">
        <f t="shared" ca="1" si="18"/>
        <v>7.2290822098281651E-2</v>
      </c>
      <c r="BG37" s="22">
        <f t="shared" ca="1" si="21"/>
        <v>8</v>
      </c>
      <c r="BH37" s="22">
        <f t="shared" ca="1" si="19"/>
        <v>341.66666666666669</v>
      </c>
      <c r="BJ37" s="224">
        <f t="shared" ca="1" si="22"/>
        <v>980.31999999999994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22</v>
      </c>
      <c r="J38" s="156">
        <f t="shared" si="3"/>
        <v>233.59000000000009</v>
      </c>
      <c r="K38" s="143" t="s">
        <v>2</v>
      </c>
      <c r="L38" s="166">
        <f>'03'!B380</f>
        <v>40</v>
      </c>
      <c r="M38" s="166">
        <f>SUM('03'!D380:F380)</f>
        <v>3.5</v>
      </c>
      <c r="N38" s="156">
        <f t="shared" si="4"/>
        <v>270.09000000000009</v>
      </c>
      <c r="O38" s="143" t="s">
        <v>3</v>
      </c>
      <c r="P38" s="166">
        <f>'04'!B380</f>
        <v>40</v>
      </c>
      <c r="Q38" s="166">
        <f>SUM('04'!D380:F380)</f>
        <v>0</v>
      </c>
      <c r="R38" s="156">
        <f t="shared" si="5"/>
        <v>310.09000000000009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297.80000000000007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298.70000000000005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325.10000000000002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353.8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375.8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423.3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405.27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465.27</v>
      </c>
      <c r="AZ38" s="157">
        <f t="shared" si="23"/>
        <v>434.23</v>
      </c>
      <c r="BA38" s="21">
        <f t="shared" si="15"/>
        <v>1.0842895747091819E-2</v>
      </c>
      <c r="BB38" s="22">
        <f t="shared" si="20"/>
        <v>14</v>
      </c>
      <c r="BC38" s="22">
        <f t="shared" ca="1" si="16"/>
        <v>144.74333333333334</v>
      </c>
      <c r="BE38" s="225">
        <f t="shared" ca="1" si="17"/>
        <v>150</v>
      </c>
      <c r="BF38" s="21">
        <f t="shared" ca="1" si="18"/>
        <v>1.0579144697309509E-2</v>
      </c>
      <c r="BG38" s="22">
        <f t="shared" ca="1" si="21"/>
        <v>16</v>
      </c>
      <c r="BH38" s="22">
        <f t="shared" ca="1" si="19"/>
        <v>50</v>
      </c>
      <c r="BJ38" s="225">
        <f t="shared" ca="1" si="22"/>
        <v>95.59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-1299.99</v>
      </c>
      <c r="I39" s="165">
        <f>SUM('02'!D400:F400)</f>
        <v>0</v>
      </c>
      <c r="J39" s="151">
        <f t="shared" si="3"/>
        <v>209.29078798099022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229.29078798099022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249.29078798099022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-1085.7092120190098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-1065.7092120190098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-1105.7092120190098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-1090.7092120190098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-1075.7092120190098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357.31157596198045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372.31157596198045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382.31157596198045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-1269.99</v>
      </c>
      <c r="BF39" s="21">
        <f t="shared" ca="1" si="18"/>
        <v>-8.9569386494240691E-2</v>
      </c>
      <c r="BG39" s="22">
        <f t="shared" ca="1" si="21"/>
        <v>24</v>
      </c>
      <c r="BH39" s="22">
        <f t="shared" ca="1" si="19"/>
        <v>-423.33</v>
      </c>
      <c r="BJ39" s="224">
        <f t="shared" ca="1" si="22"/>
        <v>-1269.99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-6461.97</v>
      </c>
      <c r="I40" s="166">
        <f>SUM('02'!D420:F420)</f>
        <v>0</v>
      </c>
      <c r="J40" s="156">
        <f t="shared" si="3"/>
        <v>889.69610403802017</v>
      </c>
      <c r="K40" s="143" t="s">
        <v>2</v>
      </c>
      <c r="L40" s="166">
        <f>'03'!B420</f>
        <v>50</v>
      </c>
      <c r="M40" s="166">
        <f>SUM('03'!D420:F420)</f>
        <v>2.73</v>
      </c>
      <c r="N40" s="156">
        <f>J40+L40-M40</f>
        <v>936.96610403802015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986.96610403802015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-8.8938959619798652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38.126104038020138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-63.913895961979854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-17.023895961979854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29.886104038020147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1337.9222080760394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1428.4522080760394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1478.4522080760394</v>
      </c>
      <c r="AZ40" s="157">
        <f t="shared" si="23"/>
        <v>81.63000000000001</v>
      </c>
      <c r="BA40" s="21">
        <f t="shared" si="15"/>
        <v>2.0383335555698716E-3</v>
      </c>
      <c r="BB40" s="22">
        <f t="shared" si="20"/>
        <v>21</v>
      </c>
      <c r="BC40" s="22">
        <f t="shared" ca="1" si="16"/>
        <v>27.210000000000004</v>
      </c>
      <c r="BE40" s="225">
        <f t="shared" ca="1" si="17"/>
        <v>-6380.22</v>
      </c>
      <c r="BF40" s="21">
        <f t="shared" ca="1" si="18"/>
        <v>-0.44998180387112052</v>
      </c>
      <c r="BG40" s="22">
        <f t="shared" ca="1" si="21"/>
        <v>26</v>
      </c>
      <c r="BH40" s="22">
        <f t="shared" ca="1" si="19"/>
        <v>-2126.7400000000002</v>
      </c>
      <c r="BJ40" s="225">
        <f t="shared" ca="1" si="22"/>
        <v>-6397.4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587.17999999999847</v>
      </c>
      <c r="I41" s="165">
        <f>SUM('02'!D440:F440)</f>
        <v>0</v>
      </c>
      <c r="J41" s="151">
        <f t="shared" si="3"/>
        <v>8260</v>
      </c>
      <c r="K41" s="148" t="s">
        <v>2</v>
      </c>
      <c r="L41" s="165">
        <f>'03'!B440</f>
        <v>-3191.6499999999996</v>
      </c>
      <c r="M41" s="165">
        <f>SUM('03'!D440:F440)</f>
        <v>0</v>
      </c>
      <c r="N41" s="151">
        <f t="shared" si="4"/>
        <v>5068.3500000000004</v>
      </c>
      <c r="O41" s="148" t="s">
        <v>3</v>
      </c>
      <c r="P41" s="165">
        <f>'04'!B440</f>
        <v>-4300</v>
      </c>
      <c r="Q41" s="165">
        <f>SUM('04'!D440:F440)</f>
        <v>0</v>
      </c>
      <c r="R41" s="151">
        <f t="shared" si="5"/>
        <v>768.35000000000036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-5189.6899999999996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-9283.84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-13456.650000000001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-17703.04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-22685.010000000002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-26695.06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-31465.780000000002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-35365.78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-3506.7700000000013</v>
      </c>
      <c r="BF41" s="21">
        <f t="shared" ca="1" si="18"/>
        <v>-0.24732418166789388</v>
      </c>
      <c r="BG41" s="22">
        <f t="shared" ca="1" si="21"/>
        <v>25</v>
      </c>
      <c r="BH41" s="22">
        <f t="shared" ca="1" si="19"/>
        <v>-1168.9233333333339</v>
      </c>
      <c r="BJ41" s="224">
        <f t="shared" ca="1" si="22"/>
        <v>-3506.7700000000023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8315.9500000000007</v>
      </c>
      <c r="I42" s="166">
        <f>SUM('02'!D460:F460)</f>
        <v>0</v>
      </c>
      <c r="J42" s="156">
        <f t="shared" si="3"/>
        <v>10115.990000000002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10115.990000000002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10115.990000000002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14160.250000000002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14160.250000000002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14160.250000000002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14160.250000000002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14160.250000000002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10115.990000000002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10115.990000000002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10115.990000000002</v>
      </c>
      <c r="AZ42" s="157">
        <f t="shared" si="23"/>
        <v>1.98</v>
      </c>
      <c r="BA42" s="21">
        <f t="shared" si="15"/>
        <v>4.9441387235432376E-5</v>
      </c>
      <c r="BB42" s="22">
        <f t="shared" si="20"/>
        <v>22</v>
      </c>
      <c r="BC42" s="22">
        <f t="shared" ca="1" si="16"/>
        <v>0.66</v>
      </c>
      <c r="BE42" s="225">
        <f t="shared" ca="1" si="17"/>
        <v>8315.9500000000007</v>
      </c>
      <c r="BF42" s="21">
        <f t="shared" ca="1" si="18"/>
        <v>0.58650425563727349</v>
      </c>
      <c r="BG42" s="22">
        <f t="shared" ca="1" si="21"/>
        <v>1</v>
      </c>
      <c r="BH42" s="22">
        <f t="shared" ca="1" si="19"/>
        <v>2771.9833333333336</v>
      </c>
      <c r="BJ42" s="225">
        <f t="shared" ca="1" si="22"/>
        <v>8313.9700000000012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0</v>
      </c>
      <c r="Q43" s="149">
        <f>SUM('04'!D480:F480)</f>
        <v>0</v>
      </c>
      <c r="R43" s="151">
        <f t="shared" si="5"/>
        <v>0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-400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-390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-325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-810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-745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455.50919055649229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541.85919055649231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686.24919055649229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22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5</v>
      </c>
      <c r="Q45" s="175">
        <f>SUM('04'!D520:F520)</f>
        <v>0</v>
      </c>
      <c r="R45" s="176">
        <f t="shared" si="5"/>
        <v>50.930000000000035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50.930000000000035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50.930000000000035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50.930000000000035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47.500000000000036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42.500000000000036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-39.479999999999968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-49.479999999999968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-44.479999999999968</v>
      </c>
      <c r="AZ45" s="177">
        <f t="shared" si="23"/>
        <v>120.41</v>
      </c>
      <c r="BA45" s="21">
        <f t="shared" si="15"/>
        <v>3.0066855742517237E-3</v>
      </c>
      <c r="BB45" s="22">
        <f t="shared" si="20"/>
        <v>20</v>
      </c>
      <c r="BC45" s="22">
        <f t="shared" ca="1" si="16"/>
        <v>40.136666666666663</v>
      </c>
      <c r="BE45" s="226">
        <f t="shared" ca="1" si="17"/>
        <v>15</v>
      </c>
      <c r="BF45" s="21">
        <f t="shared" ca="1" si="18"/>
        <v>1.0579144697309508E-3</v>
      </c>
      <c r="BG45" s="22">
        <f t="shared" ca="1" si="21"/>
        <v>20</v>
      </c>
      <c r="BH45" s="22">
        <f t="shared" ca="1" si="19"/>
        <v>5</v>
      </c>
      <c r="BJ45" s="226">
        <f t="shared" ca="1" si="22"/>
        <v>15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7967.5899999999992</v>
      </c>
      <c r="I46" s="219">
        <f>SUM(I20:I45)</f>
        <v>6570.8499999999985</v>
      </c>
      <c r="J46" s="220">
        <f>SUM(J20:J45)</f>
        <v>35235.827680000002</v>
      </c>
      <c r="K46" s="218"/>
      <c r="L46" s="219">
        <f>SUM(L20:L45)</f>
        <v>1072.21</v>
      </c>
      <c r="M46" s="219">
        <f>SUM(M20:M45)</f>
        <v>1085.5700000000002</v>
      </c>
      <c r="N46" s="220">
        <f>SUM(N20:N45)</f>
        <v>35222.467679999994</v>
      </c>
      <c r="O46" s="218"/>
      <c r="P46" s="219">
        <f>SUM(P20:P45)</f>
        <v>-169.98999999999978</v>
      </c>
      <c r="Q46" s="219">
        <f>SUM(Q20:Q45)</f>
        <v>0</v>
      </c>
      <c r="R46" s="220">
        <f>SUM(R20:R45)</f>
        <v>35052.477680000004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30945.147680000002</v>
      </c>
      <c r="W46" s="218"/>
      <c r="X46" s="219">
        <f>SUM(X20:X45)</f>
        <v>0</v>
      </c>
      <c r="Y46" s="219">
        <f>SUM(Y20:Y45)</f>
        <v>3824.44</v>
      </c>
      <c r="Z46" s="220">
        <f>SUM(Z20:Z45)</f>
        <v>27120.70768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21717.237679999991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17863.157680000004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13712.397680000004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9753.7153599999947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6916.1953600000006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6891.3253600000016</v>
      </c>
      <c r="AZ46" s="227">
        <f>SUM(AZ20:AZ45)</f>
        <v>40047.420000000013</v>
      </c>
      <c r="BA46" s="1"/>
      <c r="BB46" s="1"/>
      <c r="BC46" s="124">
        <f ca="1">SUM(BC20:BC45)</f>
        <v>13349.139999999998</v>
      </c>
      <c r="BE46" s="227">
        <f ca="1">SUM(BE20:BE45)</f>
        <v>14178.840000000004</v>
      </c>
      <c r="BF46" s="1"/>
      <c r="BG46" s="1"/>
      <c r="BH46" s="124">
        <f ca="1">SUM(BH20:BH45)</f>
        <v>4726.28</v>
      </c>
      <c r="BJ46" s="227">
        <f ca="1">SUM(BJ20:BJ45)</f>
        <v>1643.4700000000003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0</v>
      </c>
      <c r="I47" s="125">
        <f>G17-I46</f>
        <v>1396.7399999999998</v>
      </c>
      <c r="J47" s="125"/>
      <c r="K47" s="125">
        <f>K5-J46</f>
        <v>2.3199999995995313E-3</v>
      </c>
      <c r="L47" s="125">
        <f>K17-L46</f>
        <v>170</v>
      </c>
      <c r="M47" s="125">
        <f>K17-M46</f>
        <v>156.63999999999987</v>
      </c>
      <c r="N47" s="125"/>
      <c r="O47" s="125">
        <f>O5-N46</f>
        <v>-35222.467679999994</v>
      </c>
      <c r="P47" s="125">
        <f>O17-P46</f>
        <v>169.98999999999978</v>
      </c>
      <c r="Q47" s="125">
        <f>O17-Q46</f>
        <v>0</v>
      </c>
      <c r="R47" s="125"/>
      <c r="S47" s="125">
        <f>S5-R46</f>
        <v>-7889.3876799999998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-1931.0676800000037</v>
      </c>
      <c r="X47" s="125">
        <f>W17-X46</f>
        <v>0</v>
      </c>
      <c r="Y47" s="125">
        <f>W17-Y46</f>
        <v>-3824.44</v>
      </c>
      <c r="Z47" s="125"/>
      <c r="AA47" s="125">
        <f>AA5-Z46</f>
        <v>2162.2523199999996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7449.6123200000111</v>
      </c>
      <c r="AF47" s="125">
        <f>AE17-AF46</f>
        <v>0</v>
      </c>
      <c r="AG47" s="125">
        <f>AE17-AG46</f>
        <v>-3854.08</v>
      </c>
      <c r="AH47" s="125"/>
      <c r="AI47" s="125">
        <f>AI5-AH46</f>
        <v>11395.102319999998</v>
      </c>
      <c r="AJ47" s="125">
        <f>AI17-AJ46</f>
        <v>0</v>
      </c>
      <c r="AK47" s="125">
        <f>AI17-AK46</f>
        <v>-4150.76</v>
      </c>
      <c r="AL47" s="125"/>
      <c r="AM47" s="125">
        <f>AM5-AL46</f>
        <v>16377.072319999997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20349.66464000001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23187.184640000003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160189.67999999996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3" t="s">
        <v>147</v>
      </c>
      <c r="D52" s="374"/>
      <c r="E52" s="374"/>
      <c r="F52" s="375"/>
      <c r="G52" s="373" t="s">
        <v>147</v>
      </c>
      <c r="H52" s="374"/>
      <c r="I52" s="374"/>
      <c r="J52" s="375"/>
      <c r="K52" s="373" t="s">
        <v>147</v>
      </c>
      <c r="L52" s="374"/>
      <c r="M52" s="374"/>
      <c r="N52" s="375"/>
      <c r="O52" s="373" t="s">
        <v>147</v>
      </c>
      <c r="P52" s="374"/>
      <c r="Q52" s="374"/>
      <c r="R52" s="375"/>
      <c r="S52" s="373" t="s">
        <v>147</v>
      </c>
      <c r="T52" s="374"/>
      <c r="U52" s="374"/>
      <c r="V52" s="375"/>
      <c r="W52" s="373" t="s">
        <v>147</v>
      </c>
      <c r="X52" s="374"/>
      <c r="Y52" s="374"/>
      <c r="Z52" s="375"/>
      <c r="AA52" s="373" t="s">
        <v>147</v>
      </c>
      <c r="AB52" s="374"/>
      <c r="AC52" s="374"/>
      <c r="AD52" s="375"/>
      <c r="AE52" s="373" t="s">
        <v>147</v>
      </c>
      <c r="AF52" s="374"/>
      <c r="AG52" s="374"/>
      <c r="AH52" s="375"/>
      <c r="AI52" s="373" t="s">
        <v>147</v>
      </c>
      <c r="AJ52" s="374"/>
      <c r="AK52" s="374"/>
      <c r="AL52" s="375"/>
      <c r="AM52" s="373" t="s">
        <v>147</v>
      </c>
      <c r="AN52" s="374"/>
      <c r="AO52" s="374"/>
      <c r="AP52" s="375"/>
      <c r="AQ52" s="373" t="s">
        <v>147</v>
      </c>
      <c r="AR52" s="374"/>
      <c r="AS52" s="374"/>
      <c r="AT52" s="375"/>
      <c r="AU52" s="373" t="s">
        <v>147</v>
      </c>
      <c r="AV52" s="374"/>
      <c r="AW52" s="374"/>
      <c r="AX52" s="375"/>
    </row>
    <row r="53" spans="2:62" ht="15.75" thickBot="1">
      <c r="C53" s="93" t="s">
        <v>148</v>
      </c>
      <c r="D53" s="376" t="s">
        <v>29</v>
      </c>
      <c r="E53" s="377"/>
      <c r="F53" s="94" t="s">
        <v>86</v>
      </c>
      <c r="G53" s="93" t="s">
        <v>148</v>
      </c>
      <c r="H53" s="376" t="s">
        <v>29</v>
      </c>
      <c r="I53" s="377"/>
      <c r="J53" s="94" t="s">
        <v>86</v>
      </c>
      <c r="K53" s="93" t="s">
        <v>148</v>
      </c>
      <c r="L53" s="376" t="s">
        <v>29</v>
      </c>
      <c r="M53" s="377"/>
      <c r="N53" s="94" t="s">
        <v>86</v>
      </c>
      <c r="O53" s="93" t="s">
        <v>148</v>
      </c>
      <c r="P53" s="376" t="s">
        <v>29</v>
      </c>
      <c r="Q53" s="377"/>
      <c r="R53" s="94" t="s">
        <v>86</v>
      </c>
      <c r="S53" s="93" t="s">
        <v>148</v>
      </c>
      <c r="T53" s="376" t="s">
        <v>29</v>
      </c>
      <c r="U53" s="377"/>
      <c r="V53" s="94" t="s">
        <v>86</v>
      </c>
      <c r="W53" s="93" t="s">
        <v>148</v>
      </c>
      <c r="X53" s="376" t="s">
        <v>29</v>
      </c>
      <c r="Y53" s="377"/>
      <c r="Z53" s="94" t="s">
        <v>86</v>
      </c>
      <c r="AA53" s="93" t="s">
        <v>148</v>
      </c>
      <c r="AB53" s="376" t="s">
        <v>29</v>
      </c>
      <c r="AC53" s="377"/>
      <c r="AD53" s="94" t="s">
        <v>86</v>
      </c>
      <c r="AE53" s="93" t="s">
        <v>148</v>
      </c>
      <c r="AF53" s="376" t="s">
        <v>29</v>
      </c>
      <c r="AG53" s="377"/>
      <c r="AH53" s="94" t="s">
        <v>86</v>
      </c>
      <c r="AI53" s="93" t="s">
        <v>148</v>
      </c>
      <c r="AJ53" s="376" t="s">
        <v>29</v>
      </c>
      <c r="AK53" s="377"/>
      <c r="AL53" s="94" t="s">
        <v>86</v>
      </c>
      <c r="AM53" s="93" t="s">
        <v>148</v>
      </c>
      <c r="AN53" s="376" t="s">
        <v>29</v>
      </c>
      <c r="AO53" s="377"/>
      <c r="AP53" s="94" t="s">
        <v>86</v>
      </c>
      <c r="AQ53" s="93" t="s">
        <v>148</v>
      </c>
      <c r="AR53" s="376" t="s">
        <v>29</v>
      </c>
      <c r="AS53" s="377"/>
      <c r="AT53" s="94" t="s">
        <v>86</v>
      </c>
      <c r="AU53" s="93" t="s">
        <v>148</v>
      </c>
      <c r="AV53" s="376" t="s">
        <v>29</v>
      </c>
      <c r="AW53" s="377"/>
      <c r="AX53" s="94" t="s">
        <v>86</v>
      </c>
    </row>
    <row r="54" spans="2:62">
      <c r="C54" s="95">
        <v>43832</v>
      </c>
      <c r="D54" s="378" t="s">
        <v>746</v>
      </c>
      <c r="E54" s="379"/>
      <c r="F54" s="98"/>
      <c r="G54" s="95">
        <v>43862</v>
      </c>
      <c r="H54" s="378" t="s">
        <v>776</v>
      </c>
      <c r="I54" s="379"/>
      <c r="J54" s="343">
        <v>1200</v>
      </c>
      <c r="K54" s="95"/>
      <c r="L54" s="384" t="s">
        <v>835</v>
      </c>
      <c r="M54" s="385"/>
      <c r="N54" s="100"/>
      <c r="O54" s="95"/>
      <c r="P54" s="389"/>
      <c r="Q54" s="390"/>
      <c r="R54" s="102"/>
      <c r="S54" s="95"/>
      <c r="T54" s="384"/>
      <c r="U54" s="385"/>
      <c r="V54" s="103"/>
      <c r="W54" s="95"/>
      <c r="X54" s="384"/>
      <c r="Y54" s="385"/>
      <c r="Z54" s="104"/>
      <c r="AA54" s="95"/>
      <c r="AB54" s="391"/>
      <c r="AC54" s="392"/>
      <c r="AD54" s="239"/>
      <c r="AE54" s="95"/>
      <c r="AF54" s="391"/>
      <c r="AG54" s="392"/>
      <c r="AH54" s="239"/>
      <c r="AI54" s="95"/>
      <c r="AJ54" s="391"/>
      <c r="AK54" s="392"/>
      <c r="AL54" s="239"/>
      <c r="AM54" s="95"/>
      <c r="AN54" s="391"/>
      <c r="AO54" s="392"/>
      <c r="AP54" s="239"/>
      <c r="AQ54" s="95"/>
      <c r="AR54" s="391"/>
      <c r="AS54" s="392"/>
      <c r="AT54" s="239"/>
      <c r="AU54" s="95"/>
      <c r="AV54" s="378"/>
      <c r="AW54" s="379"/>
      <c r="AX54" s="100"/>
    </row>
    <row r="55" spans="2:62">
      <c r="C55" s="96"/>
      <c r="D55" s="382"/>
      <c r="E55" s="383"/>
      <c r="F55" s="98"/>
      <c r="G55" s="96">
        <v>43862</v>
      </c>
      <c r="H55" s="382" t="s">
        <v>777</v>
      </c>
      <c r="I55" s="383"/>
      <c r="J55" s="100"/>
      <c r="K55" s="96"/>
      <c r="L55" s="382"/>
      <c r="M55" s="383"/>
      <c r="N55" s="100"/>
      <c r="O55" s="96"/>
      <c r="P55" s="382"/>
      <c r="Q55" s="383"/>
      <c r="R55" s="100"/>
      <c r="S55" s="96"/>
      <c r="T55" s="382"/>
      <c r="U55" s="383"/>
      <c r="V55" s="100"/>
      <c r="W55" s="96"/>
      <c r="X55" s="382"/>
      <c r="Y55" s="383"/>
      <c r="Z55" s="100"/>
      <c r="AA55" s="96"/>
      <c r="AB55" s="382"/>
      <c r="AC55" s="383"/>
      <c r="AD55" s="100"/>
      <c r="AE55" s="96"/>
      <c r="AF55" s="382"/>
      <c r="AG55" s="383"/>
      <c r="AH55" s="100"/>
      <c r="AI55" s="96"/>
      <c r="AJ55" s="382"/>
      <c r="AK55" s="383"/>
      <c r="AL55" s="100"/>
      <c r="AM55" s="96"/>
      <c r="AN55" s="393"/>
      <c r="AO55" s="394"/>
      <c r="AP55" s="100"/>
      <c r="AQ55" s="96"/>
      <c r="AR55" s="382"/>
      <c r="AS55" s="383"/>
      <c r="AT55" s="100"/>
      <c r="AU55" s="96"/>
      <c r="AV55" s="382"/>
      <c r="AW55" s="383"/>
      <c r="AX55" s="100"/>
    </row>
    <row r="56" spans="2:62">
      <c r="B56" s="119"/>
      <c r="C56" s="96">
        <v>43860</v>
      </c>
      <c r="D56" s="382" t="s">
        <v>151</v>
      </c>
      <c r="E56" s="383"/>
      <c r="F56" s="98"/>
      <c r="G56" s="96">
        <v>43876</v>
      </c>
      <c r="H56" s="382" t="s">
        <v>746</v>
      </c>
      <c r="I56" s="383"/>
      <c r="J56" s="100"/>
      <c r="K56" s="96"/>
      <c r="L56" s="382"/>
      <c r="M56" s="383"/>
      <c r="N56" s="100"/>
      <c r="O56" s="96"/>
      <c r="P56" s="391"/>
      <c r="Q56" s="392"/>
      <c r="R56" s="102"/>
      <c r="S56" s="96"/>
      <c r="T56" s="382"/>
      <c r="U56" s="383"/>
      <c r="V56" s="100"/>
      <c r="W56" s="96"/>
      <c r="X56" s="382"/>
      <c r="Y56" s="383"/>
      <c r="Z56" s="100"/>
      <c r="AA56" s="96"/>
      <c r="AB56" s="382"/>
      <c r="AC56" s="383"/>
      <c r="AD56" s="100"/>
      <c r="AE56" s="96"/>
      <c r="AF56" s="382"/>
      <c r="AG56" s="383"/>
      <c r="AH56" s="100"/>
      <c r="AI56" s="96"/>
      <c r="AJ56" s="393"/>
      <c r="AK56" s="394"/>
      <c r="AL56" s="100"/>
      <c r="AM56" s="96"/>
      <c r="AN56" s="393"/>
      <c r="AO56" s="394"/>
      <c r="AP56" s="100"/>
      <c r="AQ56" s="96"/>
      <c r="AR56" s="382"/>
      <c r="AS56" s="383"/>
      <c r="AT56" s="100"/>
      <c r="AU56" s="96"/>
      <c r="AV56" s="382"/>
      <c r="AW56" s="383"/>
      <c r="AX56" s="100"/>
    </row>
    <row r="57" spans="2:62">
      <c r="C57" s="96"/>
      <c r="D57" s="382"/>
      <c r="E57" s="383"/>
      <c r="F57" s="98"/>
      <c r="G57" s="96">
        <v>43881</v>
      </c>
      <c r="H57" s="382" t="s">
        <v>149</v>
      </c>
      <c r="I57" s="383"/>
      <c r="J57" s="100" t="s">
        <v>816</v>
      </c>
      <c r="K57" s="96"/>
      <c r="L57" s="382"/>
      <c r="M57" s="383"/>
      <c r="N57" s="100"/>
      <c r="O57" s="96"/>
      <c r="P57" s="386"/>
      <c r="Q57" s="387"/>
      <c r="R57" s="100"/>
      <c r="S57" s="96"/>
      <c r="T57" s="382"/>
      <c r="U57" s="383"/>
      <c r="V57" s="100"/>
      <c r="W57" s="96"/>
      <c r="X57" s="382"/>
      <c r="Y57" s="383"/>
      <c r="Z57" s="100"/>
      <c r="AA57" s="96"/>
      <c r="AB57" s="399"/>
      <c r="AC57" s="400"/>
      <c r="AD57" s="100"/>
      <c r="AE57" s="96"/>
      <c r="AF57" s="382"/>
      <c r="AG57" s="383"/>
      <c r="AH57" s="100"/>
      <c r="AI57" s="96"/>
      <c r="AJ57" s="393"/>
      <c r="AK57" s="394"/>
      <c r="AL57" s="100"/>
      <c r="AM57" s="96"/>
      <c r="AN57" s="393"/>
      <c r="AO57" s="394"/>
      <c r="AP57" s="100"/>
      <c r="AQ57" s="96"/>
      <c r="AR57" s="382"/>
      <c r="AS57" s="383"/>
      <c r="AT57" s="100"/>
      <c r="AU57" s="96"/>
      <c r="AV57" s="382"/>
      <c r="AW57" s="383"/>
      <c r="AX57" s="100"/>
    </row>
    <row r="58" spans="2:62">
      <c r="C58" s="96"/>
      <c r="D58" s="382"/>
      <c r="E58" s="383"/>
      <c r="F58" s="98"/>
      <c r="G58" s="96">
        <v>43889</v>
      </c>
      <c r="H58" s="382" t="s">
        <v>815</v>
      </c>
      <c r="I58" s="383"/>
      <c r="J58" s="100" t="s">
        <v>816</v>
      </c>
      <c r="K58" s="96"/>
      <c r="L58" s="382"/>
      <c r="M58" s="383"/>
      <c r="N58" s="100"/>
      <c r="O58" s="96"/>
      <c r="P58" s="382"/>
      <c r="Q58" s="383"/>
      <c r="R58" s="100"/>
      <c r="S58" s="96"/>
      <c r="T58" s="382"/>
      <c r="U58" s="383"/>
      <c r="V58" s="100"/>
      <c r="W58" s="96"/>
      <c r="X58" s="382"/>
      <c r="Y58" s="383"/>
      <c r="Z58" s="100"/>
      <c r="AA58" s="96"/>
      <c r="AB58" s="399"/>
      <c r="AC58" s="400"/>
      <c r="AD58" s="100"/>
      <c r="AE58" s="96"/>
      <c r="AF58" s="382"/>
      <c r="AG58" s="383"/>
      <c r="AH58" s="100"/>
      <c r="AI58" s="96"/>
      <c r="AJ58" s="395"/>
      <c r="AK58" s="396"/>
      <c r="AL58" s="100"/>
      <c r="AM58" s="96"/>
      <c r="AN58" s="393"/>
      <c r="AO58" s="394"/>
      <c r="AP58" s="100"/>
      <c r="AQ58" s="96"/>
      <c r="AR58" s="382"/>
      <c r="AS58" s="383"/>
      <c r="AT58" s="100"/>
      <c r="AU58" s="96"/>
      <c r="AV58" s="382"/>
      <c r="AW58" s="383"/>
      <c r="AX58" s="100"/>
    </row>
    <row r="59" spans="2:62">
      <c r="C59" s="96"/>
      <c r="D59" s="382"/>
      <c r="E59" s="383"/>
      <c r="F59" s="98"/>
      <c r="G59" s="96"/>
      <c r="H59" s="382"/>
      <c r="I59" s="383"/>
      <c r="J59" s="100"/>
      <c r="K59" s="96">
        <v>43918</v>
      </c>
      <c r="L59" s="382" t="s">
        <v>815</v>
      </c>
      <c r="M59" s="383"/>
      <c r="N59" s="100">
        <v>10</v>
      </c>
      <c r="O59" s="96"/>
      <c r="P59" s="382"/>
      <c r="Q59" s="383"/>
      <c r="R59" s="100"/>
      <c r="S59" s="96"/>
      <c r="T59" s="393"/>
      <c r="U59" s="394"/>
      <c r="V59" s="100"/>
      <c r="W59" s="96"/>
      <c r="X59" s="393"/>
      <c r="Y59" s="394"/>
      <c r="Z59" s="100"/>
      <c r="AA59" s="96"/>
      <c r="AB59" s="393"/>
      <c r="AC59" s="394"/>
      <c r="AD59" s="100"/>
      <c r="AE59" s="96"/>
      <c r="AF59" s="382"/>
      <c r="AG59" s="383"/>
      <c r="AH59" s="100"/>
      <c r="AI59" s="96"/>
      <c r="AJ59" s="395"/>
      <c r="AK59" s="396"/>
      <c r="AL59" s="100"/>
      <c r="AM59" s="96"/>
      <c r="AN59" s="403"/>
      <c r="AO59" s="404"/>
      <c r="AP59" s="100"/>
      <c r="AQ59" s="96"/>
      <c r="AR59" s="382"/>
      <c r="AS59" s="383"/>
      <c r="AT59" s="100"/>
      <c r="AU59" s="96"/>
      <c r="AV59" s="382"/>
      <c r="AW59" s="383"/>
      <c r="AX59" s="100"/>
    </row>
    <row r="60" spans="2:62">
      <c r="C60" s="96"/>
      <c r="D60" s="382"/>
      <c r="E60" s="383"/>
      <c r="F60" s="98"/>
      <c r="G60" s="96"/>
      <c r="H60" s="382"/>
      <c r="I60" s="383"/>
      <c r="J60" s="100"/>
      <c r="K60" s="235"/>
      <c r="L60" s="386"/>
      <c r="M60" s="387"/>
      <c r="N60" s="236"/>
      <c r="O60" s="96"/>
      <c r="P60" s="382"/>
      <c r="Q60" s="383"/>
      <c r="R60" s="100"/>
      <c r="S60" s="96"/>
      <c r="T60" s="393"/>
      <c r="U60" s="394"/>
      <c r="V60" s="100"/>
      <c r="W60" s="96"/>
      <c r="X60" s="395"/>
      <c r="Y60" s="396"/>
      <c r="Z60" s="100"/>
      <c r="AA60" s="96"/>
      <c r="AB60" s="395"/>
      <c r="AC60" s="396"/>
      <c r="AD60" s="100"/>
      <c r="AE60" s="96"/>
      <c r="AF60" s="393"/>
      <c r="AG60" s="394"/>
      <c r="AH60" s="100"/>
      <c r="AI60" s="96"/>
      <c r="AJ60" s="395"/>
      <c r="AK60" s="396"/>
      <c r="AL60" s="100"/>
      <c r="AM60" s="96"/>
      <c r="AN60" s="395"/>
      <c r="AO60" s="396"/>
      <c r="AP60" s="100"/>
      <c r="AQ60" s="96"/>
      <c r="AR60" s="382"/>
      <c r="AS60" s="383"/>
      <c r="AT60" s="100"/>
      <c r="AU60" s="96"/>
      <c r="AV60" s="382"/>
      <c r="AW60" s="383"/>
      <c r="AX60" s="100"/>
    </row>
    <row r="61" spans="2:62">
      <c r="C61" s="96"/>
      <c r="D61" s="382"/>
      <c r="E61" s="383"/>
      <c r="F61" s="98"/>
      <c r="G61" s="96"/>
      <c r="H61" s="382"/>
      <c r="I61" s="383"/>
      <c r="J61" s="100"/>
      <c r="K61" s="96"/>
      <c r="L61" s="388"/>
      <c r="M61" s="383"/>
      <c r="N61" s="100"/>
      <c r="O61" s="96"/>
      <c r="P61" s="382"/>
      <c r="Q61" s="383"/>
      <c r="R61" s="100"/>
      <c r="S61" s="96"/>
      <c r="T61" s="393"/>
      <c r="U61" s="394"/>
      <c r="V61" s="100"/>
      <c r="W61" s="96"/>
      <c r="X61" s="395"/>
      <c r="Y61" s="396"/>
      <c r="Z61" s="100"/>
      <c r="AA61" s="96"/>
      <c r="AB61" s="395"/>
      <c r="AC61" s="396"/>
      <c r="AD61" s="100"/>
      <c r="AE61" s="96"/>
      <c r="AF61" s="395"/>
      <c r="AG61" s="396"/>
      <c r="AH61" s="100"/>
      <c r="AI61" s="96"/>
      <c r="AJ61" s="395"/>
      <c r="AK61" s="396"/>
      <c r="AL61" s="100"/>
      <c r="AM61" s="96"/>
      <c r="AN61" s="395"/>
      <c r="AO61" s="396"/>
      <c r="AP61" s="100"/>
      <c r="AQ61" s="96"/>
      <c r="AR61" s="382"/>
      <c r="AS61" s="383"/>
      <c r="AT61" s="100"/>
      <c r="AU61" s="96"/>
      <c r="AV61" s="382"/>
      <c r="AW61" s="383"/>
      <c r="AX61" s="100"/>
    </row>
    <row r="62" spans="2:62">
      <c r="C62" s="96"/>
      <c r="D62" s="382"/>
      <c r="E62" s="383"/>
      <c r="F62" s="98"/>
      <c r="G62" s="96"/>
      <c r="H62" s="382"/>
      <c r="I62" s="383"/>
      <c r="J62" s="100"/>
      <c r="K62" s="96"/>
      <c r="L62" s="382"/>
      <c r="M62" s="383"/>
      <c r="N62" s="100"/>
      <c r="O62" s="96"/>
      <c r="P62" s="382"/>
      <c r="Q62" s="383"/>
      <c r="R62" s="100"/>
      <c r="S62" s="96"/>
      <c r="T62" s="393"/>
      <c r="U62" s="394"/>
      <c r="V62" s="100"/>
      <c r="W62" s="96"/>
      <c r="X62" s="395"/>
      <c r="Y62" s="396"/>
      <c r="Z62" s="100"/>
      <c r="AA62" s="96"/>
      <c r="AB62" s="395"/>
      <c r="AC62" s="396"/>
      <c r="AD62" s="100"/>
      <c r="AE62" s="96"/>
      <c r="AF62" s="395"/>
      <c r="AG62" s="396"/>
      <c r="AH62" s="100"/>
      <c r="AI62" s="96"/>
      <c r="AJ62" s="395"/>
      <c r="AK62" s="396"/>
      <c r="AL62" s="100"/>
      <c r="AM62" s="96"/>
      <c r="AN62" s="395"/>
      <c r="AO62" s="396"/>
      <c r="AP62" s="100"/>
      <c r="AQ62" s="96"/>
      <c r="AR62" s="382"/>
      <c r="AS62" s="383"/>
      <c r="AT62" s="100"/>
      <c r="AU62" s="96"/>
      <c r="AV62" s="382"/>
      <c r="AW62" s="383"/>
      <c r="AX62" s="100"/>
    </row>
    <row r="63" spans="2:62">
      <c r="C63" s="96"/>
      <c r="D63" s="382"/>
      <c r="E63" s="383"/>
      <c r="F63" s="98"/>
      <c r="G63" s="96"/>
      <c r="H63" s="382"/>
      <c r="I63" s="383"/>
      <c r="J63" s="100"/>
      <c r="K63" s="96"/>
      <c r="L63" s="382"/>
      <c r="M63" s="383"/>
      <c r="N63" s="100"/>
      <c r="O63" s="96"/>
      <c r="P63" s="382"/>
      <c r="Q63" s="383"/>
      <c r="R63" s="100"/>
      <c r="S63" s="96"/>
      <c r="T63" s="393"/>
      <c r="U63" s="394"/>
      <c r="V63" s="100"/>
      <c r="W63" s="96"/>
      <c r="X63" s="395"/>
      <c r="Y63" s="396"/>
      <c r="Z63" s="100"/>
      <c r="AA63" s="96"/>
      <c r="AB63" s="395"/>
      <c r="AC63" s="396"/>
      <c r="AD63" s="100"/>
      <c r="AE63" s="96"/>
      <c r="AF63" s="395"/>
      <c r="AG63" s="396"/>
      <c r="AH63" s="100"/>
      <c r="AI63" s="96"/>
      <c r="AJ63" s="395"/>
      <c r="AK63" s="396"/>
      <c r="AL63" s="100"/>
      <c r="AM63" s="96"/>
      <c r="AN63" s="395"/>
      <c r="AO63" s="396"/>
      <c r="AP63" s="100"/>
      <c r="AQ63" s="96"/>
      <c r="AR63" s="382"/>
      <c r="AS63" s="383"/>
      <c r="AT63" s="100"/>
      <c r="AU63" s="96"/>
      <c r="AV63" s="382"/>
      <c r="AW63" s="383"/>
      <c r="AX63" s="100"/>
    </row>
    <row r="64" spans="2:62">
      <c r="C64" s="96"/>
      <c r="D64" s="382"/>
      <c r="E64" s="383"/>
      <c r="F64" s="98"/>
      <c r="G64" s="96"/>
      <c r="H64" s="382"/>
      <c r="I64" s="383"/>
      <c r="J64" s="100"/>
      <c r="K64" s="96"/>
      <c r="L64" s="382"/>
      <c r="M64" s="383"/>
      <c r="N64" s="100"/>
      <c r="O64" s="96"/>
      <c r="P64" s="382"/>
      <c r="Q64" s="383"/>
      <c r="R64" s="100"/>
      <c r="S64" s="96"/>
      <c r="T64" s="393"/>
      <c r="U64" s="394"/>
      <c r="V64" s="100"/>
      <c r="W64" s="96"/>
      <c r="X64" s="395"/>
      <c r="Y64" s="396"/>
      <c r="Z64" s="100"/>
      <c r="AA64" s="96"/>
      <c r="AB64" s="395"/>
      <c r="AC64" s="396"/>
      <c r="AD64" s="100"/>
      <c r="AE64" s="96"/>
      <c r="AF64" s="395"/>
      <c r="AG64" s="396"/>
      <c r="AH64" s="100"/>
      <c r="AI64" s="96"/>
      <c r="AJ64" s="395"/>
      <c r="AK64" s="396"/>
      <c r="AL64" s="100"/>
      <c r="AM64" s="96"/>
      <c r="AN64" s="395"/>
      <c r="AO64" s="396"/>
      <c r="AP64" s="100"/>
      <c r="AQ64" s="96"/>
      <c r="AR64" s="382"/>
      <c r="AS64" s="383"/>
      <c r="AT64" s="100"/>
      <c r="AU64" s="96"/>
      <c r="AV64" s="382"/>
      <c r="AW64" s="383"/>
      <c r="AX64" s="100"/>
    </row>
    <row r="65" spans="1:50">
      <c r="C65" s="96"/>
      <c r="D65" s="382"/>
      <c r="E65" s="383"/>
      <c r="F65" s="98"/>
      <c r="G65" s="96"/>
      <c r="H65" s="382"/>
      <c r="I65" s="383"/>
      <c r="J65" s="100"/>
      <c r="K65" s="96"/>
      <c r="L65" s="382"/>
      <c r="M65" s="383"/>
      <c r="N65" s="100"/>
      <c r="O65" s="96"/>
      <c r="P65" s="382"/>
      <c r="Q65" s="383"/>
      <c r="R65" s="100"/>
      <c r="S65" s="96"/>
      <c r="T65" s="393"/>
      <c r="U65" s="394"/>
      <c r="V65" s="100"/>
      <c r="W65" s="96"/>
      <c r="X65" s="395"/>
      <c r="Y65" s="396"/>
      <c r="Z65" s="100"/>
      <c r="AA65" s="96"/>
      <c r="AB65" s="395"/>
      <c r="AC65" s="396"/>
      <c r="AD65" s="100"/>
      <c r="AE65" s="96"/>
      <c r="AF65" s="395"/>
      <c r="AG65" s="396"/>
      <c r="AH65" s="100"/>
      <c r="AI65" s="96"/>
      <c r="AJ65" s="395"/>
      <c r="AK65" s="396"/>
      <c r="AL65" s="100"/>
      <c r="AM65" s="96"/>
      <c r="AN65" s="395"/>
      <c r="AO65" s="396"/>
      <c r="AP65" s="100"/>
      <c r="AQ65" s="96"/>
      <c r="AR65" s="382"/>
      <c r="AS65" s="383"/>
      <c r="AT65" s="100"/>
      <c r="AU65" s="96"/>
      <c r="AV65" s="382"/>
      <c r="AW65" s="383"/>
      <c r="AX65" s="100"/>
    </row>
    <row r="66" spans="1:50">
      <c r="C66" s="96"/>
      <c r="D66" s="382"/>
      <c r="E66" s="383"/>
      <c r="F66" s="98"/>
      <c r="G66" s="96"/>
      <c r="H66" s="382"/>
      <c r="I66" s="383"/>
      <c r="J66" s="100"/>
      <c r="K66" s="96"/>
      <c r="L66" s="382"/>
      <c r="M66" s="383"/>
      <c r="N66" s="100"/>
      <c r="O66" s="96"/>
      <c r="P66" s="382"/>
      <c r="Q66" s="383"/>
      <c r="R66" s="100"/>
      <c r="S66" s="96"/>
      <c r="T66" s="395"/>
      <c r="U66" s="396"/>
      <c r="V66" s="100"/>
      <c r="W66" s="96"/>
      <c r="X66" s="395"/>
      <c r="Y66" s="396"/>
      <c r="Z66" s="100"/>
      <c r="AA66" s="96"/>
      <c r="AB66" s="395"/>
      <c r="AC66" s="396"/>
      <c r="AD66" s="100"/>
      <c r="AE66" s="96"/>
      <c r="AF66" s="395"/>
      <c r="AG66" s="396"/>
      <c r="AH66" s="100"/>
      <c r="AI66" s="96"/>
      <c r="AJ66" s="395"/>
      <c r="AK66" s="396"/>
      <c r="AL66" s="100"/>
      <c r="AM66" s="96"/>
      <c r="AN66" s="395"/>
      <c r="AO66" s="396"/>
      <c r="AP66" s="100"/>
      <c r="AQ66" s="96"/>
      <c r="AR66" s="382"/>
      <c r="AS66" s="383"/>
      <c r="AT66" s="100"/>
      <c r="AU66" s="96"/>
      <c r="AV66" s="382"/>
      <c r="AW66" s="383"/>
      <c r="AX66" s="100"/>
    </row>
    <row r="67" spans="1:50">
      <c r="C67" s="96"/>
      <c r="D67" s="382"/>
      <c r="E67" s="383"/>
      <c r="F67" s="98"/>
      <c r="G67" s="96"/>
      <c r="H67" s="382"/>
      <c r="I67" s="383"/>
      <c r="J67" s="100"/>
      <c r="K67" s="96"/>
      <c r="L67" s="382"/>
      <c r="M67" s="383"/>
      <c r="N67" s="100"/>
      <c r="O67" s="96"/>
      <c r="P67" s="382"/>
      <c r="Q67" s="383"/>
      <c r="R67" s="100"/>
      <c r="S67" s="96"/>
      <c r="T67" s="395"/>
      <c r="U67" s="396"/>
      <c r="V67" s="100"/>
      <c r="W67" s="96"/>
      <c r="X67" s="395"/>
      <c r="Y67" s="396"/>
      <c r="Z67" s="100"/>
      <c r="AA67" s="96"/>
      <c r="AB67" s="395"/>
      <c r="AC67" s="396"/>
      <c r="AD67" s="100"/>
      <c r="AE67" s="96"/>
      <c r="AF67" s="395"/>
      <c r="AG67" s="396"/>
      <c r="AH67" s="100"/>
      <c r="AI67" s="96"/>
      <c r="AJ67" s="395"/>
      <c r="AK67" s="396"/>
      <c r="AL67" s="100"/>
      <c r="AM67" s="96"/>
      <c r="AN67" s="395"/>
      <c r="AO67" s="396"/>
      <c r="AP67" s="100"/>
      <c r="AQ67" s="96"/>
      <c r="AR67" s="382"/>
      <c r="AS67" s="383"/>
      <c r="AT67" s="100"/>
      <c r="AU67" s="96"/>
      <c r="AV67" s="382"/>
      <c r="AW67" s="383"/>
      <c r="AX67" s="100"/>
    </row>
    <row r="68" spans="1:50">
      <c r="C68" s="96"/>
      <c r="D68" s="382"/>
      <c r="E68" s="383"/>
      <c r="F68" s="98"/>
      <c r="G68" s="96"/>
      <c r="H68" s="382"/>
      <c r="I68" s="383"/>
      <c r="J68" s="100"/>
      <c r="K68" s="96"/>
      <c r="L68" s="382"/>
      <c r="M68" s="383"/>
      <c r="N68" s="100"/>
      <c r="O68" s="96"/>
      <c r="P68" s="382"/>
      <c r="Q68" s="383"/>
      <c r="R68" s="100"/>
      <c r="S68" s="96"/>
      <c r="T68" s="395"/>
      <c r="U68" s="396"/>
      <c r="V68" s="100"/>
      <c r="W68" s="96"/>
      <c r="X68" s="395"/>
      <c r="Y68" s="396"/>
      <c r="Z68" s="100"/>
      <c r="AA68" s="96"/>
      <c r="AB68" s="395"/>
      <c r="AC68" s="396"/>
      <c r="AD68" s="100"/>
      <c r="AE68" s="96"/>
      <c r="AF68" s="395"/>
      <c r="AG68" s="396"/>
      <c r="AH68" s="100"/>
      <c r="AI68" s="96"/>
      <c r="AJ68" s="395"/>
      <c r="AK68" s="396"/>
      <c r="AL68" s="100"/>
      <c r="AM68" s="96"/>
      <c r="AN68" s="395"/>
      <c r="AO68" s="396"/>
      <c r="AP68" s="100"/>
      <c r="AQ68" s="96"/>
      <c r="AR68" s="382"/>
      <c r="AS68" s="383"/>
      <c r="AT68" s="100"/>
      <c r="AU68" s="96"/>
      <c r="AV68" s="382"/>
      <c r="AW68" s="383"/>
      <c r="AX68" s="100"/>
    </row>
    <row r="69" spans="1:50">
      <c r="C69" s="96"/>
      <c r="D69" s="382"/>
      <c r="E69" s="383"/>
      <c r="F69" s="98"/>
      <c r="G69" s="96"/>
      <c r="H69" s="382"/>
      <c r="I69" s="383"/>
      <c r="J69" s="100"/>
      <c r="K69" s="96"/>
      <c r="L69" s="382"/>
      <c r="M69" s="383"/>
      <c r="N69" s="100"/>
      <c r="O69" s="96"/>
      <c r="P69" s="382"/>
      <c r="Q69" s="383"/>
      <c r="R69" s="100"/>
      <c r="S69" s="96"/>
      <c r="T69" s="395"/>
      <c r="U69" s="396"/>
      <c r="V69" s="100"/>
      <c r="W69" s="96"/>
      <c r="X69" s="395"/>
      <c r="Y69" s="396"/>
      <c r="Z69" s="100"/>
      <c r="AA69" s="96"/>
      <c r="AB69" s="395"/>
      <c r="AC69" s="396"/>
      <c r="AD69" s="100"/>
      <c r="AE69" s="96"/>
      <c r="AF69" s="395"/>
      <c r="AG69" s="396"/>
      <c r="AH69" s="100"/>
      <c r="AI69" s="96"/>
      <c r="AJ69" s="395"/>
      <c r="AK69" s="396"/>
      <c r="AL69" s="100"/>
      <c r="AM69" s="96"/>
      <c r="AN69" s="395"/>
      <c r="AO69" s="396"/>
      <c r="AP69" s="100"/>
      <c r="AQ69" s="96"/>
      <c r="AR69" s="382"/>
      <c r="AS69" s="383"/>
      <c r="AT69" s="100"/>
      <c r="AU69" s="96"/>
      <c r="AV69" s="382"/>
      <c r="AW69" s="383"/>
      <c r="AX69" s="100"/>
    </row>
    <row r="70" spans="1:50">
      <c r="C70" s="96"/>
      <c r="D70" s="382"/>
      <c r="E70" s="383"/>
      <c r="F70" s="98"/>
      <c r="G70" s="96"/>
      <c r="H70" s="382"/>
      <c r="I70" s="383"/>
      <c r="J70" s="100"/>
      <c r="K70" s="96"/>
      <c r="L70" s="382"/>
      <c r="M70" s="383"/>
      <c r="N70" s="100"/>
      <c r="O70" s="96"/>
      <c r="P70" s="382"/>
      <c r="Q70" s="383"/>
      <c r="R70" s="100"/>
      <c r="S70" s="96"/>
      <c r="T70" s="382"/>
      <c r="U70" s="383"/>
      <c r="V70" s="100"/>
      <c r="W70" s="96"/>
      <c r="X70" s="382"/>
      <c r="Y70" s="383"/>
      <c r="Z70" s="100"/>
      <c r="AA70" s="96"/>
      <c r="AB70" s="395"/>
      <c r="AC70" s="396"/>
      <c r="AD70" s="100"/>
      <c r="AE70" s="96"/>
      <c r="AF70" s="395"/>
      <c r="AG70" s="396"/>
      <c r="AH70" s="100"/>
      <c r="AI70" s="96"/>
      <c r="AJ70" s="395"/>
      <c r="AK70" s="396"/>
      <c r="AL70" s="100"/>
      <c r="AM70" s="96"/>
      <c r="AN70" s="395"/>
      <c r="AO70" s="396"/>
      <c r="AP70" s="100"/>
      <c r="AQ70" s="96"/>
      <c r="AR70" s="382"/>
      <c r="AS70" s="383"/>
      <c r="AT70" s="100"/>
      <c r="AU70" s="96"/>
      <c r="AV70" s="382"/>
      <c r="AW70" s="383"/>
      <c r="AX70" s="100"/>
    </row>
    <row r="71" spans="1:50" ht="15.75" thickBot="1">
      <c r="C71" s="97"/>
      <c r="D71" s="380"/>
      <c r="E71" s="381"/>
      <c r="F71" s="99"/>
      <c r="G71" s="97"/>
      <c r="H71" s="380"/>
      <c r="I71" s="381"/>
      <c r="J71" s="101"/>
      <c r="K71" s="97"/>
      <c r="L71" s="380"/>
      <c r="M71" s="381"/>
      <c r="N71" s="101"/>
      <c r="O71" s="97"/>
      <c r="P71" s="380"/>
      <c r="Q71" s="381"/>
      <c r="R71" s="101"/>
      <c r="S71" s="97"/>
      <c r="T71" s="397"/>
      <c r="U71" s="398"/>
      <c r="V71" s="101"/>
      <c r="W71" s="97"/>
      <c r="X71" s="397"/>
      <c r="Y71" s="398"/>
      <c r="Z71" s="101"/>
      <c r="AA71" s="97"/>
      <c r="AB71" s="401"/>
      <c r="AC71" s="402"/>
      <c r="AD71" s="101"/>
      <c r="AE71" s="97"/>
      <c r="AF71" s="401"/>
      <c r="AG71" s="402"/>
      <c r="AH71" s="101"/>
      <c r="AI71" s="97"/>
      <c r="AJ71" s="401"/>
      <c r="AK71" s="402"/>
      <c r="AL71" s="101"/>
      <c r="AM71" s="97"/>
      <c r="AN71" s="401"/>
      <c r="AO71" s="402"/>
      <c r="AP71" s="101"/>
      <c r="AQ71" s="97"/>
      <c r="AR71" s="380"/>
      <c r="AS71" s="381"/>
      <c r="AT71" s="101"/>
      <c r="AU71" s="97"/>
      <c r="AV71" s="380"/>
      <c r="AW71" s="381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3839.35</v>
      </c>
      <c r="L5" s="436"/>
      <c r="M5" s="1"/>
      <c r="N5" s="1"/>
      <c r="R5" s="3"/>
    </row>
    <row r="6" spans="1:22" ht="15.75">
      <c r="A6" s="112">
        <f>'08'!A6+(B6-SUM(D6:F6))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'08'!A7+(B7-SUM(D7:F7))</f>
        <v>1110.5600000000004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7236.18</v>
      </c>
      <c r="L7" s="420"/>
      <c r="M7" s="1"/>
      <c r="N7" s="1"/>
      <c r="R7" s="3"/>
    </row>
    <row r="8" spans="1:22" ht="15.75">
      <c r="A8" s="112">
        <f>'08'!A8+(B8-SUM(D8:F8))</f>
        <v>-546.66000000000008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'08'!A11+(B11-SUM(D11:F11))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105+50</f>
        <v>155</v>
      </c>
      <c r="L11" s="420"/>
      <c r="M11" s="1"/>
      <c r="N11" s="1"/>
      <c r="R11" s="3"/>
    </row>
    <row r="12" spans="1:22" ht="15.75">
      <c r="A12" s="112">
        <f>'08'!A12+(B12-SUM(D12:F12))</f>
        <v>138.30000000000001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'08'!A13+(B13-SUM(D13:F13))</f>
        <v>98.5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29258.260000000002</v>
      </c>
      <c r="L19" s="449"/>
      <c r="M19" s="1"/>
      <c r="N19" s="1"/>
      <c r="R19" s="3"/>
    </row>
    <row r="20" spans="1:18" ht="16.5" thickBot="1">
      <c r="A20" s="112">
        <f>SUM(A6:A15)</f>
        <v>1685.3600000000004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'08'!A27+(B27-SUM(D27:F27))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'08'!A29+(B29-SUM(D29:F29))</f>
        <v>39.449999999999989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'08'!A30+(B30-SUM(D30:F30))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561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2516.6099999999997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551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557</v>
      </c>
      <c r="H46" s="1"/>
      <c r="I46" s="425"/>
      <c r="J46" s="429" t="s">
        <v>593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562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548</v>
      </c>
      <c r="D48" s="137">
        <v>67.47</v>
      </c>
      <c r="E48" s="138"/>
      <c r="F48" s="138"/>
      <c r="G48" s="16" t="s">
        <v>566</v>
      </c>
      <c r="H48" s="1">
        <f>21*8</f>
        <v>168</v>
      </c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567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568</v>
      </c>
      <c r="H50" s="1"/>
      <c r="I50" s="424" t="str">
        <f>AÑO!A13</f>
        <v>Gubernamental</v>
      </c>
      <c r="J50" s="427" t="s">
        <v>559</v>
      </c>
      <c r="K50" s="428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576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577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585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560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'08'!A66+(B66-SUM(D66:F78))</f>
        <v>145.70000000000005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545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546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555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569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572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584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22.049999999999997</v>
      </c>
      <c r="B79" s="233">
        <f>5+100</f>
        <v>105</v>
      </c>
      <c r="C79" s="17" t="s">
        <v>592</v>
      </c>
      <c r="D79" s="135">
        <v>122.95</v>
      </c>
      <c r="E79" s="139"/>
      <c r="F79" s="139"/>
      <c r="G79" s="17" t="s">
        <v>586</v>
      </c>
      <c r="H79" s="1"/>
      <c r="M79" s="1"/>
      <c r="R79" s="3"/>
    </row>
    <row r="80" spans="1:18" ht="16.5" thickBot="1">
      <c r="A80" s="112">
        <f>SUM(A66:A79)</f>
        <v>167.75000000000006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556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563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582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143.75000000000009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36.229999999999933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5063.5115974244991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72.5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D127+D128+'08'!I127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24.149999999999991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454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574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583</v>
      </c>
      <c r="H189" s="89">
        <f>9.99+8.99+6.99+3.99+7.99</f>
        <v>37.950000000000003</v>
      </c>
      <c r="I189" s="1" t="s">
        <v>581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587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588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591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13.019999999999925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549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573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589</v>
      </c>
      <c r="H248" s="89">
        <f>33.98+1.99</f>
        <v>35.97</v>
      </c>
      <c r="I248" s="89" t="s">
        <v>581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591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95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'08'!A257+(B257-SUM(D257:F257))</f>
        <v>377.08000000000004</v>
      </c>
      <c r="B257" s="134">
        <v>40</v>
      </c>
      <c r="C257" s="16" t="s">
        <v>498</v>
      </c>
      <c r="D257" s="137"/>
      <c r="E257" s="138">
        <f>100.67+100.67</f>
        <v>201.34</v>
      </c>
      <c r="F257" s="138"/>
      <c r="G257" s="16" t="s">
        <v>241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485.09999999999997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544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199.96999999999977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454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571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590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259.9699999999998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/>
      <c r="E306" s="138"/>
      <c r="F306" s="138">
        <v>60</v>
      </c>
      <c r="G306" s="16" t="s">
        <v>564</v>
      </c>
    </row>
    <row r="307" spans="2:7">
      <c r="B307" s="134"/>
      <c r="C307" s="27"/>
      <c r="D307" s="137">
        <v>35.96</v>
      </c>
      <c r="E307" s="138"/>
      <c r="F307" s="138"/>
      <c r="G307" s="16" t="s">
        <v>565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570</v>
      </c>
    </row>
    <row r="309" spans="2:7">
      <c r="B309" s="134"/>
      <c r="C309" s="16"/>
      <c r="D309" s="137"/>
      <c r="E309" s="138"/>
      <c r="F309" s="138">
        <v>60</v>
      </c>
      <c r="G309" s="16" t="s">
        <v>594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9" ht="15" customHeight="1" thickBot="1">
      <c r="B323" s="410"/>
      <c r="C323" s="411"/>
      <c r="D323" s="411"/>
      <c r="E323" s="411"/>
      <c r="F323" s="411"/>
      <c r="G323" s="412"/>
    </row>
    <row r="324" spans="2:9">
      <c r="B324" s="405" t="s">
        <v>8</v>
      </c>
      <c r="C324" s="406"/>
      <c r="D324" s="405" t="s">
        <v>9</v>
      </c>
      <c r="E324" s="413"/>
      <c r="F324" s="413"/>
      <c r="G324" s="406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550</v>
      </c>
    </row>
    <row r="327" spans="2:9">
      <c r="B327" s="134">
        <v>100</v>
      </c>
      <c r="C327" s="16" t="s">
        <v>551</v>
      </c>
      <c r="D327" s="137">
        <v>15</v>
      </c>
      <c r="E327" s="138"/>
      <c r="F327" s="138"/>
      <c r="G327" s="16" t="s">
        <v>578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591</v>
      </c>
      <c r="H328" s="89">
        <f>9.99+34.99+2</f>
        <v>46.980000000000004</v>
      </c>
      <c r="I328" s="89" t="s">
        <v>581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494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553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-250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'08'!A468+(B468-SUM(D468:F468))</f>
        <v>55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-745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575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9">
        <v>3984.38</v>
      </c>
      <c r="L5" s="420"/>
      <c r="M5" s="1"/>
      <c r="N5" s="1"/>
      <c r="R5" s="3"/>
    </row>
    <row r="6" spans="1:22" ht="15.75">
      <c r="A6" s="112">
        <f>'09'!A6+(B6-SUM(D6:F6))</f>
        <v>788.17</v>
      </c>
      <c r="B6" s="133">
        <v>389.26</v>
      </c>
      <c r="C6" s="19" t="s">
        <v>595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'09'!A7+(B7-SUM(D7:F7))</f>
        <v>1177.7400000000005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8003.5599999999995</v>
      </c>
      <c r="L7" s="420"/>
      <c r="M7" s="1"/>
      <c r="N7" s="1"/>
      <c r="R7" s="3"/>
    </row>
    <row r="8" spans="1:22" ht="15.75">
      <c r="A8" s="112">
        <f>'09'!A8+(B8-SUM(D8:F8))</f>
        <v>-644.54000000000008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157.43</v>
      </c>
      <c r="L9" s="420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'09'!A11+(B11-SUM(D11:F11))</f>
        <v>60.489999999999995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60+20</f>
        <v>80</v>
      </c>
      <c r="L11" s="420"/>
      <c r="M11" s="1"/>
      <c r="N11" s="1"/>
      <c r="R11" s="3"/>
    </row>
    <row r="12" spans="1:22" ht="15.75">
      <c r="A12" s="112">
        <f>'09'!A12+(B12-SUM(D12:F12))</f>
        <v>138.30000000000001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'09'!A13+(B13-SUM(D13:F13))</f>
        <v>105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30089.47</v>
      </c>
      <c r="L19" s="449"/>
      <c r="M19" s="1"/>
      <c r="N19" s="1"/>
      <c r="R19" s="3"/>
    </row>
    <row r="20" spans="1:18" ht="16.5" thickBot="1">
      <c r="A20" s="112">
        <f>SUM(A6:A15)</f>
        <v>1661.1600000000003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/>
      <c r="K25" s="428"/>
      <c r="L25" s="231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'09'!A27+(B27-SUM(D27:F27))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'09'!A29+(B29-SUM(D29:F29))</f>
        <v>39.499999999999986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'09'!A30+(B30-SUM(D30:F30))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390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621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 t="s">
        <v>226</v>
      </c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2456.4800000000005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245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624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599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602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603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610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617</v>
      </c>
      <c r="H50" s="1"/>
      <c r="I50" s="424" t="str">
        <f>AÑO!A13</f>
        <v>Gubernamental</v>
      </c>
      <c r="J50" s="427" t="s">
        <v>559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618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619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620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622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630</v>
      </c>
      <c r="H55" s="1"/>
      <c r="I55" s="424" t="str">
        <f>AÑO!A14</f>
        <v>Mutualite/DKV</v>
      </c>
      <c r="J55" s="427" t="s">
        <v>255</v>
      </c>
      <c r="K55" s="428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631</v>
      </c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'09'!A66+(B66-SUM(D66:F78))+B67</f>
        <v>200.55000000000004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601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611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616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648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-16.180000000000007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643</v>
      </c>
      <c r="H79" s="1"/>
      <c r="M79" s="1"/>
      <c r="R79" s="3"/>
    </row>
    <row r="80" spans="1:18" ht="16.5" thickBot="1">
      <c r="A80" s="112">
        <f>SUM(A66:A79)</f>
        <v>184.37000000000003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598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607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609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628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629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632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652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654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143.84000000000009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420.09159742449782</v>
      </c>
      <c r="B109" s="134">
        <v>80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624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5113.6015974244992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82.5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D127+D128+'09'!I127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24.159999999999989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646</v>
      </c>
      <c r="D130" s="137">
        <v>65</v>
      </c>
      <c r="E130" s="138"/>
      <c r="F130" s="138"/>
      <c r="G130" s="16" t="s">
        <v>647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160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599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604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612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615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639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640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644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-8.5100000000000762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599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620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627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641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'09'!A257+(B257-SUM(D257:F257))</f>
        <v>316.41000000000003</v>
      </c>
      <c r="B257" s="134">
        <v>40</v>
      </c>
      <c r="C257" s="16" t="s">
        <v>558</v>
      </c>
      <c r="D257" s="137"/>
      <c r="E257" s="138">
        <v>100.67</v>
      </c>
      <c r="F257" s="138"/>
      <c r="G257" s="16" t="s">
        <v>241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407.9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597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204.06999999999977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605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606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642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645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304.06999999999977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>
        <f>37.5+37.5</f>
        <v>75</v>
      </c>
      <c r="E306" s="138"/>
      <c r="F306" s="138"/>
      <c r="G306" s="16" t="s">
        <v>608</v>
      </c>
    </row>
    <row r="307" spans="2:7">
      <c r="B307" s="134">
        <f>28.54*2</f>
        <v>57.08</v>
      </c>
      <c r="C307" s="27" t="s">
        <v>255</v>
      </c>
      <c r="D307" s="137"/>
      <c r="E307" s="138"/>
      <c r="F307" s="138">
        <v>50</v>
      </c>
      <c r="G307" s="16" t="s">
        <v>613</v>
      </c>
    </row>
    <row r="308" spans="2:7">
      <c r="B308" s="134"/>
      <c r="C308" s="27"/>
      <c r="D308" s="137">
        <v>35.96</v>
      </c>
      <c r="E308" s="138"/>
      <c r="F308" s="138"/>
      <c r="G308" s="16" t="s">
        <v>614</v>
      </c>
    </row>
    <row r="309" spans="2:7">
      <c r="B309" s="134"/>
      <c r="C309" s="16"/>
      <c r="D309" s="137">
        <v>16.21</v>
      </c>
      <c r="E309" s="138"/>
      <c r="F309" s="138"/>
      <c r="G309" s="16" t="s">
        <v>634</v>
      </c>
    </row>
    <row r="310" spans="2:7">
      <c r="B310" s="134"/>
      <c r="C310" s="16"/>
      <c r="D310" s="137"/>
      <c r="E310" s="138"/>
      <c r="F310" s="138">
        <v>50</v>
      </c>
      <c r="G310" s="16" t="s">
        <v>633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635</v>
      </c>
    </row>
    <row r="312" spans="2:7">
      <c r="B312" s="134"/>
      <c r="C312" s="16"/>
      <c r="D312" s="137"/>
      <c r="E312" s="138"/>
      <c r="F312" s="138">
        <v>60</v>
      </c>
      <c r="G312" s="16" t="s">
        <v>636</v>
      </c>
    </row>
    <row r="313" spans="2:7">
      <c r="B313" s="134"/>
      <c r="C313" s="16"/>
      <c r="D313" s="137">
        <v>5.3</v>
      </c>
      <c r="E313" s="138"/>
      <c r="F313" s="138"/>
      <c r="G313" s="16" t="s">
        <v>638</v>
      </c>
    </row>
    <row r="314" spans="2:7">
      <c r="B314" s="134"/>
      <c r="C314" s="16"/>
      <c r="D314" s="137">
        <v>12.95</v>
      </c>
      <c r="E314" s="138"/>
      <c r="F314" s="138"/>
      <c r="G314" s="16" t="s">
        <v>651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649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650</v>
      </c>
    </row>
    <row r="317" spans="2:7">
      <c r="B317" s="134"/>
      <c r="C317" s="16"/>
      <c r="D317" s="137"/>
      <c r="E317" s="138"/>
      <c r="F317" s="138">
        <v>4.5</v>
      </c>
      <c r="G317" s="16" t="s">
        <v>655</v>
      </c>
    </row>
    <row r="318" spans="2:7">
      <c r="B318" s="134"/>
      <c r="C318" s="16"/>
      <c r="D318" s="137"/>
      <c r="E318" s="138"/>
      <c r="F318" s="138">
        <v>84.93</v>
      </c>
      <c r="G318" s="16" t="s">
        <v>656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600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494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243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624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596</v>
      </c>
    </row>
    <row r="407" spans="2:7">
      <c r="B407" s="134">
        <v>0.89</v>
      </c>
      <c r="C407" s="16" t="s">
        <v>245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243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624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385.50919055649229</v>
      </c>
      <c r="B467" s="134">
        <v>71.349999999999994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'09'!A468+(B468-SUM(D468:F468))</f>
        <v>70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243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624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455.50919055649229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'10'!A6+(B6-SUM(D6:F6))</f>
        <v>1177.4299999999998</v>
      </c>
      <c r="B6" s="133">
        <v>389.26</v>
      </c>
      <c r="C6" s="19" t="s">
        <v>595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'10'!A7+(B7-SUM(D7:F7))</f>
        <v>1244.9200000000005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'10'!A8+(B8-SUM(D8:F8))</f>
        <v>-546.66000000000008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'10'!A11+(B11-SUM(D11:F11))</f>
        <v>60.499999999999993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'10'!A12+(B12-SUM(D12:F12))</f>
        <v>138.30000000000001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'10'!A13+(B13-SUM(D13:F13))</f>
        <v>111.5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30103.380000000005</v>
      </c>
      <c r="L19" s="449"/>
      <c r="M19" s="1"/>
      <c r="N19" s="1"/>
      <c r="R19" s="3"/>
    </row>
    <row r="20" spans="1:18" ht="16.5" thickBot="1">
      <c r="A20" s="112">
        <f>SUM(A6:A15)</f>
        <v>2221.9900000000002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'10'!A27+(B27-SUM(D27:F27))</f>
        <v>470.17999999999984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'10'!A29+(B29-SUM(D29:F29))</f>
        <v>38.879999999999981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'10'!A30+(B30-SUM(D30:F30))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451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2499.87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659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665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664</v>
      </c>
      <c r="H46" s="1"/>
      <c r="I46" s="425"/>
      <c r="J46" s="429" t="s">
        <v>679</v>
      </c>
      <c r="K46" s="430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675</v>
      </c>
      <c r="H47" s="1"/>
      <c r="I47" s="425"/>
      <c r="J47" s="429" t="s">
        <v>680</v>
      </c>
      <c r="K47" s="430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677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683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688</v>
      </c>
      <c r="H50" s="1"/>
      <c r="I50" s="424" t="str">
        <f>AÑO!A13</f>
        <v>Gubernamental</v>
      </c>
      <c r="J50" s="427" t="s">
        <v>670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692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694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696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669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452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662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'10'!A66+(B66-SUM(D66:F78))+B67</f>
        <v>222.35000000000005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663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678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682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690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689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697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-6.1800000000000068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216.17000000000004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698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143.93000000000009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500.09159742449782</v>
      </c>
      <c r="B109" s="134">
        <v>80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5163.6915974244994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82.5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82.5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D127+D128+'10'!I127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24.169999999999987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646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165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685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41.489999999999924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105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'10'!A257+(B257-SUM(D257:F257))</f>
        <v>356.41</v>
      </c>
      <c r="B257" s="134">
        <v>40</v>
      </c>
      <c r="C257" s="16" t="s">
        <v>626</v>
      </c>
      <c r="D257" s="137"/>
      <c r="E257" s="138"/>
      <c r="F257" s="138"/>
      <c r="G257" s="16" t="s">
        <v>241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502.9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254.06999999999977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394.06999999999977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485</v>
      </c>
      <c r="D306" s="137"/>
      <c r="E306" s="138"/>
      <c r="F306" s="138">
        <v>80</v>
      </c>
      <c r="G306" s="16" t="s">
        <v>668</v>
      </c>
    </row>
    <row r="307" spans="2:8">
      <c r="B307" s="134">
        <v>300</v>
      </c>
      <c r="C307" s="27" t="s">
        <v>672</v>
      </c>
      <c r="D307" s="137">
        <v>82.87</v>
      </c>
      <c r="E307" s="138"/>
      <c r="F307" s="138"/>
      <c r="G307" s="16" t="s">
        <v>671</v>
      </c>
    </row>
    <row r="308" spans="2:8">
      <c r="B308" s="134">
        <f>L56</f>
        <v>0</v>
      </c>
      <c r="C308" s="27" t="s">
        <v>255</v>
      </c>
      <c r="D308" s="137">
        <v>33</v>
      </c>
      <c r="E308" s="138"/>
      <c r="F308" s="138"/>
      <c r="G308" s="16" t="s">
        <v>674</v>
      </c>
    </row>
    <row r="309" spans="2:8">
      <c r="B309" s="134"/>
      <c r="C309" s="16"/>
      <c r="D309" s="137">
        <v>40.18</v>
      </c>
      <c r="E309" s="138"/>
      <c r="F309" s="138"/>
      <c r="G309" s="16" t="s">
        <v>676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681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684</v>
      </c>
    </row>
    <row r="312" spans="2:8">
      <c r="B312" s="134"/>
      <c r="C312" s="16"/>
      <c r="D312" s="137">
        <v>50</v>
      </c>
      <c r="E312" s="138"/>
      <c r="F312" s="138"/>
      <c r="G312" s="16" t="s">
        <v>687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667</v>
      </c>
    </row>
    <row r="327" spans="2:7">
      <c r="B327" s="134">
        <v>30</v>
      </c>
      <c r="C327" s="16" t="s">
        <v>666</v>
      </c>
      <c r="D327" s="137"/>
      <c r="E327" s="138"/>
      <c r="F327" s="138"/>
      <c r="G327" s="16"/>
    </row>
    <row r="328" spans="2:7">
      <c r="B328" s="134">
        <v>250</v>
      </c>
      <c r="C328" s="16" t="s">
        <v>679</v>
      </c>
      <c r="D328" s="137"/>
      <c r="E328" s="138"/>
      <c r="F328" s="138"/>
      <c r="G328" s="16"/>
    </row>
    <row r="329" spans="2:7">
      <c r="B329" s="134">
        <v>150</v>
      </c>
      <c r="C329" s="16" t="s">
        <v>680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625</v>
      </c>
      <c r="D359" s="135">
        <v>65</v>
      </c>
      <c r="E359" s="139"/>
      <c r="F359" s="139"/>
      <c r="G359" s="17" t="s">
        <v>658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686</v>
      </c>
    </row>
    <row r="368" spans="1:7">
      <c r="B368" s="134"/>
      <c r="C368" s="16"/>
      <c r="D368" s="137">
        <v>34</v>
      </c>
      <c r="E368" s="138"/>
      <c r="F368" s="138"/>
      <c r="G368" s="16" t="s">
        <v>693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657</v>
      </c>
    </row>
    <row r="407" spans="2:7">
      <c r="B407" s="134">
        <v>42.84</v>
      </c>
      <c r="C407" s="16" t="s">
        <v>659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456.85919055649231</v>
      </c>
      <c r="B467" s="134">
        <v>71.349999999999994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'10'!A468+(B468-SUM(D468:F468))</f>
        <v>85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541.85919055649231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695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'11'!A6+(B6-SUM(D6:F6))</f>
        <v>1566.6899999999998</v>
      </c>
      <c r="B6" s="133">
        <v>389.26</v>
      </c>
      <c r="C6" s="19" t="s">
        <v>595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'11'!A7+(B7-SUM(D7:F7))</f>
        <v>1312.1000000000006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'11'!A8+(B8-SUM(D8:F8))</f>
        <v>-546.66000000000008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'11'!A11+(B11-SUM(D11:F11))</f>
        <v>90.74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'11'!A12+(B12-SUM(D12:F12))</f>
        <v>-124.74000000000001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'11'!A13+(B13-SUM(D13:F13))</f>
        <v>118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30103.380000000005</v>
      </c>
      <c r="L19" s="449"/>
      <c r="M19" s="1"/>
      <c r="N19" s="1"/>
      <c r="R19" s="3"/>
    </row>
    <row r="20" spans="1:18" ht="16.5" thickBot="1">
      <c r="A20" s="112">
        <f>SUM(A6:A15)</f>
        <v>2464.13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'11'!A27+(B27-SUM(D27:F27))</f>
        <v>660.17999999999984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'11'!A29+(B29-SUM(D29:F29))</f>
        <v>56.879999999999981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'11'!A30+(B30-SUM(D30:F30))</f>
        <v>86.279999999999973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3652.87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670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'11'!A66+(B66-SUM(D66:F78))+B67</f>
        <v>397.35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401.17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4550.9815974244993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212.93000000000009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580.09159742449788</v>
      </c>
      <c r="B109" s="134">
        <v>80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5541.1615974244996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97.5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D127+D128+'11'!I127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32.169999999999987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646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207.5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714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700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91.489999999999924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125</v>
      </c>
      <c r="B256" s="134">
        <f>5+15</f>
        <v>20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'11'!A257+(B257-SUM(D257:F257))</f>
        <v>536.41000000000008</v>
      </c>
      <c r="B257" s="134">
        <f>40+140</f>
        <v>180</v>
      </c>
      <c r="C257" s="16" t="s">
        <v>673</v>
      </c>
      <c r="D257" s="137"/>
      <c r="E257" s="138"/>
      <c r="F257" s="138"/>
      <c r="G257" s="16" t="s">
        <v>241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752.9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304.06999999999977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489.06999999999977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625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554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591.24919055649229</v>
      </c>
      <c r="B467" s="134">
        <f>71.35+63.04</f>
        <v>134.38999999999999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'11'!A468+(B468-SUM(D468:F468))</f>
        <v>95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686.24919055649229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55" workbookViewId="0">
      <selection activeCell="H60" sqref="H60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739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E43" t="s">
        <v>146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E49" t="s">
        <v>146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E55" t="s">
        <v>146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E61" t="s">
        <v>146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740</v>
      </c>
    </row>
    <row r="66" spans="1:7">
      <c r="C66" t="s">
        <v>719</v>
      </c>
      <c r="D66">
        <v>16420</v>
      </c>
    </row>
    <row r="67" spans="1:7">
      <c r="C67" t="s">
        <v>718</v>
      </c>
      <c r="D67">
        <f>D66*0.2</f>
        <v>3284</v>
      </c>
    </row>
    <row r="68" spans="1:7">
      <c r="B68" t="s">
        <v>710</v>
      </c>
      <c r="C68" t="s">
        <v>711</v>
      </c>
      <c r="D68" t="s">
        <v>713</v>
      </c>
      <c r="E68" t="s">
        <v>712</v>
      </c>
      <c r="F68" t="s">
        <v>93</v>
      </c>
      <c r="G68" t="s">
        <v>715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740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  <c r="E92" t="s">
        <v>146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5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5">
      <c r="B98" s="79">
        <f t="shared" si="5"/>
        <v>44467</v>
      </c>
      <c r="C98" s="70">
        <f t="shared" si="6"/>
        <v>5255</v>
      </c>
      <c r="D98" s="66">
        <f t="shared" si="4"/>
        <v>7357</v>
      </c>
      <c r="E98" t="s">
        <v>146</v>
      </c>
    </row>
    <row r="99" spans="2:5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5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5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5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5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5">
      <c r="B104" s="79">
        <f t="shared" si="5"/>
        <v>44648</v>
      </c>
      <c r="C104" s="70">
        <f t="shared" si="6"/>
        <v>6831.5</v>
      </c>
      <c r="D104" s="66">
        <f t="shared" si="4"/>
        <v>5780.5</v>
      </c>
      <c r="E104" t="s">
        <v>146</v>
      </c>
    </row>
    <row r="105" spans="2:5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5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5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5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5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5">
      <c r="B110" s="79">
        <f t="shared" si="5"/>
        <v>44832</v>
      </c>
      <c r="C110" s="70">
        <f t="shared" si="6"/>
        <v>8408</v>
      </c>
      <c r="D110" s="66">
        <f t="shared" si="4"/>
        <v>4204</v>
      </c>
      <c r="E110" t="s">
        <v>146</v>
      </c>
    </row>
    <row r="111" spans="2:5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5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5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5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5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5">
      <c r="B116" s="79">
        <f t="shared" si="5"/>
        <v>45013</v>
      </c>
      <c r="C116" s="70">
        <f t="shared" si="6"/>
        <v>9984.5</v>
      </c>
      <c r="D116" s="66">
        <f t="shared" si="4"/>
        <v>2627.5</v>
      </c>
      <c r="E116" t="s">
        <v>146</v>
      </c>
    </row>
    <row r="117" spans="2:5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5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5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5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5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5">
      <c r="B122" s="79">
        <f t="shared" si="5"/>
        <v>45197</v>
      </c>
      <c r="C122" s="70">
        <f t="shared" si="6"/>
        <v>11561</v>
      </c>
      <c r="D122" s="66">
        <f t="shared" si="4"/>
        <v>1051</v>
      </c>
      <c r="E122" t="s">
        <v>146</v>
      </c>
    </row>
    <row r="123" spans="2:5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5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5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5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opLeftCell="A7" workbookViewId="0">
      <selection activeCell="G18" sqref="G1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C5">
        <f>TRUNC(B5/12)</f>
        <v>27</v>
      </c>
      <c r="E5" s="42"/>
      <c r="J5" s="47" t="s">
        <v>89</v>
      </c>
      <c r="L5" s="44" t="s">
        <v>90</v>
      </c>
      <c r="M5" t="s">
        <v>91</v>
      </c>
      <c r="N5" t="s">
        <v>526</v>
      </c>
    </row>
    <row r="6" spans="1:14" ht="12.75" customHeight="1">
      <c r="A6" t="s">
        <v>92</v>
      </c>
      <c r="B6" s="48">
        <f>E19</f>
        <v>-0.28809999999999997</v>
      </c>
      <c r="C6" s="44" t="s">
        <v>93</v>
      </c>
      <c r="D6" s="43" t="s">
        <v>94</v>
      </c>
      <c r="E6" s="42"/>
      <c r="J6" t="s">
        <v>95</v>
      </c>
      <c r="K6" s="49">
        <f>B4-B15</f>
        <v>126265.87347032575</v>
      </c>
      <c r="L6" s="39">
        <f>B4*(E8/100)</f>
        <v>22.361854677500006</v>
      </c>
      <c r="M6" s="49">
        <f>B13-L6</f>
        <v>370.39652967424718</v>
      </c>
      <c r="N6" s="59">
        <f>L6/SUM(L6:M6)</f>
        <v>5.6935397354810229E-2</v>
      </c>
    </row>
    <row r="7" spans="1:14" ht="12.75" customHeight="1">
      <c r="E7" s="42"/>
      <c r="J7" t="s">
        <v>96</v>
      </c>
      <c r="K7" s="49">
        <f>K6-(B13-L7)</f>
        <v>125895.41153479763</v>
      </c>
      <c r="L7" s="39">
        <f>(K6*(E8/100))</f>
        <v>22.296448823635025</v>
      </c>
      <c r="M7" s="49">
        <f>B13-L7</f>
        <v>370.46193552811212</v>
      </c>
      <c r="N7" s="59">
        <f t="shared" ref="N7:N13" si="0">L7/SUM(L7:M7)</f>
        <v>5.6768867863726459E-2</v>
      </c>
    </row>
    <row r="8" spans="1:14" ht="12.75" customHeight="1">
      <c r="B8" s="42"/>
      <c r="D8" t="s">
        <v>177</v>
      </c>
      <c r="E8" s="50">
        <f>(B6+0.5)/12</f>
        <v>1.7658333333333335E-2</v>
      </c>
      <c r="J8" t="s">
        <v>97</v>
      </c>
      <c r="K8" s="49">
        <f>K7-(B13-L8)</f>
        <v>125524.88418186607</v>
      </c>
      <c r="L8" s="39">
        <f>(K7*(E8/100))</f>
        <v>22.231031420186351</v>
      </c>
      <c r="M8" s="49">
        <f>B13-L8</f>
        <v>370.52735293156081</v>
      </c>
      <c r="N8" s="59">
        <f t="shared" si="0"/>
        <v>5.6602308966310057E-2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1.0001765833333334</v>
      </c>
      <c r="J9" t="s">
        <v>99</v>
      </c>
      <c r="K9" s="49">
        <f>K8-(B13-L9)</f>
        <v>125154.29139997944</v>
      </c>
      <c r="L9" s="39">
        <f>(K8*(E8/100))</f>
        <v>22.165602465114521</v>
      </c>
      <c r="M9" s="49">
        <f>B13-L9</f>
        <v>370.59278188663262</v>
      </c>
      <c r="N9" s="59">
        <f t="shared" si="0"/>
        <v>5.6435720657368363E-2</v>
      </c>
    </row>
    <row r="10" spans="1:14" ht="12.75" customHeight="1">
      <c r="B10" s="42"/>
      <c r="D10" t="s">
        <v>100</v>
      </c>
      <c r="E10" s="50">
        <f>E9^-B5</f>
        <v>0.94306460264518976</v>
      </c>
      <c r="J10" t="s">
        <v>101</v>
      </c>
      <c r="K10" s="49">
        <f>K9-(B13-L10)</f>
        <v>124783.63317758407</v>
      </c>
      <c r="L10" s="39">
        <f>(K9*(E8/100))</f>
        <v>22.100161956379708</v>
      </c>
      <c r="M10" s="49">
        <f>B13-L10</f>
        <v>370.65822239536749</v>
      </c>
      <c r="N10" s="59">
        <f t="shared" si="0"/>
        <v>5.6269102931707782E-2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5.6935397354810231</v>
      </c>
      <c r="J11" t="s">
        <v>104</v>
      </c>
      <c r="K11" s="51">
        <f>K10-(B13-L11)</f>
        <v>124412.90950312426</v>
      </c>
      <c r="L11" s="39">
        <f>(K10*(E8/100))</f>
        <v>22.034709891941723</v>
      </c>
      <c r="M11" s="49">
        <f>B13-L11</f>
        <v>370.72367445980547</v>
      </c>
      <c r="N11" s="59">
        <f t="shared" si="0"/>
        <v>5.6102455784133795E-2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392.75838435174717</v>
      </c>
      <c r="E13" s="42"/>
      <c r="F13" s="44"/>
      <c r="G13" s="53"/>
      <c r="L13" s="54">
        <f>SUM(L6:L11)</f>
        <v>133.18980923475732</v>
      </c>
      <c r="M13" s="54">
        <f>SUM(M6:M11)</f>
        <v>2223.3604968757254</v>
      </c>
      <c r="N13" s="59">
        <f t="shared" si="0"/>
        <v>5.6518975593009446E-2</v>
      </c>
    </row>
    <row r="14" spans="1:14" ht="12.75" customHeight="1">
      <c r="A14" t="s">
        <v>106</v>
      </c>
      <c r="B14" s="55">
        <f>B4*(E8/100)</f>
        <v>22.361854677500006</v>
      </c>
      <c r="E14" s="42"/>
    </row>
    <row r="15" spans="1:14" ht="12.75" customHeight="1">
      <c r="A15" t="s">
        <v>107</v>
      </c>
      <c r="B15" s="55">
        <f>B13-B14</f>
        <v>370.39652967424718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392.75994435174715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-0.28809999999999997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-5.7619999999999996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2223.3604968757254</v>
      </c>
      <c r="C22" s="58">
        <f>B22/170000</f>
        <v>1.3078591158092503E-2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124412.90950312426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-0.27600000000000002</v>
      </c>
      <c r="F27">
        <v>11</v>
      </c>
      <c r="G27" s="57">
        <v>1</v>
      </c>
    </row>
    <row r="28" spans="1:9" ht="12.75" customHeight="1">
      <c r="C28" s="59"/>
      <c r="E28" s="42">
        <v>-0.28799999999999998</v>
      </c>
      <c r="F28">
        <v>12</v>
      </c>
      <c r="G28" s="57">
        <v>1</v>
      </c>
    </row>
    <row r="29" spans="1:9" ht="12.75" customHeight="1">
      <c r="C29" s="59"/>
      <c r="E29" s="42">
        <v>-0.28699999999999998</v>
      </c>
      <c r="F29">
        <v>13</v>
      </c>
      <c r="G29" s="57">
        <v>1</v>
      </c>
    </row>
    <row r="30" spans="1:9" ht="12.75" customHeight="1">
      <c r="C30" s="59"/>
      <c r="E30" s="42">
        <v>-0.29299999999999998</v>
      </c>
      <c r="F30">
        <v>14</v>
      </c>
      <c r="G30" s="57">
        <v>1</v>
      </c>
    </row>
    <row r="31" spans="1:9" ht="12.75" customHeight="1">
      <c r="E31" s="42">
        <v>-0.29399999999999998</v>
      </c>
      <c r="F31">
        <v>17</v>
      </c>
      <c r="G31" s="57">
        <v>1</v>
      </c>
    </row>
    <row r="32" spans="1:9" ht="12.75" customHeight="1">
      <c r="C32" s="58"/>
      <c r="E32" s="42">
        <v>-0.29199999999999998</v>
      </c>
      <c r="F32">
        <v>18</v>
      </c>
      <c r="G32" s="57">
        <v>1</v>
      </c>
    </row>
    <row r="33" spans="2:7" ht="12.75" customHeight="1">
      <c r="B33" s="119"/>
      <c r="C33" s="59"/>
      <c r="E33" s="42">
        <v>-0.28799999999999998</v>
      </c>
      <c r="F33">
        <v>19</v>
      </c>
      <c r="G33" s="57">
        <v>1</v>
      </c>
    </row>
    <row r="34" spans="2:7" ht="12.75" customHeight="1">
      <c r="C34" s="58"/>
      <c r="E34" s="42">
        <v>-0.29399999999999998</v>
      </c>
      <c r="F34">
        <v>20</v>
      </c>
      <c r="G34" s="57">
        <v>1</v>
      </c>
    </row>
    <row r="35" spans="2:7" ht="12.75" customHeight="1">
      <c r="C35" s="58"/>
      <c r="E35" s="42">
        <v>-0.28699999999999998</v>
      </c>
      <c r="F35">
        <v>21</v>
      </c>
      <c r="G35" s="57">
        <v>1</v>
      </c>
    </row>
    <row r="36" spans="2:7" ht="12.75" customHeight="1">
      <c r="E36" s="42">
        <v>-0.28399999999999997</v>
      </c>
      <c r="F36">
        <v>24</v>
      </c>
      <c r="G36" s="57">
        <v>1</v>
      </c>
    </row>
    <row r="37" spans="2:7" ht="12.75" customHeight="1">
      <c r="E37" s="42">
        <v>-0.29499999999999998</v>
      </c>
      <c r="F37">
        <v>25</v>
      </c>
      <c r="G37" s="57">
        <v>1</v>
      </c>
    </row>
    <row r="38" spans="2:7" ht="12.75" customHeight="1">
      <c r="E38" s="42">
        <v>-0.30599999999999999</v>
      </c>
      <c r="F38">
        <v>26</v>
      </c>
      <c r="G38" s="57">
        <v>1</v>
      </c>
    </row>
    <row r="39" spans="2:7" ht="12.75" customHeight="1">
      <c r="E39" s="42">
        <v>-0.30299999999999999</v>
      </c>
      <c r="F39">
        <v>27</v>
      </c>
      <c r="G39" s="57">
        <v>1</v>
      </c>
    </row>
    <row r="40" spans="2:7" ht="12.75" customHeight="1">
      <c r="E40" s="42">
        <v>-0.311</v>
      </c>
      <c r="F40">
        <v>28</v>
      </c>
      <c r="G40" s="57">
        <v>1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20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D27" sqref="D27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6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v>126636.27</v>
      </c>
      <c r="C26" s="71">
        <v>-2.8809999999999999E-3</v>
      </c>
      <c r="D26" s="73">
        <v>392.77</v>
      </c>
      <c r="E26" s="72">
        <f t="shared" ref="E26" si="12">D26-D25</f>
        <v>3.5099999999999909</v>
      </c>
      <c r="G26" s="68">
        <f t="shared" si="0"/>
        <v>2356.62</v>
      </c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>
        <f>Hipoteca!B4</f>
        <v>126636.27</v>
      </c>
      <c r="C27" s="71">
        <f>Hipoteca!B$6/100</f>
        <v>-2.8809999999999999E-3</v>
      </c>
      <c r="D27" s="73">
        <f>Hipoteca!B$13</f>
        <v>392.75838435174717</v>
      </c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7.4622632900432882E-3</v>
      </c>
      <c r="D83" s="85">
        <f>AVERAGE(D2:D82)</f>
        <v>484.58823949807186</v>
      </c>
      <c r="E83" s="86">
        <f>AVERAGE(E3:E82)</f>
        <v>-18.970000000000002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73239.215055588735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2"/>
  <sheetViews>
    <sheetView tabSelected="1" topLeftCell="J22" zoomScaleNormal="100" workbookViewId="0">
      <selection activeCell="L39" sqref="L39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287</v>
      </c>
      <c r="B1" s="240"/>
      <c r="C1" s="241"/>
      <c r="D1" s="319"/>
      <c r="E1" s="242"/>
      <c r="F1" s="243" t="s">
        <v>288</v>
      </c>
      <c r="G1" s="244"/>
      <c r="H1" s="244"/>
      <c r="I1" s="244"/>
      <c r="J1" s="244"/>
      <c r="K1" s="245" t="s">
        <v>289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290</v>
      </c>
      <c r="B2" s="252" t="s">
        <v>291</v>
      </c>
      <c r="C2" s="252" t="s">
        <v>292</v>
      </c>
      <c r="D2" s="320" t="s">
        <v>330</v>
      </c>
      <c r="E2" s="252" t="s">
        <v>293</v>
      </c>
      <c r="F2" s="253" t="s">
        <v>294</v>
      </c>
      <c r="G2" s="254" t="s">
        <v>295</v>
      </c>
      <c r="H2" s="254" t="s">
        <v>296</v>
      </c>
      <c r="I2" s="254" t="s">
        <v>297</v>
      </c>
      <c r="J2" s="254" t="s">
        <v>7</v>
      </c>
      <c r="K2" s="255" t="s">
        <v>294</v>
      </c>
      <c r="L2" s="256" t="s">
        <v>295</v>
      </c>
      <c r="M2" s="256" t="s">
        <v>297</v>
      </c>
      <c r="N2" s="257" t="s">
        <v>7</v>
      </c>
      <c r="O2" s="258" t="s">
        <v>7</v>
      </c>
      <c r="P2" s="259" t="s">
        <v>298</v>
      </c>
      <c r="Q2" s="259" t="s">
        <v>623</v>
      </c>
      <c r="R2" s="259" t="s">
        <v>93</v>
      </c>
      <c r="S2" s="260" t="s">
        <v>299</v>
      </c>
      <c r="T2" s="261"/>
      <c r="U2" s="249" t="s">
        <v>858</v>
      </c>
    </row>
    <row r="3" spans="1:27">
      <c r="A3" s="262" t="s">
        <v>300</v>
      </c>
      <c r="B3" s="262" t="s">
        <v>818</v>
      </c>
      <c r="C3" s="263">
        <v>4180</v>
      </c>
      <c r="D3" s="321">
        <f ca="1">_xlfn.DAYS(K3,F3)</f>
        <v>13</v>
      </c>
      <c r="E3" s="264">
        <f>I3-J3</f>
        <v>4210.9413249999998</v>
      </c>
      <c r="F3" s="265">
        <v>43882</v>
      </c>
      <c r="G3" s="263">
        <v>22.57</v>
      </c>
      <c r="H3" s="266">
        <f>TRUNC(C3/G3)</f>
        <v>185</v>
      </c>
      <c r="I3" s="264">
        <f>(G3*H3)</f>
        <v>4175.45</v>
      </c>
      <c r="J3" s="264">
        <f>-(IF((I3*0.005)&lt;20,20,(I3*0.005))+(I3*0.0035))</f>
        <v>-35.491325000000003</v>
      </c>
      <c r="K3" s="265">
        <f ca="1">TODAY()</f>
        <v>43895</v>
      </c>
      <c r="L3" s="301">
        <v>27.07</v>
      </c>
      <c r="M3" s="264">
        <f>(H3*L3)</f>
        <v>5007.95</v>
      </c>
      <c r="N3" s="264">
        <f>-(IF((M3*0.005)&lt;20,20,(M3*0.005)) + (M3*0.0035))</f>
        <v>-42.567574999999998</v>
      </c>
      <c r="O3" s="267">
        <f>J3+N3</f>
        <v>-78.058899999999994</v>
      </c>
      <c r="P3" s="268">
        <f>M3-I3+N3</f>
        <v>789.93242499999997</v>
      </c>
      <c r="Q3" s="268">
        <f>M3+N3</f>
        <v>4965.3824249999998</v>
      </c>
      <c r="R3" s="269">
        <f>P3/E3</f>
        <v>0.18759046114231953</v>
      </c>
      <c r="S3" s="270" t="s">
        <v>320</v>
      </c>
      <c r="U3">
        <v>22.8</v>
      </c>
    </row>
    <row r="4" spans="1:27">
      <c r="A4" s="262" t="s">
        <v>301</v>
      </c>
      <c r="B4" s="262" t="s">
        <v>321</v>
      </c>
      <c r="C4" s="263">
        <v>4090</v>
      </c>
      <c r="D4" s="321">
        <f ca="1">_xlfn.DAYS(K4,F4)</f>
        <v>8</v>
      </c>
      <c r="E4" s="264">
        <f>I4-J4</f>
        <v>4105.0138500000003</v>
      </c>
      <c r="F4" s="271">
        <v>43887</v>
      </c>
      <c r="G4" s="263">
        <v>38.67</v>
      </c>
      <c r="H4" s="266">
        <f>TRUNC(C4/G4)</f>
        <v>105</v>
      </c>
      <c r="I4" s="264">
        <f>(G4*H4)</f>
        <v>4060.3500000000004</v>
      </c>
      <c r="J4" s="264">
        <f>-(IF((I4*0.0075)&lt;30,30,(I4*0.0075))+(I4*0.0035))</f>
        <v>-44.663850000000004</v>
      </c>
      <c r="K4" s="271">
        <f ca="1">TODAY()</f>
        <v>43895</v>
      </c>
      <c r="L4" s="301">
        <v>44.07</v>
      </c>
      <c r="M4" s="264">
        <f>(H4*L4)</f>
        <v>4627.3500000000004</v>
      </c>
      <c r="N4" s="264">
        <f>-(IF((M4*0.0075)&lt;30,30,(M4*0.0075)) + (M4*0.0035))</f>
        <v>-50.900850000000005</v>
      </c>
      <c r="O4" s="272">
        <f>J4+N4</f>
        <v>-95.564700000000016</v>
      </c>
      <c r="P4" s="273">
        <f>M4-E4+N4</f>
        <v>471.4353000000001</v>
      </c>
      <c r="Q4" s="273">
        <f>M4+N4</f>
        <v>4576.4491500000004</v>
      </c>
      <c r="R4" s="274">
        <f>P4/E4</f>
        <v>0.11484377817629046</v>
      </c>
      <c r="S4" s="275" t="s">
        <v>320</v>
      </c>
      <c r="T4" s="339"/>
      <c r="U4">
        <v>39.54</v>
      </c>
    </row>
    <row r="5" spans="1:27">
      <c r="A5" s="262" t="s">
        <v>301</v>
      </c>
      <c r="B5" s="262" t="s">
        <v>302</v>
      </c>
      <c r="C5" s="263">
        <v>5100</v>
      </c>
      <c r="D5" s="321">
        <f ca="1">_xlfn.DAYS(K5,F5)</f>
        <v>741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43895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320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54"/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455"/>
      <c r="N10" s="455"/>
      <c r="O10" s="455"/>
      <c r="P10" s="455"/>
      <c r="Q10" s="455"/>
      <c r="R10" s="455"/>
      <c r="S10" s="455"/>
    </row>
    <row r="11" spans="1:27">
      <c r="A11" s="456" t="s">
        <v>303</v>
      </c>
      <c r="B11" s="457"/>
      <c r="C11" s="457"/>
      <c r="D11" s="457"/>
      <c r="E11" s="457"/>
      <c r="F11" s="457"/>
      <c r="G11" s="457"/>
      <c r="H11" s="457"/>
      <c r="I11" s="457"/>
      <c r="J11" s="457"/>
      <c r="K11" s="457"/>
      <c r="L11" s="457"/>
      <c r="M11" s="457"/>
      <c r="N11" s="457"/>
      <c r="O11" s="457"/>
      <c r="P11" s="457"/>
      <c r="Q11" s="457"/>
      <c r="R11" s="457"/>
      <c r="S11" s="457"/>
    </row>
    <row r="12" spans="1:27">
      <c r="A12" s="290" t="s">
        <v>290</v>
      </c>
      <c r="B12" s="290" t="s">
        <v>291</v>
      </c>
      <c r="C12" s="290" t="s">
        <v>292</v>
      </c>
      <c r="D12" s="323" t="s">
        <v>330</v>
      </c>
      <c r="E12" s="290" t="s">
        <v>293</v>
      </c>
      <c r="F12" s="291" t="s">
        <v>294</v>
      </c>
      <c r="G12" s="292" t="s">
        <v>295</v>
      </c>
      <c r="H12" s="292" t="s">
        <v>296</v>
      </c>
      <c r="I12" s="292" t="s">
        <v>297</v>
      </c>
      <c r="J12" s="292" t="s">
        <v>7</v>
      </c>
      <c r="K12" s="293" t="s">
        <v>294</v>
      </c>
      <c r="L12" s="294" t="s">
        <v>295</v>
      </c>
      <c r="M12" s="294" t="s">
        <v>297</v>
      </c>
      <c r="N12" s="295" t="s">
        <v>7</v>
      </c>
      <c r="O12" s="296" t="s">
        <v>7</v>
      </c>
      <c r="P12" s="297" t="s">
        <v>298</v>
      </c>
      <c r="Q12" s="297" t="s">
        <v>623</v>
      </c>
      <c r="R12" s="297" t="s">
        <v>93</v>
      </c>
      <c r="S12" s="298" t="s">
        <v>299</v>
      </c>
      <c r="T12" s="338" t="s">
        <v>369</v>
      </c>
      <c r="U12" s="338" t="s">
        <v>542</v>
      </c>
      <c r="X12" s="329" t="s">
        <v>316</v>
      </c>
      <c r="Y12" s="329" t="s">
        <v>317</v>
      </c>
      <c r="Z12" s="329" t="s">
        <v>318</v>
      </c>
      <c r="AA12" s="329" t="s">
        <v>319</v>
      </c>
    </row>
    <row r="13" spans="1:27">
      <c r="A13" s="262" t="s">
        <v>300</v>
      </c>
      <c r="B13" s="262" t="s">
        <v>304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304</v>
      </c>
      <c r="T13" s="59">
        <f>R13+R14</f>
        <v>-4.7120556421087471E-2</v>
      </c>
      <c r="X13" s="39">
        <f t="shared" ref="X13:X42" ca="1" si="1">D13/D$44</f>
        <v>3.4047226798462386E-2</v>
      </c>
      <c r="Y13" s="119">
        <f ca="1">X13*E13</f>
        <v>136.84496150466779</v>
      </c>
      <c r="Z13" s="38"/>
    </row>
    <row r="14" spans="1:27">
      <c r="A14" s="262" t="s">
        <v>300</v>
      </c>
      <c r="B14" s="262" t="s">
        <v>304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305</v>
      </c>
      <c r="X14" s="39">
        <f t="shared" ca="1" si="1"/>
        <v>0</v>
      </c>
      <c r="Y14" s="119">
        <f t="shared" ref="Y14:Y42" ca="1" si="3">X14*E14</f>
        <v>0</v>
      </c>
    </row>
    <row r="15" spans="1:27">
      <c r="A15" s="262" t="s">
        <v>300</v>
      </c>
      <c r="B15" s="262" t="s">
        <v>306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306</v>
      </c>
      <c r="X15" s="39">
        <f t="shared" ca="1" si="1"/>
        <v>3.0203185063152116E-2</v>
      </c>
      <c r="Y15" s="119">
        <f t="shared" ca="1" si="3"/>
        <v>0</v>
      </c>
    </row>
    <row r="16" spans="1:27">
      <c r="A16" s="262" t="s">
        <v>300</v>
      </c>
      <c r="B16" s="262" t="s">
        <v>307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307</v>
      </c>
      <c r="X16" s="39">
        <f t="shared" ca="1" si="1"/>
        <v>7.6880834706205383E-3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308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309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300</v>
      </c>
      <c r="B19" s="262" t="s">
        <v>307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307</v>
      </c>
      <c r="T19" s="59">
        <f>R19+R21+R24</f>
        <v>0.24013324659263452</v>
      </c>
      <c r="X19" s="39">
        <f t="shared" ca="1" si="1"/>
        <v>0.47721032399780339</v>
      </c>
      <c r="Y19" s="119">
        <f t="shared" ca="1" si="3"/>
        <v>2110.8921089950582</v>
      </c>
    </row>
    <row r="20" spans="1:25">
      <c r="A20" s="262" t="s">
        <v>300</v>
      </c>
      <c r="B20" s="262" t="s">
        <v>307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331</v>
      </c>
      <c r="X20" s="39">
        <f t="shared" ca="1" si="1"/>
        <v>0.34706205381658428</v>
      </c>
      <c r="Y20" s="119">
        <f t="shared" ca="1" si="3"/>
        <v>208.44546952224053</v>
      </c>
    </row>
    <row r="21" spans="1:25">
      <c r="A21" s="262" t="s">
        <v>300</v>
      </c>
      <c r="B21" s="262" t="s">
        <v>307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310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308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311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300</v>
      </c>
      <c r="B24" s="262" t="s">
        <v>307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312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300</v>
      </c>
      <c r="B25" s="262" t="s">
        <v>307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307</v>
      </c>
      <c r="X25" s="39">
        <f t="shared" ca="1" si="1"/>
        <v>0.15815485996705106</v>
      </c>
      <c r="Y25" s="119">
        <f t="shared" ca="1" si="3"/>
        <v>96.152338873146604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313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313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301</v>
      </c>
      <c r="B28" s="262" t="s">
        <v>302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302</v>
      </c>
      <c r="T28" s="59">
        <f>R28+R29+R30+R34</f>
        <v>0.15363527784681297</v>
      </c>
      <c r="U28" s="59">
        <f>(L28/L5)-1</f>
        <v>0</v>
      </c>
      <c r="X28" s="39">
        <f t="shared" ca="1" si="1"/>
        <v>0.3602416254805052</v>
      </c>
      <c r="Y28" s="119">
        <f t="shared" ca="1" si="3"/>
        <v>1854.5573472158155</v>
      </c>
    </row>
    <row r="29" spans="1:25">
      <c r="A29" s="262" t="s">
        <v>301</v>
      </c>
      <c r="B29" s="262" t="s">
        <v>302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259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301</v>
      </c>
      <c r="B30" s="262" t="s">
        <v>302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259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301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314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301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315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301</v>
      </c>
      <c r="B33" s="262" t="s">
        <v>243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243</v>
      </c>
      <c r="X33" s="39">
        <f t="shared" ca="1" si="1"/>
        <v>1.2081274025260845E-2</v>
      </c>
      <c r="Y33" s="119">
        <f t="shared" ca="1" si="3"/>
        <v>49.885105107084016</v>
      </c>
    </row>
    <row r="34" spans="1:27">
      <c r="A34" s="262" t="s">
        <v>301</v>
      </c>
      <c r="B34" s="262" t="s">
        <v>302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259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301</v>
      </c>
      <c r="B35" s="262" t="s">
        <v>243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243</v>
      </c>
      <c r="U35" s="59"/>
      <c r="X35" s="39">
        <f t="shared" ca="1" si="1"/>
        <v>8.1823174080175726E-2</v>
      </c>
      <c r="Y35" s="119">
        <f t="shared" ca="1" si="3"/>
        <v>334.55424609555189</v>
      </c>
    </row>
    <row r="36" spans="1:27">
      <c r="A36" s="262" t="s">
        <v>301</v>
      </c>
      <c r="B36" s="262" t="s">
        <v>302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259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738</v>
      </c>
      <c r="X37" s="39">
        <f t="shared" ca="1" si="1"/>
        <v>0</v>
      </c>
      <c r="Y37" s="119">
        <f t="shared" ca="1" si="3"/>
        <v>0</v>
      </c>
    </row>
    <row r="38" spans="1:27">
      <c r="A38" s="262" t="s">
        <v>300</v>
      </c>
      <c r="B38" s="262" t="s">
        <v>818</v>
      </c>
      <c r="C38" s="263">
        <v>4180</v>
      </c>
      <c r="D38" s="321">
        <f ca="1">_xlfn.DAYS(K38,F38)</f>
        <v>13</v>
      </c>
      <c r="E38" s="264">
        <f>I38-J38</f>
        <v>4210.9399999999996</v>
      </c>
      <c r="F38" s="271">
        <v>43882</v>
      </c>
      <c r="G38" s="263">
        <v>22.57</v>
      </c>
      <c r="H38" s="266">
        <f>TRUNC(C38/G38)</f>
        <v>185</v>
      </c>
      <c r="I38" s="264">
        <f>(G38*H38)</f>
        <v>4175.45</v>
      </c>
      <c r="J38" s="264">
        <v>-35.49</v>
      </c>
      <c r="K38" s="271">
        <f ca="1">TODAY()</f>
        <v>43895</v>
      </c>
      <c r="L38" s="301">
        <v>19</v>
      </c>
      <c r="M38" s="264">
        <f>(H38*L38)</f>
        <v>3515</v>
      </c>
      <c r="N38" s="264">
        <f>-(IF((M38*0.005)&lt;20,20,(M38*0.005)) + (M38*0.0027))</f>
        <v>-29.490500000000001</v>
      </c>
      <c r="O38" s="272">
        <f>J38+N38</f>
        <v>-64.980500000000006</v>
      </c>
      <c r="P38" s="273">
        <f>M38-I38+N38</f>
        <v>-689.94049999999982</v>
      </c>
      <c r="Q38" s="273">
        <f>M38+N38</f>
        <v>3485.5095000000001</v>
      </c>
      <c r="R38" s="274">
        <f>P38/E38</f>
        <v>-0.16384477100124911</v>
      </c>
      <c r="S38" s="275" t="s">
        <v>320</v>
      </c>
      <c r="X38" s="39">
        <f t="shared" ca="1" si="1"/>
        <v>7.1389346512904994E-3</v>
      </c>
      <c r="Y38" s="119">
        <f t="shared" ca="1" si="3"/>
        <v>30.061625480505214</v>
      </c>
    </row>
    <row r="39" spans="1:27">
      <c r="A39" s="262" t="s">
        <v>301</v>
      </c>
      <c r="B39" s="262" t="s">
        <v>321</v>
      </c>
      <c r="C39" s="263">
        <v>4090</v>
      </c>
      <c r="D39" s="321">
        <f ca="1">_xlfn.DAYS(K39,F39)</f>
        <v>8</v>
      </c>
      <c r="E39" s="264">
        <f>I39-J39</f>
        <v>4105.0138500000003</v>
      </c>
      <c r="F39" s="271">
        <v>43887</v>
      </c>
      <c r="G39" s="263">
        <v>38.67</v>
      </c>
      <c r="H39" s="266">
        <f>TRUNC(C39/G39)</f>
        <v>105</v>
      </c>
      <c r="I39" s="264">
        <f>(G39*H39)</f>
        <v>4060.3500000000004</v>
      </c>
      <c r="J39" s="264">
        <f>-(IF((I39*0.0075)&lt;30,30,(I39*0.0075))+(I39*0.0035))</f>
        <v>-44.663850000000004</v>
      </c>
      <c r="K39" s="271">
        <f ca="1">TODAY()</f>
        <v>43895</v>
      </c>
      <c r="L39" s="301">
        <v>36</v>
      </c>
      <c r="M39" s="264">
        <f>(H39*L39)</f>
        <v>3780</v>
      </c>
      <c r="N39" s="264">
        <f>-(IF((M39*0.0075)&lt;30,30,(M39*0.0075)) + (M39*0.0035))</f>
        <v>-43.230000000000004</v>
      </c>
      <c r="O39" s="272">
        <f>J39+N39</f>
        <v>-87.893850000000015</v>
      </c>
      <c r="P39" s="273">
        <f>M39-E39+N39</f>
        <v>-368.24385000000029</v>
      </c>
      <c r="Q39" s="273">
        <f>M39+N39</f>
        <v>3736.77</v>
      </c>
      <c r="R39" s="274">
        <f>P39/E39</f>
        <v>-8.9705872734144432E-2</v>
      </c>
      <c r="S39" s="275" t="s">
        <v>320</v>
      </c>
      <c r="T39" s="339"/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>
        <v>-2.73</v>
      </c>
      <c r="Q40" s="273"/>
      <c r="R40" s="274"/>
      <c r="S40" s="275" t="s">
        <v>876</v>
      </c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262"/>
      <c r="B42" s="262"/>
      <c r="C42" s="263"/>
      <c r="D42" s="321"/>
      <c r="E42" s="278"/>
      <c r="F42" s="300"/>
      <c r="G42" s="263"/>
      <c r="H42" s="266"/>
      <c r="I42" s="264"/>
      <c r="J42" s="264"/>
      <c r="K42" s="271"/>
      <c r="L42" s="263"/>
      <c r="M42" s="264"/>
      <c r="N42" s="264"/>
      <c r="O42" s="272"/>
      <c r="P42" s="273"/>
      <c r="Q42" s="273"/>
      <c r="R42" s="274"/>
      <c r="S42" s="275"/>
      <c r="X42" s="39">
        <f t="shared" ca="1" si="1"/>
        <v>0</v>
      </c>
      <c r="Y42" s="119">
        <f t="shared" ca="1" si="3"/>
        <v>0</v>
      </c>
    </row>
    <row r="43" spans="1:27">
      <c r="A43" s="312"/>
      <c r="B43" s="313"/>
      <c r="C43" s="314"/>
      <c r="D43" s="324">
        <f ca="1">SUM(D13:D42)</f>
        <v>2768</v>
      </c>
      <c r="E43" s="314">
        <f>SUM(E13:E42)</f>
        <v>64791.592195999998</v>
      </c>
      <c r="F43" s="317"/>
      <c r="G43" s="314"/>
      <c r="H43" s="315"/>
      <c r="I43" s="314"/>
      <c r="J43" s="318">
        <f>SUM(J13:J42)</f>
        <v>-311.73188600000003</v>
      </c>
      <c r="K43" s="313"/>
      <c r="L43" s="313"/>
      <c r="M43" s="313"/>
      <c r="N43" s="318">
        <f>SUM(N13:N42)</f>
        <v>-497.41565900000001</v>
      </c>
      <c r="O43" s="314">
        <f>SUM(O13:O42)</f>
        <v>-720.36764700000003</v>
      </c>
      <c r="P43" s="314">
        <f>SUM(P13:P42)</f>
        <v>3337.9707330000001</v>
      </c>
      <c r="Q43" s="314"/>
      <c r="R43" s="325">
        <f>SUM(R13:R42)</f>
        <v>3.8200986544428543</v>
      </c>
      <c r="S43" s="316"/>
      <c r="X43" s="326">
        <f ca="1">SUM(X13:X42)</f>
        <v>1.5156507413509062</v>
      </c>
      <c r="Y43" s="327">
        <f ca="1">SUM(Y13:Y42)</f>
        <v>4821.3932027940709</v>
      </c>
      <c r="Z43" s="328">
        <f ca="1">P43/Y43</f>
        <v>0.69232493443297571</v>
      </c>
      <c r="AA43" s="328">
        <f ca="1">Z43/(D$44/365)</f>
        <v>0.13876913842286445</v>
      </c>
    </row>
    <row r="44" spans="1:27">
      <c r="C44" s="119" t="s">
        <v>333</v>
      </c>
      <c r="D44" s="46">
        <f ca="1">_xlfn.DAYS(TODAY(),F13)</f>
        <v>1821</v>
      </c>
      <c r="E44" s="119"/>
      <c r="F44" s="300"/>
      <c r="G44" s="119"/>
      <c r="H44" s="302"/>
      <c r="I44" s="119"/>
      <c r="J44" s="119"/>
      <c r="P44" s="119"/>
      <c r="Q44" s="119"/>
      <c r="R44" s="59"/>
    </row>
    <row r="45" spans="1:27">
      <c r="C45" s="119"/>
      <c r="E45" s="119"/>
      <c r="F45" s="300"/>
      <c r="G45" s="119"/>
      <c r="H45" s="302"/>
      <c r="I45" s="119"/>
      <c r="J45" s="119"/>
    </row>
    <row r="46" spans="1:27">
      <c r="C46" s="119"/>
      <c r="E46" s="119"/>
      <c r="F46" s="300"/>
      <c r="G46" s="119"/>
      <c r="H46" s="302"/>
      <c r="I46" s="119"/>
      <c r="J46" s="119"/>
      <c r="R46" s="119"/>
    </row>
    <row r="47" spans="1:27">
      <c r="C47" s="119"/>
      <c r="E47" s="119"/>
      <c r="F47" s="300"/>
      <c r="G47" s="119"/>
      <c r="H47" s="302"/>
      <c r="I47" s="119"/>
      <c r="J47" s="119"/>
      <c r="L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C51" s="119"/>
      <c r="E51" s="119"/>
      <c r="F51" s="300"/>
      <c r="G51" s="119"/>
      <c r="H51" s="302"/>
      <c r="I51" s="119"/>
      <c r="J51" s="119"/>
    </row>
    <row r="52" spans="3:29">
      <c r="T52" s="119"/>
      <c r="U52" s="58"/>
    </row>
    <row r="53" spans="3:29">
      <c r="E53" s="41"/>
      <c r="I53" s="41"/>
      <c r="J53" s="41"/>
      <c r="K53" s="41"/>
      <c r="L53" s="41"/>
      <c r="M53" s="41"/>
      <c r="N53" s="41"/>
      <c r="O53" s="41"/>
      <c r="P53" s="41"/>
      <c r="Q53" s="41"/>
      <c r="T53" s="41"/>
    </row>
    <row r="54" spans="3:29">
      <c r="G54" s="38"/>
      <c r="H54" s="41"/>
    </row>
    <row r="55" spans="3:29">
      <c r="AC55" s="119"/>
    </row>
    <row r="56" spans="3:29">
      <c r="I56" s="38"/>
      <c r="J56" s="38"/>
      <c r="K56" s="38"/>
      <c r="L56" s="38"/>
      <c r="M56" s="38"/>
      <c r="N56" s="38"/>
      <c r="O56" s="38"/>
      <c r="P56" s="38"/>
      <c r="Q56" s="38"/>
      <c r="R56" s="38"/>
      <c r="T56" s="38"/>
    </row>
    <row r="57" spans="3:29">
      <c r="H57" s="58"/>
      <c r="R57" s="38"/>
      <c r="U57" s="58"/>
      <c r="W57" s="59"/>
      <c r="X57" s="59"/>
    </row>
    <row r="58" spans="3:29">
      <c r="H58" s="58"/>
      <c r="I58" s="38"/>
      <c r="J58" s="38"/>
      <c r="K58" s="38"/>
      <c r="L58" s="38"/>
      <c r="M58" s="38"/>
      <c r="N58" s="38"/>
      <c r="O58" s="38"/>
      <c r="P58" s="38"/>
      <c r="Q58" s="38"/>
      <c r="R58" s="38"/>
      <c r="T58" s="38"/>
    </row>
    <row r="59" spans="3:29">
      <c r="H59" s="58"/>
      <c r="I59" s="303"/>
      <c r="J59" s="303"/>
      <c r="K59" s="303"/>
      <c r="L59" s="38"/>
      <c r="R59" s="119"/>
    </row>
    <row r="60" spans="3:29">
      <c r="H60" s="58"/>
      <c r="R60" s="119"/>
      <c r="T60" s="305"/>
    </row>
    <row r="61" spans="3:29">
      <c r="G61" s="38"/>
      <c r="T61" s="303"/>
      <c r="U61">
        <f>(0.00242*12)</f>
        <v>2.9039999999999996E-2</v>
      </c>
    </row>
    <row r="62" spans="3:29">
      <c r="P62" s="303"/>
      <c r="Q62" s="303"/>
      <c r="T62" s="306"/>
      <c r="U62">
        <f>4700*U61</f>
        <v>136.48799999999997</v>
      </c>
    </row>
    <row r="63" spans="3:29">
      <c r="R63" s="59"/>
      <c r="T63" s="307" t="s">
        <v>322</v>
      </c>
      <c r="U63" s="41" t="s">
        <v>323</v>
      </c>
      <c r="V63" s="38"/>
    </row>
    <row r="64" spans="3:29" ht="15.75">
      <c r="G64" s="38"/>
      <c r="S64" t="s">
        <v>324</v>
      </c>
      <c r="T64" s="308" t="s">
        <v>325</v>
      </c>
      <c r="U64" s="309"/>
      <c r="V64" s="38"/>
    </row>
    <row r="65" spans="6:22">
      <c r="F65" s="38"/>
      <c r="G65" s="38"/>
      <c r="S65" t="s">
        <v>326</v>
      </c>
      <c r="T65" s="308" t="s">
        <v>327</v>
      </c>
      <c r="U65" t="s">
        <v>328</v>
      </c>
    </row>
    <row r="66" spans="6:22">
      <c r="F66" s="38"/>
      <c r="G66" s="38"/>
      <c r="H66" s="38"/>
      <c r="T66" s="38"/>
      <c r="U66" t="s">
        <v>329</v>
      </c>
      <c r="V66" s="38"/>
    </row>
    <row r="67" spans="6:22">
      <c r="K67" s="310"/>
      <c r="T67" s="305"/>
    </row>
    <row r="68" spans="6:22">
      <c r="T68" s="311"/>
    </row>
    <row r="69" spans="6:22">
      <c r="T69" s="308"/>
      <c r="U69">
        <f>5000/12</f>
        <v>416.66666666666669</v>
      </c>
    </row>
    <row r="70" spans="6:22">
      <c r="U70">
        <f>2.2/U69</f>
        <v>5.28E-3</v>
      </c>
    </row>
    <row r="71" spans="6:22">
      <c r="U71">
        <f>100*U70</f>
        <v>0.52800000000000002</v>
      </c>
    </row>
    <row r="72" spans="6:22">
      <c r="U72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0"/>
  <sheetViews>
    <sheetView workbookViewId="0">
      <selection activeCell="F21" sqref="F21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9.7109375" bestFit="1" customWidth="1"/>
  </cols>
  <sheetData>
    <row r="1" spans="1:6">
      <c r="A1" s="458" t="s">
        <v>339</v>
      </c>
      <c r="B1" s="458"/>
      <c r="C1" s="458"/>
      <c r="D1" s="458"/>
      <c r="E1" s="458"/>
    </row>
    <row r="2" spans="1:6">
      <c r="A2" s="331" t="s">
        <v>335</v>
      </c>
      <c r="B2" s="332" t="s">
        <v>86</v>
      </c>
      <c r="C2" s="332" t="s">
        <v>336</v>
      </c>
      <c r="D2" s="332" t="s">
        <v>337</v>
      </c>
      <c r="E2" s="270"/>
    </row>
    <row r="3" spans="1:6">
      <c r="A3" s="333" t="s">
        <v>50</v>
      </c>
      <c r="B3" s="334">
        <f>3297.45566137566+3214.51</f>
        <v>6511.9656613756597</v>
      </c>
      <c r="C3" s="304">
        <f>B3/B$7</f>
        <v>0.78306936205432454</v>
      </c>
      <c r="D3" s="334">
        <f>D$7*C3</f>
        <v>0</v>
      </c>
      <c r="E3" s="275"/>
      <c r="F3" s="119"/>
    </row>
    <row r="4" spans="1:6">
      <c r="A4" s="333" t="s">
        <v>24</v>
      </c>
      <c r="B4" s="334">
        <f>668.403174603175+651.59</f>
        <v>1319.993174603175</v>
      </c>
      <c r="C4" s="304">
        <f t="shared" ref="C4:C6" si="0">B4/B$7</f>
        <v>0.15873029234220687</v>
      </c>
      <c r="D4" s="334">
        <f t="shared" ref="D4:D6" si="1">D$7*C4</f>
        <v>0</v>
      </c>
      <c r="E4" s="275"/>
      <c r="F4" s="119"/>
    </row>
    <row r="5" spans="1:6">
      <c r="A5" s="333" t="s">
        <v>168</v>
      </c>
      <c r="B5" s="334">
        <f>245.081164021164+238.91</f>
        <v>483.99116402116397</v>
      </c>
      <c r="C5" s="304">
        <f t="shared" si="0"/>
        <v>5.8200345603468519E-2</v>
      </c>
      <c r="D5" s="334">
        <f t="shared" si="1"/>
        <v>0</v>
      </c>
      <c r="E5" s="275"/>
      <c r="F5" s="119"/>
    </row>
    <row r="6" spans="1:6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  <c r="F6" s="119"/>
    </row>
    <row r="7" spans="1:6">
      <c r="A7" s="333" t="s">
        <v>5</v>
      </c>
      <c r="B7" s="334">
        <f>SUM(B3:B6)</f>
        <v>8315.9499999999989</v>
      </c>
      <c r="C7" s="304">
        <f>SUM(C3:C6)</f>
        <v>1</v>
      </c>
      <c r="D7" s="276">
        <f>0</f>
        <v>0</v>
      </c>
      <c r="E7" s="275" t="s">
        <v>338</v>
      </c>
      <c r="F7" s="119"/>
    </row>
    <row r="8" spans="1:6">
      <c r="A8" s="333"/>
      <c r="B8" s="334"/>
      <c r="C8" s="335"/>
      <c r="D8" s="335"/>
      <c r="E8" s="275"/>
    </row>
    <row r="9" spans="1:6">
      <c r="A9" s="333"/>
      <c r="B9" s="334"/>
      <c r="C9" s="335"/>
      <c r="D9" s="335"/>
      <c r="E9" s="275"/>
    </row>
    <row r="10" spans="1:6">
      <c r="A10" s="333"/>
      <c r="B10" s="335"/>
      <c r="C10" s="335"/>
      <c r="D10" s="335"/>
      <c r="E10" s="275"/>
    </row>
    <row r="11" spans="1:6">
      <c r="A11" s="333" t="s">
        <v>152</v>
      </c>
      <c r="B11" s="334">
        <f>4210.94+4105.01</f>
        <v>8315.9500000000007</v>
      </c>
      <c r="C11" s="335"/>
      <c r="D11" s="335"/>
      <c r="E11" s="275"/>
    </row>
    <row r="12" spans="1:6">
      <c r="A12" s="336" t="s">
        <v>5</v>
      </c>
      <c r="B12" s="337">
        <f>B11</f>
        <v>8315.9500000000007</v>
      </c>
      <c r="C12" s="329"/>
      <c r="D12" s="329"/>
      <c r="E12" s="289"/>
    </row>
    <row r="15" spans="1:6">
      <c r="A15" s="456" t="s">
        <v>368</v>
      </c>
      <c r="B15" s="456"/>
      <c r="C15" s="456"/>
      <c r="D15" s="456"/>
      <c r="E15" s="456"/>
    </row>
    <row r="17" spans="1:4">
      <c r="A17" s="330" t="s">
        <v>340</v>
      </c>
    </row>
    <row r="19" spans="1:4">
      <c r="A19" t="s">
        <v>341</v>
      </c>
    </row>
    <row r="20" spans="1:4">
      <c r="A20" t="s">
        <v>342</v>
      </c>
    </row>
    <row r="21" spans="1:4">
      <c r="A21" t="s">
        <v>343</v>
      </c>
    </row>
    <row r="22" spans="1:4">
      <c r="A22" t="s">
        <v>344</v>
      </c>
    </row>
    <row r="23" spans="1:4">
      <c r="A23" t="s">
        <v>345</v>
      </c>
    </row>
    <row r="24" spans="1:4">
      <c r="A24" t="s">
        <v>346</v>
      </c>
    </row>
    <row r="25" spans="1:4">
      <c r="A25" t="s">
        <v>347</v>
      </c>
    </row>
    <row r="26" spans="1:4">
      <c r="A26" t="s">
        <v>708</v>
      </c>
    </row>
    <row r="27" spans="1:4">
      <c r="A27" t="s">
        <v>709</v>
      </c>
    </row>
    <row r="30" spans="1:4">
      <c r="A30" s="330" t="s">
        <v>348</v>
      </c>
      <c r="B30" s="330" t="s">
        <v>349</v>
      </c>
      <c r="C30" s="330" t="s">
        <v>350</v>
      </c>
      <c r="D30" s="330" t="s">
        <v>351</v>
      </c>
    </row>
    <row r="32" spans="1:4">
      <c r="A32" t="s">
        <v>352</v>
      </c>
      <c r="B32" t="s">
        <v>353</v>
      </c>
      <c r="C32" t="s">
        <v>354</v>
      </c>
      <c r="D32" t="s">
        <v>355</v>
      </c>
    </row>
    <row r="33" spans="1:4">
      <c r="A33" t="s">
        <v>356</v>
      </c>
      <c r="B33" t="s">
        <v>357</v>
      </c>
      <c r="C33" t="s">
        <v>358</v>
      </c>
      <c r="D33" t="s">
        <v>353</v>
      </c>
    </row>
    <row r="34" spans="1:4">
      <c r="A34" t="s">
        <v>359</v>
      </c>
      <c r="B34" t="s">
        <v>360</v>
      </c>
      <c r="C34" t="s">
        <v>361</v>
      </c>
      <c r="D34" t="s">
        <v>355</v>
      </c>
    </row>
    <row r="35" spans="1:4">
      <c r="A35" t="s">
        <v>362</v>
      </c>
      <c r="B35" t="s">
        <v>353</v>
      </c>
      <c r="C35" t="s">
        <v>358</v>
      </c>
      <c r="D35" t="s">
        <v>363</v>
      </c>
    </row>
    <row r="36" spans="1:4">
      <c r="A36" t="s">
        <v>245</v>
      </c>
      <c r="B36" t="s">
        <v>353</v>
      </c>
      <c r="C36" t="s">
        <v>354</v>
      </c>
      <c r="D36" t="s">
        <v>363</v>
      </c>
    </row>
    <row r="37" spans="1:4">
      <c r="A37" t="s">
        <v>364</v>
      </c>
      <c r="B37" t="s">
        <v>355</v>
      </c>
      <c r="C37" t="s">
        <v>361</v>
      </c>
      <c r="D37" t="s">
        <v>360</v>
      </c>
    </row>
    <row r="38" spans="1:4">
      <c r="A38" t="s">
        <v>365</v>
      </c>
      <c r="B38" t="s">
        <v>353</v>
      </c>
      <c r="C38" t="s">
        <v>361</v>
      </c>
      <c r="D38" t="s">
        <v>353</v>
      </c>
    </row>
    <row r="39" spans="1:4">
      <c r="A39" t="s">
        <v>366</v>
      </c>
      <c r="B39" t="s">
        <v>355</v>
      </c>
      <c r="C39" t="s">
        <v>354</v>
      </c>
      <c r="D39" t="s">
        <v>353</v>
      </c>
    </row>
    <row r="40" spans="1:4">
      <c r="A40" t="s">
        <v>367</v>
      </c>
      <c r="B40" t="s">
        <v>355</v>
      </c>
      <c r="C40" t="s">
        <v>354</v>
      </c>
      <c r="D40" t="s">
        <v>360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60"/>
  <sheetViews>
    <sheetView topLeftCell="A37" workbookViewId="0">
      <selection activeCell="F52" sqref="F52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792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579</v>
      </c>
      <c r="B55" t="s">
        <v>580</v>
      </c>
    </row>
    <row r="56" spans="1:3">
      <c r="A56" t="s">
        <v>707</v>
      </c>
      <c r="B56" t="s">
        <v>166</v>
      </c>
    </row>
    <row r="58" spans="1:3">
      <c r="A58" t="s">
        <v>660</v>
      </c>
      <c r="B58" t="s">
        <v>661</v>
      </c>
    </row>
    <row r="59" spans="1:3">
      <c r="A59" t="s">
        <v>742</v>
      </c>
      <c r="B59" t="s">
        <v>744</v>
      </c>
      <c r="C59" t="s">
        <v>743</v>
      </c>
    </row>
    <row r="60" spans="1:3">
      <c r="A60" t="s">
        <v>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" workbookViewId="0">
      <selection activeCell="D15" sqref="D15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>
        <v>2019</v>
      </c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35">
        <f>6296.48-M5</f>
        <v>5725.0499999999993</v>
      </c>
      <c r="L5" s="436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595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9">
        <v>9189.0300000000007</v>
      </c>
      <c r="L7" s="420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9">
        <f>6954.14-0.63</f>
        <v>6953.51</v>
      </c>
      <c r="L8" s="42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9">
        <f>9496.23+4.45</f>
        <v>9500.68</v>
      </c>
      <c r="L9" s="420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9">
        <f>1804-1.98</f>
        <v>1802.02</v>
      </c>
      <c r="L10" s="420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9">
        <v>360</v>
      </c>
      <c r="L11" s="420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19"/>
      <c r="L13" s="420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252</v>
      </c>
      <c r="D14" s="137"/>
      <c r="E14" s="138"/>
      <c r="F14" s="138"/>
      <c r="G14" s="16"/>
      <c r="H14" s="112">
        <v>1129.9991905564923</v>
      </c>
      <c r="I14" s="108"/>
      <c r="J14" s="107"/>
      <c r="K14" s="419"/>
      <c r="L14" s="420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1">
        <f>SUM(K5:K18)</f>
        <v>34150.43</v>
      </c>
      <c r="L19" s="422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12"/>
      <c r="I22" s="42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12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24" t="str">
        <f>AÑO!A8</f>
        <v>Manolo Salario</v>
      </c>
      <c r="J25" s="427" t="s">
        <v>238</v>
      </c>
      <c r="K25" s="428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5"/>
      <c r="J26" s="429"/>
      <c r="K26" s="430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5"/>
      <c r="J27" s="429"/>
      <c r="K27" s="430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25"/>
      <c r="J28" s="429"/>
      <c r="K28" s="43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6"/>
      <c r="J29" s="431"/>
      <c r="K29" s="432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4" t="str">
        <f>AÑO!A9</f>
        <v>Rocío Salario</v>
      </c>
      <c r="J30" s="427" t="s">
        <v>247</v>
      </c>
      <c r="K30" s="42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625</v>
      </c>
      <c r="D31" s="137"/>
      <c r="E31" s="138"/>
      <c r="F31" s="138"/>
      <c r="G31" s="16"/>
      <c r="H31" s="112">
        <v>35</v>
      </c>
      <c r="I31" s="425"/>
      <c r="J31" s="429"/>
      <c r="K31" s="430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5"/>
      <c r="J32" s="429"/>
      <c r="K32" s="430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4" t="s">
        <v>204</v>
      </c>
      <c r="J35" s="427" t="s">
        <v>233</v>
      </c>
      <c r="K35" s="428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4" t="str">
        <f>AÑO!A11</f>
        <v>Finanazas</v>
      </c>
      <c r="J40" s="427" t="s">
        <v>245</v>
      </c>
      <c r="K40" s="42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5"/>
      <c r="J41" s="429" t="s">
        <v>722</v>
      </c>
      <c r="K41" s="430"/>
      <c r="L41" s="229">
        <v>1.98</v>
      </c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12"/>
      <c r="I42" s="425"/>
      <c r="J42" s="429" t="s">
        <v>773</v>
      </c>
      <c r="K42" s="430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12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4" t="str">
        <f>AÑO!A12</f>
        <v>Regalos</v>
      </c>
      <c r="J45" s="427" t="s">
        <v>741</v>
      </c>
      <c r="K45" s="428"/>
      <c r="L45" s="231">
        <v>1142.8599999999999</v>
      </c>
      <c r="M45" s="112" t="s">
        <v>752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750</v>
      </c>
      <c r="H46" s="112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761</v>
      </c>
      <c r="H47" s="112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764</v>
      </c>
      <c r="H48" s="112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765</v>
      </c>
      <c r="H49" s="112"/>
      <c r="I49" s="426"/>
      <c r="J49" s="431"/>
      <c r="K49" s="432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766</v>
      </c>
      <c r="H50" s="112"/>
      <c r="I50" s="424" t="str">
        <f>AÑO!A13</f>
        <v>Gubernamental</v>
      </c>
      <c r="J50" s="427" t="s">
        <v>670</v>
      </c>
      <c r="K50" s="428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780</v>
      </c>
      <c r="H51" s="112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781</v>
      </c>
      <c r="H52" s="112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786</v>
      </c>
      <c r="H53" s="112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26"/>
      <c r="J54" s="431"/>
      <c r="K54" s="432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798</v>
      </c>
      <c r="H55" s="112"/>
      <c r="I55" s="424" t="str">
        <f>AÑO!A14</f>
        <v>Mutualite/DKV</v>
      </c>
      <c r="J55" s="427" t="s">
        <v>762</v>
      </c>
      <c r="K55" s="428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804</v>
      </c>
      <c r="H56" s="112"/>
      <c r="I56" s="425"/>
      <c r="J56" s="429" t="s">
        <v>255</v>
      </c>
      <c r="K56" s="430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806</v>
      </c>
      <c r="H57" s="112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6"/>
      <c r="J59" s="431"/>
      <c r="K59" s="432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12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12"/>
      <c r="I64" s="426"/>
      <c r="J64" s="431"/>
      <c r="K64" s="432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4" t="str">
        <f>AÑO!A16</f>
        <v>Otros</v>
      </c>
      <c r="J65" s="427" t="s">
        <v>758</v>
      </c>
      <c r="K65" s="42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747</v>
      </c>
      <c r="H66" s="112"/>
      <c r="I66" s="425"/>
      <c r="J66" s="429"/>
      <c r="K66" s="43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749</v>
      </c>
      <c r="H67" s="112"/>
      <c r="I67" s="425"/>
      <c r="J67" s="429"/>
      <c r="K67" s="43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784</v>
      </c>
      <c r="H68" s="112"/>
      <c r="I68" s="425"/>
      <c r="J68" s="429"/>
      <c r="K68" s="43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783</v>
      </c>
      <c r="H69" s="112"/>
      <c r="I69" s="439"/>
      <c r="J69" s="440"/>
      <c r="K69" s="441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782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790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809</v>
      </c>
      <c r="H72" s="112"/>
      <c r="I72" s="208"/>
      <c r="J72"/>
      <c r="K72"/>
      <c r="L72">
        <v>83</v>
      </c>
      <c r="M72" s="1" t="s">
        <v>734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737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736</v>
      </c>
      <c r="K74">
        <f ca="1">DAY(TODAY())</f>
        <v>5</v>
      </c>
      <c r="L74">
        <f ca="1">K74*L73</f>
        <v>16.129032258064516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-66.870967741935488</v>
      </c>
      <c r="M75" s="1" t="s">
        <v>735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725</v>
      </c>
      <c r="D86" s="137"/>
      <c r="E86" s="138">
        <v>4.9000000000000004</v>
      </c>
      <c r="F86" s="138"/>
      <c r="G86" s="16" t="s">
        <v>756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756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763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785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794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807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808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728</v>
      </c>
      <c r="D106" s="137">
        <v>258.47000000000003</v>
      </c>
      <c r="E106" s="138"/>
      <c r="F106" s="138"/>
      <c r="G106" s="31" t="s">
        <v>726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727</v>
      </c>
      <c r="D107" s="137">
        <v>70.36</v>
      </c>
      <c r="E107" s="138"/>
      <c r="F107" s="138"/>
      <c r="G107" s="31" t="s">
        <v>727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729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730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778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791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793</v>
      </c>
      <c r="D116" s="137"/>
      <c r="E116" s="138">
        <v>469</v>
      </c>
      <c r="F116" s="138"/>
      <c r="G116" s="16" t="s">
        <v>799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805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731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637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732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733</v>
      </c>
      <c r="D146" s="137">
        <v>24.87</v>
      </c>
      <c r="E146" s="138"/>
      <c r="F146" s="138"/>
      <c r="G146" s="16" t="s">
        <v>772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771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704</v>
      </c>
      <c r="D186" s="137">
        <v>64.95</v>
      </c>
      <c r="E186" s="138"/>
      <c r="F186" s="138"/>
      <c r="G186" s="16" t="s">
        <v>748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751</v>
      </c>
      <c r="D187" s="137">
        <v>25.99</v>
      </c>
      <c r="E187" s="138"/>
      <c r="F187" s="138"/>
      <c r="G187" s="16" t="s">
        <v>754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755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800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05" t="s">
        <v>8</v>
      </c>
      <c r="C204" s="406"/>
      <c r="D204" s="413" t="s">
        <v>9</v>
      </c>
      <c r="E204" s="413"/>
      <c r="F204" s="413"/>
      <c r="G204" s="406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769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796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7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05" t="s">
        <v>8</v>
      </c>
      <c r="C224" s="406"/>
      <c r="D224" s="413" t="s">
        <v>9</v>
      </c>
      <c r="E224" s="413"/>
      <c r="F224" s="413"/>
      <c r="G224" s="406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788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705</v>
      </c>
      <c r="D257" s="137"/>
      <c r="E257" s="138">
        <v>100.67</v>
      </c>
      <c r="F257" s="138"/>
      <c r="G257" s="16" t="s">
        <v>241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05" t="s">
        <v>8</v>
      </c>
      <c r="C264" s="406"/>
      <c r="D264" s="413" t="s">
        <v>9</v>
      </c>
      <c r="E264" s="413"/>
      <c r="F264" s="413"/>
      <c r="G264" s="406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05" t="s">
        <v>8</v>
      </c>
      <c r="C284" s="406"/>
      <c r="D284" s="413" t="s">
        <v>9</v>
      </c>
      <c r="E284" s="413"/>
      <c r="F284" s="413"/>
      <c r="G284" s="406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757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758</v>
      </c>
      <c r="D287" s="137"/>
      <c r="E287" s="138">
        <v>34.369999999999997</v>
      </c>
      <c r="F287" s="138"/>
      <c r="G287" s="16" t="s">
        <v>779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795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797</v>
      </c>
      <c r="H289" s="112"/>
    </row>
    <row r="290" spans="1:8" ht="15.75">
      <c r="A290" s="112"/>
      <c r="B290" s="134">
        <v>17.07</v>
      </c>
      <c r="C290" s="16" t="s">
        <v>801</v>
      </c>
      <c r="D290" s="137">
        <v>17.07</v>
      </c>
      <c r="E290" s="138"/>
      <c r="F290" s="138"/>
      <c r="G290" s="16" t="s">
        <v>802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706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05" t="s">
        <v>8</v>
      </c>
      <c r="C304" s="406"/>
      <c r="D304" s="413" t="s">
        <v>9</v>
      </c>
      <c r="E304" s="413"/>
      <c r="F304" s="413"/>
      <c r="G304" s="406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745</v>
      </c>
      <c r="H306" s="112"/>
    </row>
    <row r="307" spans="2:8" ht="15.75">
      <c r="B307" s="134">
        <f>L55-B290</f>
        <v>719.68999999999994</v>
      </c>
      <c r="C307" s="27" t="s">
        <v>762</v>
      </c>
      <c r="D307" s="137">
        <v>32.369999999999997</v>
      </c>
      <c r="E307" s="138"/>
      <c r="F307" s="138"/>
      <c r="G307" s="16" t="s">
        <v>753</v>
      </c>
      <c r="H307" s="112"/>
    </row>
    <row r="308" spans="2:8" ht="15.75">
      <c r="B308" s="134">
        <f>L56</f>
        <v>39.75</v>
      </c>
      <c r="C308" s="27" t="s">
        <v>255</v>
      </c>
      <c r="D308" s="137"/>
      <c r="E308" s="138"/>
      <c r="F308" s="138">
        <v>80</v>
      </c>
      <c r="G308" s="16" t="s">
        <v>759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760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775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789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803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7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05" t="s">
        <v>8</v>
      </c>
      <c r="C324" s="406"/>
      <c r="D324" s="413" t="s">
        <v>9</v>
      </c>
      <c r="E324" s="413"/>
      <c r="F324" s="413"/>
      <c r="G324" s="406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787</v>
      </c>
      <c r="H326" s="112"/>
    </row>
    <row r="327" spans="2:8" ht="15.75">
      <c r="B327" s="134">
        <v>0.02</v>
      </c>
      <c r="C327" s="16" t="s">
        <v>774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7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05" t="s">
        <v>8</v>
      </c>
      <c r="C344" s="406"/>
      <c r="D344" s="413" t="s">
        <v>9</v>
      </c>
      <c r="E344" s="413"/>
      <c r="F344" s="413"/>
      <c r="G344" s="406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7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05" t="s">
        <v>8</v>
      </c>
      <c r="C364" s="406"/>
      <c r="D364" s="413" t="s">
        <v>9</v>
      </c>
      <c r="E364" s="413"/>
      <c r="F364" s="413"/>
      <c r="G364" s="406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770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7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05" t="s">
        <v>8</v>
      </c>
      <c r="C384" s="406"/>
      <c r="D384" s="413" t="s">
        <v>9</v>
      </c>
      <c r="E384" s="413"/>
      <c r="F384" s="413"/>
      <c r="G384" s="406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7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05" t="s">
        <v>8</v>
      </c>
      <c r="C404" s="406"/>
      <c r="D404" s="413" t="s">
        <v>9</v>
      </c>
      <c r="E404" s="413"/>
      <c r="F404" s="413"/>
      <c r="G404" s="406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720</v>
      </c>
      <c r="H406" s="112"/>
    </row>
    <row r="407" spans="2:8" ht="15.75">
      <c r="B407" s="134">
        <v>0.63</v>
      </c>
      <c r="C407" s="16" t="s">
        <v>723</v>
      </c>
      <c r="D407" s="137">
        <v>4.45</v>
      </c>
      <c r="E407" s="138"/>
      <c r="F407" s="138"/>
      <c r="G407" s="16" t="s">
        <v>724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  <c r="H422" s="112"/>
    </row>
    <row r="423" spans="1:8" ht="15" customHeight="1" thickBot="1">
      <c r="B423" s="410"/>
      <c r="C423" s="411"/>
      <c r="D423" s="411"/>
      <c r="E423" s="411"/>
      <c r="F423" s="411"/>
      <c r="G423" s="412"/>
      <c r="H423" s="112"/>
    </row>
    <row r="424" spans="1:8" ht="15.75">
      <c r="B424" s="405" t="s">
        <v>8</v>
      </c>
      <c r="C424" s="406"/>
      <c r="D424" s="413" t="s">
        <v>9</v>
      </c>
      <c r="E424" s="413"/>
      <c r="F424" s="413"/>
      <c r="G424" s="406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7" t="str">
        <f>AÑO!A42</f>
        <v>Dinero Bloqueado</v>
      </c>
      <c r="C442" s="408"/>
      <c r="D442" s="408"/>
      <c r="E442" s="408"/>
      <c r="F442" s="408"/>
      <c r="G442" s="409"/>
      <c r="H442" s="112"/>
    </row>
    <row r="443" spans="2:8" ht="15" customHeight="1" thickBot="1">
      <c r="B443" s="410"/>
      <c r="C443" s="411"/>
      <c r="D443" s="411"/>
      <c r="E443" s="411"/>
      <c r="F443" s="411"/>
      <c r="G443" s="412"/>
      <c r="H443" s="112"/>
    </row>
    <row r="444" spans="2:8" ht="15.75">
      <c r="B444" s="405" t="s">
        <v>8</v>
      </c>
      <c r="C444" s="406"/>
      <c r="D444" s="413" t="s">
        <v>9</v>
      </c>
      <c r="E444" s="413"/>
      <c r="F444" s="413"/>
      <c r="G444" s="406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721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7" t="str">
        <f>AÑO!A43</f>
        <v>NULO</v>
      </c>
      <c r="C462" s="408"/>
      <c r="D462" s="408"/>
      <c r="E462" s="408"/>
      <c r="F462" s="408"/>
      <c r="G462" s="409"/>
      <c r="H462" s="112"/>
    </row>
    <row r="463" spans="2:8" ht="15" customHeight="1" thickBot="1">
      <c r="B463" s="410"/>
      <c r="C463" s="411"/>
      <c r="D463" s="411"/>
      <c r="E463" s="411"/>
      <c r="F463" s="411"/>
      <c r="G463" s="412"/>
      <c r="H463" s="112"/>
    </row>
    <row r="464" spans="2:8" ht="15.75">
      <c r="B464" s="405" t="s">
        <v>8</v>
      </c>
      <c r="C464" s="406"/>
      <c r="D464" s="413" t="s">
        <v>9</v>
      </c>
      <c r="E464" s="413"/>
      <c r="F464" s="413"/>
      <c r="G464" s="406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7" t="str">
        <f>AÑO!A44</f>
        <v>NULO</v>
      </c>
      <c r="C482" s="408"/>
      <c r="D482" s="408"/>
      <c r="E482" s="408"/>
      <c r="F482" s="408"/>
      <c r="G482" s="409"/>
      <c r="H482" s="112"/>
    </row>
    <row r="483" spans="2:8" ht="15" customHeight="1" thickBot="1">
      <c r="B483" s="410"/>
      <c r="C483" s="411"/>
      <c r="D483" s="411"/>
      <c r="E483" s="411"/>
      <c r="F483" s="411"/>
      <c r="G483" s="412"/>
      <c r="H483" s="112"/>
    </row>
    <row r="484" spans="2:8" ht="15.75">
      <c r="B484" s="405" t="s">
        <v>8</v>
      </c>
      <c r="C484" s="406"/>
      <c r="D484" s="413" t="s">
        <v>9</v>
      </c>
      <c r="E484" s="413"/>
      <c r="F484" s="413"/>
      <c r="G484" s="406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7" t="str">
        <f>AÑO!A45</f>
        <v>OTROS</v>
      </c>
      <c r="C502" s="408"/>
      <c r="D502" s="408"/>
      <c r="E502" s="408"/>
      <c r="F502" s="408"/>
      <c r="G502" s="409"/>
      <c r="H502" s="112"/>
    </row>
    <row r="503" spans="2:8" ht="15" customHeight="1" thickBot="1">
      <c r="B503" s="410"/>
      <c r="C503" s="411"/>
      <c r="D503" s="411"/>
      <c r="E503" s="411"/>
      <c r="F503" s="411"/>
      <c r="G503" s="412"/>
      <c r="H503" s="112"/>
    </row>
    <row r="504" spans="2:8" ht="15.75">
      <c r="B504" s="405" t="s">
        <v>8</v>
      </c>
      <c r="C504" s="406"/>
      <c r="D504" s="413" t="s">
        <v>9</v>
      </c>
      <c r="E504" s="413"/>
      <c r="F504" s="413"/>
      <c r="G504" s="406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699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9" zoomScaleNormal="100" workbookViewId="0">
      <selection activeCell="H195" sqref="H19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1.42578125" style="89"/>
    <col min="9" max="9" width="12" style="89" bestFit="1" customWidth="1"/>
    <col min="10" max="10" width="31.28515625" style="89" customWidth="1"/>
    <col min="11" max="13" width="11.42578125" style="89"/>
    <col min="14" max="14" width="12.7109375" style="89" bestFit="1" customWidth="1"/>
    <col min="15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6035.06</v>
      </c>
      <c r="L5" s="436"/>
      <c r="M5" s="1"/>
      <c r="N5" s="1"/>
      <c r="R5" s="3"/>
    </row>
    <row r="6" spans="1:22" ht="15.75">
      <c r="A6" s="112">
        <f>'01'!A6+(B6-SUM(D6:F6))</f>
        <v>6.1399999999999864</v>
      </c>
      <c r="B6" s="133">
        <v>389.26</v>
      </c>
      <c r="C6" s="19" t="s">
        <v>871</v>
      </c>
      <c r="D6" s="137"/>
      <c r="E6" s="138">
        <v>389.12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620.16</v>
      </c>
      <c r="L6" s="420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8564.5</v>
      </c>
      <c r="L7" s="420"/>
      <c r="M7" s="1"/>
      <c r="N7" s="112"/>
      <c r="R7" s="3"/>
    </row>
    <row r="8" spans="1:22" ht="15.75">
      <c r="A8" s="112">
        <f>'01'!A8+(B8-SUM(D8:F8))</f>
        <v>-109.69</v>
      </c>
      <c r="B8" s="134">
        <v>112.31</v>
      </c>
      <c r="C8" s="16" t="s">
        <v>33</v>
      </c>
      <c r="D8" s="137"/>
      <c r="E8" s="113">
        <v>109.69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6954.14</v>
      </c>
      <c r="L8" s="420"/>
      <c r="M8" s="1"/>
      <c r="N8" s="1"/>
      <c r="R8" s="3"/>
    </row>
    <row r="9" spans="1:22" ht="15.75">
      <c r="A9" s="112">
        <f>'01'!A9+(B9-SUM(D9:F9))</f>
        <v>-24.17</v>
      </c>
      <c r="B9" s="134">
        <v>0</v>
      </c>
      <c r="C9" s="16" t="s">
        <v>35</v>
      </c>
      <c r="D9" s="137"/>
      <c r="E9" s="138">
        <v>24.17</v>
      </c>
      <c r="F9" s="138"/>
      <c r="G9" s="16" t="s">
        <v>35</v>
      </c>
      <c r="H9" s="1"/>
      <c r="I9" s="108" t="s">
        <v>61</v>
      </c>
      <c r="J9" s="107" t="s">
        <v>154</v>
      </c>
      <c r="K9" s="419">
        <v>9496.23</v>
      </c>
      <c r="L9" s="420"/>
      <c r="M9" s="1"/>
      <c r="N9" s="112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1804</v>
      </c>
      <c r="L10" s="420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315+50</f>
        <v>365</v>
      </c>
      <c r="L11" s="420"/>
      <c r="M11" s="1"/>
      <c r="N11" s="1"/>
      <c r="R11" s="3"/>
    </row>
    <row r="12" spans="1:22" ht="15.75">
      <c r="A12" s="112">
        <f>'01'!A12+(B12-SUM(D12:F12))</f>
        <v>-0.90000000000000568</v>
      </c>
      <c r="B12" s="134">
        <f>6.5+1.6</f>
        <v>8.1</v>
      </c>
      <c r="C12" s="16" t="s">
        <v>225</v>
      </c>
      <c r="D12" s="137"/>
      <c r="E12" s="138">
        <v>79</v>
      </c>
      <c r="F12" s="138"/>
      <c r="G12" s="16" t="s">
        <v>832</v>
      </c>
      <c r="H12" s="1"/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>'01'!A13+(B13-SUM(D13:F13))</f>
        <v>66</v>
      </c>
      <c r="B13" s="134">
        <f>-245.08-238.92</f>
        <v>-484</v>
      </c>
      <c r="C13" s="16" t="s">
        <v>845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817</v>
      </c>
      <c r="D14" s="137"/>
      <c r="E14" s="138">
        <v>1170</v>
      </c>
      <c r="F14" s="138"/>
      <c r="G14" s="16" t="s">
        <v>814</v>
      </c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'01'!A15+(B15-SUM(D15:F15))</f>
        <v>300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33839.089999999997</v>
      </c>
      <c r="L19" s="422"/>
      <c r="M19" s="1"/>
      <c r="N19" s="1"/>
      <c r="R19" s="3"/>
    </row>
    <row r="20" spans="1:18" ht="16.5" thickBot="1">
      <c r="A20" s="112">
        <f>SUM(A6:A15)</f>
        <v>1019.9091905564924</v>
      </c>
      <c r="B20" s="135">
        <f>SUM(B6:B19)</f>
        <v>205.09000000000003</v>
      </c>
      <c r="C20" s="17" t="s">
        <v>51</v>
      </c>
      <c r="D20" s="135">
        <f>SUM(D6:D19)</f>
        <v>0</v>
      </c>
      <c r="E20" s="135">
        <f>SUM(E6:E19)</f>
        <v>1814.22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>
        <v>2681.83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'01'!A27+(B27-SUM(D27:F27))</f>
        <v>62.1099999999999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'01'!A29+(B29-SUM(D29:F29))</f>
        <v>1.2000000000000028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625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>
        <v>168.61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315.31999999999988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810</v>
      </c>
      <c r="K45" s="428"/>
      <c r="L45" s="198">
        <v>170</v>
      </c>
      <c r="M45" s="112">
        <f>571.43-L45-L47</f>
        <v>0</v>
      </c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819</v>
      </c>
      <c r="H46" s="1"/>
      <c r="I46" s="425"/>
      <c r="J46" s="429" t="s">
        <v>856</v>
      </c>
      <c r="K46" s="430"/>
      <c r="L46" s="199">
        <v>200</v>
      </c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823</v>
      </c>
      <c r="H47" s="1"/>
      <c r="I47" s="425"/>
      <c r="J47" s="429" t="s">
        <v>860</v>
      </c>
      <c r="K47" s="430"/>
      <c r="L47" s="199">
        <v>401.43</v>
      </c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824</v>
      </c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827</v>
      </c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>
        <f>46.15-D146</f>
        <v>31.15</v>
      </c>
      <c r="E50" s="138"/>
      <c r="F50" s="138"/>
      <c r="G50" s="16" t="s">
        <v>829</v>
      </c>
      <c r="H50" s="1"/>
      <c r="I50" s="424" t="str">
        <f>AÑO!A13</f>
        <v>Gubernamental</v>
      </c>
      <c r="J50" s="427" t="s">
        <v>670</v>
      </c>
      <c r="K50" s="428"/>
      <c r="L50" s="198">
        <v>273.07</v>
      </c>
      <c r="M50" s="1"/>
      <c r="R50" s="3"/>
    </row>
    <row r="51" spans="1:18" ht="15.75">
      <c r="A51" s="1"/>
      <c r="B51" s="134"/>
      <c r="C51" s="16"/>
      <c r="D51" s="137">
        <v>7.04</v>
      </c>
      <c r="E51" s="138"/>
      <c r="F51" s="138"/>
      <c r="G51" s="16" t="s">
        <v>830</v>
      </c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>
        <v>81.47</v>
      </c>
      <c r="E52" s="138"/>
      <c r="F52" s="138"/>
      <c r="G52" s="16" t="s">
        <v>836</v>
      </c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>
        <v>46.9</v>
      </c>
      <c r="E53" s="138"/>
      <c r="F53" s="138"/>
      <c r="G53" s="16" t="s">
        <v>848</v>
      </c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>
        <v>60.52</v>
      </c>
      <c r="E54" s="138"/>
      <c r="F54" s="138"/>
      <c r="G54" s="16" t="s">
        <v>849</v>
      </c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>
        <v>13.85</v>
      </c>
      <c r="E55" s="138"/>
      <c r="F55" s="138"/>
      <c r="G55" s="16" t="s">
        <v>850</v>
      </c>
      <c r="H55" s="1"/>
      <c r="I55" s="424" t="str">
        <f>AÑO!A14</f>
        <v>Mutualite/DKV</v>
      </c>
      <c r="J55" s="427" t="s">
        <v>842</v>
      </c>
      <c r="K55" s="428"/>
      <c r="L55" s="198">
        <v>3101.4</v>
      </c>
      <c r="M55" s="1"/>
      <c r="N55" s="345"/>
      <c r="R55" s="3"/>
    </row>
    <row r="56" spans="1:18" ht="15.75">
      <c r="A56" s="1"/>
      <c r="B56" s="134"/>
      <c r="C56" s="16"/>
      <c r="D56" s="137">
        <f>50-D288</f>
        <v>20</v>
      </c>
      <c r="E56" s="138"/>
      <c r="F56" s="138"/>
      <c r="G56" s="16" t="s">
        <v>851</v>
      </c>
      <c r="H56" s="1"/>
      <c r="I56" s="425"/>
      <c r="J56" s="429" t="s">
        <v>255</v>
      </c>
      <c r="K56" s="430"/>
      <c r="L56" s="199">
        <v>24.66</v>
      </c>
      <c r="M56" s="1"/>
      <c r="R56" s="3"/>
    </row>
    <row r="57" spans="1:18" ht="15.75">
      <c r="A57" s="1"/>
      <c r="B57" s="134"/>
      <c r="C57" s="16"/>
      <c r="D57" s="137">
        <v>18.739999999999998</v>
      </c>
      <c r="E57" s="138"/>
      <c r="F57" s="138"/>
      <c r="G57" s="16" t="s">
        <v>852</v>
      </c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>
        <v>29.64</v>
      </c>
      <c r="E58" s="138"/>
      <c r="F58" s="138"/>
      <c r="G58" s="16" t="s">
        <v>866</v>
      </c>
      <c r="H58" s="1"/>
      <c r="I58" s="425"/>
      <c r="J58" s="429"/>
      <c r="K58" s="430"/>
      <c r="L58" s="199"/>
      <c r="M58" s="1"/>
      <c r="N58" s="345"/>
      <c r="R58" s="3"/>
    </row>
    <row r="59" spans="1:18" ht="16.5" thickBot="1">
      <c r="A59" s="1"/>
      <c r="B59" s="135"/>
      <c r="C59" s="17"/>
      <c r="D59" s="135">
        <v>30.68</v>
      </c>
      <c r="E59" s="139"/>
      <c r="F59" s="139"/>
      <c r="G59" s="17" t="s">
        <v>867</v>
      </c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447.53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223</v>
      </c>
      <c r="K60" s="428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19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 t="s">
        <v>833</v>
      </c>
      <c r="K65" s="428"/>
      <c r="L65" s="198">
        <v>9.5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812</v>
      </c>
      <c r="H66" s="1"/>
      <c r="I66" s="425"/>
      <c r="J66" s="429"/>
      <c r="K66" s="430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821</v>
      </c>
      <c r="H67" s="1"/>
      <c r="I67" s="425"/>
      <c r="J67" s="429"/>
      <c r="K67" s="43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822</v>
      </c>
      <c r="H68" s="1"/>
      <c r="I68" s="425"/>
      <c r="J68" s="429"/>
      <c r="K68" s="430"/>
      <c r="L68" s="199"/>
      <c r="M68" s="1"/>
      <c r="R68" s="3"/>
    </row>
    <row r="69" spans="1:18" ht="16.5" thickBot="1">
      <c r="A69" s="112"/>
      <c r="B69" s="134"/>
      <c r="C69" s="16"/>
      <c r="D69" s="137">
        <v>21.5</v>
      </c>
      <c r="E69" s="138"/>
      <c r="F69" s="138"/>
      <c r="G69" s="16" t="s">
        <v>837</v>
      </c>
      <c r="H69" s="1"/>
      <c r="I69" s="439"/>
      <c r="J69" s="440"/>
      <c r="K69" s="441"/>
      <c r="L69" s="200"/>
      <c r="M69" s="1"/>
      <c r="R69" s="3"/>
    </row>
    <row r="70" spans="1:18" ht="15.75">
      <c r="A70" s="112"/>
      <c r="B70" s="134"/>
      <c r="C70" s="16"/>
      <c r="D70" s="137">
        <v>65.5</v>
      </c>
      <c r="E70" s="138"/>
      <c r="F70" s="138"/>
      <c r="G70" s="16" t="s">
        <v>853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>
        <f>9+7</f>
        <v>16</v>
      </c>
      <c r="G71" s="16" t="s">
        <v>864</v>
      </c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21.25</v>
      </c>
      <c r="E72" s="138"/>
      <c r="F72" s="138"/>
      <c r="G72" s="16" t="s">
        <v>865</v>
      </c>
      <c r="H72" s="1"/>
      <c r="J72"/>
      <c r="K72"/>
      <c r="L72">
        <v>50</v>
      </c>
      <c r="M72" s="1" t="s">
        <v>734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737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736</v>
      </c>
      <c r="K74">
        <f ca="1">DAY(TODAY())</f>
        <v>5</v>
      </c>
      <c r="L74">
        <f ca="1">K74*L73</f>
        <v>17.241379310344826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-32.758620689655174</v>
      </c>
      <c r="M75" s="1" t="s">
        <v>735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133.11000000000001</v>
      </c>
      <c r="E80" s="135">
        <f>SUM(E66:E79)</f>
        <v>0</v>
      </c>
      <c r="F80" s="135">
        <f>SUM(F66:F79)</f>
        <v>87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725</v>
      </c>
      <c r="D86" s="137">
        <v>43.75</v>
      </c>
      <c r="E86" s="138"/>
      <c r="F86" s="138"/>
      <c r="G86" s="16" t="s">
        <v>825</v>
      </c>
      <c r="H86" s="1"/>
      <c r="M86" s="1"/>
      <c r="R86" s="3"/>
    </row>
    <row r="87" spans="1:18" ht="15.75">
      <c r="A87" s="1"/>
      <c r="B87" s="134"/>
      <c r="C87" s="16"/>
      <c r="D87" s="137"/>
      <c r="E87" s="138">
        <v>9.8000000000000007</v>
      </c>
      <c r="F87" s="138"/>
      <c r="G87" s="16" t="s">
        <v>828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6</v>
      </c>
      <c r="F88" s="138"/>
      <c r="G88" s="16" t="s">
        <v>839</v>
      </c>
      <c r="H88" s="1"/>
      <c r="M88" s="1"/>
      <c r="R88" s="3"/>
    </row>
    <row r="89" spans="1:18" ht="15.75">
      <c r="A89" s="1"/>
      <c r="B89" s="134"/>
      <c r="C89" s="16"/>
      <c r="D89" s="137">
        <v>44.34</v>
      </c>
      <c r="E89" s="138"/>
      <c r="F89" s="138"/>
      <c r="G89" s="16" t="s">
        <v>846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847</v>
      </c>
      <c r="H90" s="1"/>
      <c r="M90" s="1"/>
      <c r="R90" s="3"/>
    </row>
    <row r="91" spans="1:18" ht="15.75">
      <c r="A91" s="1"/>
      <c r="B91" s="134"/>
      <c r="C91" s="16"/>
      <c r="D91" s="137">
        <v>39.4</v>
      </c>
      <c r="E91" s="138"/>
      <c r="F91" s="138"/>
      <c r="G91" s="16" t="s">
        <v>861</v>
      </c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129.49</v>
      </c>
      <c r="E100" s="135">
        <f>SUM(E86:E99)</f>
        <v>15.8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728</v>
      </c>
      <c r="D106" s="137">
        <v>258.47000000000003</v>
      </c>
      <c r="E106" s="138"/>
      <c r="F106" s="138"/>
      <c r="G106" s="31" t="s">
        <v>726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727</v>
      </c>
      <c r="D107" s="137">
        <v>70.36</v>
      </c>
      <c r="E107" s="138"/>
      <c r="F107" s="138"/>
      <c r="G107" s="31" t="s">
        <v>727</v>
      </c>
      <c r="H107" s="1"/>
      <c r="M107" s="1"/>
      <c r="R107" s="3"/>
    </row>
    <row r="108" spans="1:18" ht="15.75">
      <c r="A108" s="112">
        <f>'01'!A108+(B108-SUM(D108:F108))</f>
        <v>197.25</v>
      </c>
      <c r="B108" s="134">
        <f>90+L45</f>
        <v>260</v>
      </c>
      <c r="C108" s="18" t="s">
        <v>729</v>
      </c>
      <c r="D108" s="137">
        <v>262.75</v>
      </c>
      <c r="E108" s="138"/>
      <c r="F108" s="138"/>
      <c r="G108" s="34" t="s">
        <v>729</v>
      </c>
      <c r="H108" s="1"/>
      <c r="M108" s="1"/>
      <c r="R108" s="3"/>
    </row>
    <row r="109" spans="1:18" ht="15.75">
      <c r="A109" s="112">
        <f>'01'!A109+(B109-SUM(D109:F109))</f>
        <v>0.57999999999999829</v>
      </c>
      <c r="B109" s="134">
        <v>39</v>
      </c>
      <c r="C109" s="18" t="s">
        <v>730</v>
      </c>
      <c r="D109" s="137">
        <v>38.71</v>
      </c>
      <c r="E109" s="138"/>
      <c r="F109" s="138"/>
      <c r="G109" s="31" t="s">
        <v>730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793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731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5457.7415974244996</v>
      </c>
      <c r="B120" s="135">
        <f>SUM(B106:B119)</f>
        <v>848.47</v>
      </c>
      <c r="C120" s="17" t="s">
        <v>51</v>
      </c>
      <c r="D120" s="135">
        <f>SUM(D106:D119)</f>
        <v>921.22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732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55.599999999999994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15</f>
        <v>15</v>
      </c>
      <c r="E146" s="138"/>
      <c r="F146" s="138"/>
      <c r="G146" s="16" t="s">
        <v>829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862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39.870000000000005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421.11</v>
      </c>
      <c r="F166" s="138"/>
      <c r="G166" s="16" t="s">
        <v>841</v>
      </c>
      <c r="H166" s="112">
        <f>E166-B167</f>
        <v>19.680000000000007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f>L47</f>
        <v>401.43</v>
      </c>
      <c r="C167" s="16" t="s">
        <v>157</v>
      </c>
      <c r="D167" s="137"/>
      <c r="E167" s="138">
        <v>217.8</v>
      </c>
      <c r="F167" s="138"/>
      <c r="G167" s="16" t="s">
        <v>854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>
        <v>800</v>
      </c>
      <c r="C168" s="16" t="s">
        <v>870</v>
      </c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1401.43</v>
      </c>
      <c r="C180" s="17" t="s">
        <v>51</v>
      </c>
      <c r="D180" s="135">
        <f>SUM(D166:D179)</f>
        <v>0</v>
      </c>
      <c r="E180" s="135">
        <f>SUM(E166:E179)</f>
        <v>638.91000000000008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704</v>
      </c>
      <c r="D186" s="137">
        <v>5</v>
      </c>
      <c r="E186" s="138"/>
      <c r="F186" s="138"/>
      <c r="G186" s="16" t="s">
        <v>813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59.75</f>
        <v>59.75</v>
      </c>
      <c r="E187" s="138"/>
      <c r="F187" s="344"/>
      <c r="G187" s="16" t="s">
        <v>831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64.75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824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'01'!A246+(B246+B247-SUM(D246:F255))</f>
        <v>-27.260000000000012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826</v>
      </c>
    </row>
    <row r="247" spans="1:7" ht="15" customHeight="1">
      <c r="A247" s="112"/>
      <c r="B247" s="134">
        <v>9.5</v>
      </c>
      <c r="C247" s="16" t="s">
        <v>833</v>
      </c>
      <c r="D247" s="137">
        <v>31.67</v>
      </c>
      <c r="E247" s="138"/>
      <c r="F247" s="344"/>
      <c r="G247" s="16" t="s">
        <v>834</v>
      </c>
    </row>
    <row r="248" spans="1:7" ht="15.75">
      <c r="A248" s="112"/>
      <c r="B248" s="134">
        <v>82.52</v>
      </c>
      <c r="C248" s="16" t="s">
        <v>491</v>
      </c>
      <c r="D248" s="137"/>
      <c r="E248" s="138">
        <f>67.29-E287</f>
        <v>41.210000000000008</v>
      </c>
      <c r="F248" s="138"/>
      <c r="G248" s="16" t="s">
        <v>840</v>
      </c>
    </row>
    <row r="249" spans="1:7" ht="15.75">
      <c r="A249" s="112"/>
      <c r="B249" s="134"/>
      <c r="C249" s="16"/>
      <c r="D249" s="137"/>
      <c r="E249" s="138">
        <v>7.99</v>
      </c>
      <c r="F249" s="138"/>
      <c r="G249" s="16" t="s">
        <v>855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'01'!A257+(B257-SUM(D257:F257))</f>
        <v>201.43</v>
      </c>
      <c r="B257" s="134">
        <f>0</f>
        <v>0</v>
      </c>
      <c r="C257" s="16" t="s">
        <v>767</v>
      </c>
      <c r="D257" s="137"/>
      <c r="E257" s="138">
        <v>100.67</v>
      </c>
      <c r="F257" s="138"/>
      <c r="G257" s="16" t="s">
        <v>241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244.17</v>
      </c>
      <c r="B260" s="135">
        <f>SUM(B246:B259)</f>
        <v>142.01999999999998</v>
      </c>
      <c r="C260" s="17" t="s">
        <v>51</v>
      </c>
      <c r="D260" s="135">
        <f>SUM(D246:D259)</f>
        <v>67.23</v>
      </c>
      <c r="E260" s="135">
        <f>SUM(E246:E259)</f>
        <v>149.87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54.159999999999769</v>
      </c>
      <c r="B286" s="133">
        <f>60+50</f>
        <v>110</v>
      </c>
      <c r="C286" s="19" t="s">
        <v>31</v>
      </c>
      <c r="D286" s="137">
        <f>22.07-D186</f>
        <v>17.07</v>
      </c>
      <c r="E286" s="138"/>
      <c r="F286" s="138"/>
      <c r="G286" s="16" t="s">
        <v>813</v>
      </c>
    </row>
    <row r="287" spans="1:8" ht="15.75">
      <c r="A287" s="112"/>
      <c r="B287" s="134"/>
      <c r="C287" s="16"/>
      <c r="D287" s="137"/>
      <c r="E287" s="138">
        <f>11.56+14.52</f>
        <v>26.08</v>
      </c>
      <c r="F287" s="138"/>
      <c r="G287" s="16" t="s">
        <v>840</v>
      </c>
      <c r="H287" s="92"/>
    </row>
    <row r="288" spans="1:8" ht="15.75">
      <c r="A288" s="112"/>
      <c r="B288" s="134"/>
      <c r="C288" s="16"/>
      <c r="D288" s="137">
        <v>30</v>
      </c>
      <c r="E288" s="138"/>
      <c r="F288" s="138"/>
      <c r="G288" s="16" t="s">
        <v>851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120</v>
      </c>
      <c r="B299" s="135">
        <f>50+50</f>
        <v>100</v>
      </c>
      <c r="C299" s="17" t="s">
        <v>706</v>
      </c>
      <c r="D299" s="135"/>
      <c r="E299" s="139"/>
      <c r="F299" s="139"/>
      <c r="G299" s="17"/>
    </row>
    <row r="300" spans="1:8" ht="16.5" thickBot="1">
      <c r="A300" s="112">
        <f>SUM(A286:A299)</f>
        <v>174.15999999999977</v>
      </c>
      <c r="B300" s="135">
        <f>SUM(B286:B299)</f>
        <v>210</v>
      </c>
      <c r="C300" s="17" t="s">
        <v>51</v>
      </c>
      <c r="D300" s="135">
        <f>SUM(D286:D299)</f>
        <v>47.07</v>
      </c>
      <c r="E300" s="135">
        <f>SUM(E286:E299)</f>
        <v>26.08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768</v>
      </c>
      <c r="D306" s="137">
        <v>98.62</v>
      </c>
      <c r="E306" s="138"/>
      <c r="F306" s="138"/>
      <c r="G306" s="16" t="s">
        <v>820</v>
      </c>
    </row>
    <row r="307" spans="2:7">
      <c r="B307" s="134">
        <f>L56</f>
        <v>24.66</v>
      </c>
      <c r="C307" s="27" t="s">
        <v>255</v>
      </c>
      <c r="D307" s="137">
        <v>300</v>
      </c>
      <c r="E307" s="138"/>
      <c r="F307" s="138"/>
      <c r="G307" s="16" t="s">
        <v>859</v>
      </c>
    </row>
    <row r="308" spans="2:7">
      <c r="B308" s="134">
        <v>350</v>
      </c>
      <c r="C308" s="27" t="s">
        <v>491</v>
      </c>
      <c r="D308" s="137"/>
      <c r="E308" s="138"/>
      <c r="F308" s="138">
        <v>80</v>
      </c>
      <c r="G308" s="16" t="s">
        <v>863</v>
      </c>
    </row>
    <row r="309" spans="2:7">
      <c r="B309" s="134"/>
      <c r="C309" s="16"/>
      <c r="D309" s="137">
        <v>10.65</v>
      </c>
      <c r="E309" s="138"/>
      <c r="F309" s="138"/>
      <c r="G309" s="16" t="s">
        <v>868</v>
      </c>
    </row>
    <row r="310" spans="2:7">
      <c r="B310" s="134"/>
      <c r="C310" s="16"/>
      <c r="D310" s="137">
        <v>20.09</v>
      </c>
      <c r="E310" s="138"/>
      <c r="F310" s="138"/>
      <c r="G310" s="16" t="s">
        <v>869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474.65999999999997</v>
      </c>
      <c r="C320" s="17" t="s">
        <v>51</v>
      </c>
      <c r="D320" s="135">
        <f>SUM(D306:D319)</f>
        <v>429.35999999999996</v>
      </c>
      <c r="E320" s="135">
        <f>SUM(E306:E319)</f>
        <v>0</v>
      </c>
      <c r="F320" s="135">
        <f>SUM(F306:F319)</f>
        <v>80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230</v>
      </c>
      <c r="F326" s="138"/>
      <c r="G326" s="16" t="s">
        <v>838</v>
      </c>
    </row>
    <row r="327" spans="2:7">
      <c r="B327" s="134">
        <v>200</v>
      </c>
      <c r="C327" s="16" t="s">
        <v>856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290</v>
      </c>
      <c r="C340" s="17" t="s">
        <v>51</v>
      </c>
      <c r="D340" s="135">
        <f>SUM(D326:D339)</f>
        <v>0</v>
      </c>
      <c r="E340" s="135">
        <f>SUM(E326:E339)</f>
        <v>230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>
        <v>44.68</v>
      </c>
      <c r="E346" s="138"/>
      <c r="F346" s="138"/>
      <c r="G346" s="16" t="s">
        <v>857</v>
      </c>
    </row>
    <row r="347" spans="2:7">
      <c r="B347" s="134">
        <v>1000</v>
      </c>
      <c r="C347" s="16" t="s">
        <v>843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1010</v>
      </c>
      <c r="C360" s="17" t="s">
        <v>51</v>
      </c>
      <c r="D360" s="135">
        <f>SUM(D346:D359)</f>
        <v>44.68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4.5+4.5+4+4.5+4.5</f>
        <v>22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>
        <v>-668.4</v>
      </c>
      <c r="C387" s="16" t="s">
        <v>844</v>
      </c>
      <c r="D387" s="137"/>
      <c r="E387" s="138"/>
      <c r="F387" s="138"/>
      <c r="G387" s="16"/>
    </row>
    <row r="388" spans="2:7">
      <c r="B388" s="134">
        <v>-651.59</v>
      </c>
      <c r="C388" s="16" t="s">
        <v>844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-1299.99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>
        <v>-3297.46</v>
      </c>
      <c r="C407" s="16" t="s">
        <v>844</v>
      </c>
      <c r="D407" s="137"/>
      <c r="E407" s="138"/>
      <c r="F407" s="138"/>
      <c r="G407" s="16"/>
    </row>
    <row r="408" spans="2:7">
      <c r="B408" s="134">
        <v>-3214.51</v>
      </c>
      <c r="C408" s="16" t="s">
        <v>844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-6461.97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AÑO!G17</f>
        <v>7967.5899999999983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587.17999999999847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v>401.42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>
        <v>9.5</v>
      </c>
      <c r="B429" s="134"/>
      <c r="C429" s="16"/>
      <c r="D429" s="137"/>
      <c r="E429" s="138"/>
      <c r="F429" s="138"/>
      <c r="G429" s="16"/>
      <c r="H429" s="113"/>
    </row>
    <row r="430" spans="1:8">
      <c r="A430" s="113">
        <f>L56</f>
        <v>24.66</v>
      </c>
      <c r="B430" s="134"/>
      <c r="C430" s="16"/>
      <c r="D430" s="137"/>
      <c r="E430" s="138"/>
      <c r="F430" s="138"/>
      <c r="G430" s="16"/>
      <c r="H430" s="113"/>
    </row>
    <row r="431" spans="1:8">
      <c r="A431" s="113">
        <v>1000</v>
      </c>
      <c r="B431" s="134"/>
      <c r="C431" s="16"/>
      <c r="D431" s="137"/>
      <c r="E431" s="138"/>
      <c r="F431" s="138"/>
      <c r="G431" s="16"/>
    </row>
    <row r="432" spans="1:8">
      <c r="A432" s="113">
        <v>200</v>
      </c>
      <c r="B432" s="134"/>
      <c r="C432" s="16"/>
      <c r="D432" s="137"/>
      <c r="E432" s="138"/>
      <c r="F432" s="138"/>
      <c r="G432" s="16"/>
    </row>
    <row r="433" spans="1:7">
      <c r="A433" s="113">
        <v>1332.52</v>
      </c>
      <c r="B433" s="134"/>
      <c r="C433" s="16"/>
      <c r="D433" s="137"/>
      <c r="E433" s="138"/>
      <c r="F433" s="138"/>
      <c r="G433" s="16"/>
    </row>
    <row r="434" spans="1:7">
      <c r="B434" s="134"/>
      <c r="C434" s="16"/>
      <c r="D434" s="137"/>
      <c r="E434" s="138"/>
      <c r="F434" s="138"/>
      <c r="G434" s="16"/>
    </row>
    <row r="435" spans="1:7">
      <c r="B435" s="134"/>
      <c r="C435" s="16"/>
      <c r="D435" s="137"/>
      <c r="E435" s="138"/>
      <c r="F435" s="138"/>
      <c r="G435" s="16"/>
    </row>
    <row r="436" spans="1:7">
      <c r="B436" s="134"/>
      <c r="C436" s="16"/>
      <c r="D436" s="137"/>
      <c r="E436" s="138"/>
      <c r="F436" s="138"/>
      <c r="G436" s="16"/>
    </row>
    <row r="437" spans="1:7">
      <c r="B437" s="134"/>
      <c r="C437" s="16"/>
      <c r="D437" s="137"/>
      <c r="E437" s="138"/>
      <c r="F437" s="138"/>
      <c r="G437" s="16"/>
    </row>
    <row r="438" spans="1:7">
      <c r="B438" s="134"/>
      <c r="C438" s="16"/>
      <c r="D438" s="137"/>
      <c r="E438" s="138"/>
      <c r="F438" s="138"/>
      <c r="G438" s="16"/>
    </row>
    <row r="439" spans="1:7" ht="15.75" thickBot="1">
      <c r="B439" s="135"/>
      <c r="C439" s="17"/>
      <c r="D439" s="135"/>
      <c r="E439" s="139"/>
      <c r="F439" s="139"/>
      <c r="G439" s="17"/>
    </row>
    <row r="440" spans="1:7" ht="15.75" thickBot="1">
      <c r="B440" s="135">
        <f>SUM(B426:B439)</f>
        <v>587.17999999999847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1:7" ht="15.75" thickBot="1">
      <c r="B441" s="5"/>
      <c r="C441" s="3"/>
      <c r="D441" s="5"/>
      <c r="E441" s="5"/>
    </row>
    <row r="442" spans="1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1:7" ht="15" customHeight="1" thickBot="1">
      <c r="B443" s="410"/>
      <c r="C443" s="411"/>
      <c r="D443" s="411"/>
      <c r="E443" s="411"/>
      <c r="F443" s="411"/>
      <c r="G443" s="412"/>
    </row>
    <row r="444" spans="1:7">
      <c r="B444" s="405" t="s">
        <v>8</v>
      </c>
      <c r="C444" s="406"/>
      <c r="D444" s="413" t="s">
        <v>9</v>
      </c>
      <c r="E444" s="413"/>
      <c r="F444" s="413"/>
      <c r="G444" s="406"/>
    </row>
    <row r="445" spans="1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1:7">
      <c r="B446" s="133">
        <v>4210.9399999999996</v>
      </c>
      <c r="C446" s="19" t="s">
        <v>818</v>
      </c>
      <c r="D446" s="137"/>
      <c r="E446" s="138"/>
      <c r="F446" s="138"/>
      <c r="G446" s="16"/>
    </row>
    <row r="447" spans="1:7">
      <c r="B447" s="134">
        <v>4105.01</v>
      </c>
      <c r="C447" s="16" t="s">
        <v>321</v>
      </c>
      <c r="D447" s="137"/>
      <c r="E447" s="138"/>
      <c r="F447" s="138"/>
      <c r="G447" s="16"/>
    </row>
    <row r="448" spans="1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8315.9500000000007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57" workbookViewId="0">
      <selection activeCell="K166" sqref="K16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3051.61</v>
      </c>
      <c r="L5" s="436"/>
      <c r="M5" s="1"/>
      <c r="N5" s="1"/>
      <c r="R5" s="3"/>
    </row>
    <row r="6" spans="1:22" ht="15.75">
      <c r="A6" s="112">
        <f>'02'!A6+(B6-SUM(D6:F6))</f>
        <v>395.4</v>
      </c>
      <c r="B6" s="133">
        <v>389.26</v>
      </c>
      <c r="C6" s="19" t="s">
        <v>871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2000.16</v>
      </c>
      <c r="L6" s="420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7833.69</v>
      </c>
      <c r="L7" s="420"/>
      <c r="M7" s="1"/>
      <c r="N7" s="1"/>
      <c r="R7" s="3"/>
    </row>
    <row r="8" spans="1:22" ht="15.75">
      <c r="A8" s="112">
        <f>'02'!A8+(B8-SUM(D8:F8))</f>
        <v>0</v>
      </c>
      <c r="B8" s="134">
        <v>109.69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11341.37</v>
      </c>
      <c r="L8" s="420"/>
      <c r="M8" s="1"/>
      <c r="N8" s="1"/>
      <c r="R8" s="3"/>
    </row>
    <row r="9" spans="1:22" ht="15.75">
      <c r="A9" s="112">
        <f>'02'!A9+(B9-SUM(D9:F9))</f>
        <v>0</v>
      </c>
      <c r="B9" s="134">
        <v>24.17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9">
        <v>334.05</v>
      </c>
      <c r="L9" s="420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1804</v>
      </c>
      <c r="L10" s="420"/>
      <c r="M10" s="1" t="s">
        <v>153</v>
      </c>
      <c r="N10" s="1"/>
      <c r="R10" s="3"/>
    </row>
    <row r="11" spans="1:22" ht="15.75">
      <c r="A11" s="112">
        <f>'02'!A11+(B11-SUM(D11:F11))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15+50+490</f>
        <v>555</v>
      </c>
      <c r="L11" s="420"/>
      <c r="M11" s="1"/>
      <c r="N11" s="1"/>
      <c r="R11" s="3"/>
    </row>
    <row r="12" spans="1:22" ht="15.75">
      <c r="A12" s="112">
        <f>'02'!A12+(B12-SUM(D12:F12))</f>
        <v>6.199999999999994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8315.9500000000007</v>
      </c>
      <c r="L12" s="420"/>
      <c r="M12" s="92"/>
      <c r="N12" s="1"/>
      <c r="R12" s="3"/>
    </row>
    <row r="13" spans="1:22" ht="15.75">
      <c r="A13" s="112">
        <f>'02'!A13+(B13-SUM(D13:F13))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252</v>
      </c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'02'!A15+(B15-SUM(D15:F15))</f>
        <v>301</v>
      </c>
      <c r="B15" s="134">
        <v>1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35235.83</v>
      </c>
      <c r="L19" s="422"/>
      <c r="M19" s="1"/>
      <c r="N19" s="1"/>
      <c r="R19" s="3"/>
    </row>
    <row r="20" spans="1:18" ht="16.5" thickBot="1">
      <c r="A20" s="112">
        <f>SUM(A6:A15)</f>
        <v>1700.3091905564922</v>
      </c>
      <c r="B20" s="135">
        <f>SUM(B6:B19)</f>
        <v>710.64</v>
      </c>
      <c r="C20" s="17" t="s">
        <v>51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25115.88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'02'!A27+(B27-SUM(D27:F27))</f>
        <v>252.1099999999999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'02'!A29+(B29-SUM(D29:F29))</f>
        <v>20.200000000000003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625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>
        <v>285.27999999999997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1479.32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810</v>
      </c>
      <c r="K45" s="428"/>
      <c r="L45" s="198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25"/>
      <c r="J46" s="429" t="s">
        <v>879</v>
      </c>
      <c r="K46" s="430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670</v>
      </c>
      <c r="K50" s="428"/>
      <c r="L50" s="198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877</v>
      </c>
      <c r="K60" s="428"/>
      <c r="L60" s="198">
        <f>550</f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 t="s">
        <v>878</v>
      </c>
      <c r="K61" s="430"/>
      <c r="L61" s="199">
        <v>133.86000000000001</v>
      </c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25"/>
      <c r="J66" s="429"/>
      <c r="K66" s="43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3984.0415974244993</v>
      </c>
      <c r="B106" s="133">
        <f>258.47+50</f>
        <v>308.47000000000003</v>
      </c>
      <c r="C106" s="18" t="s">
        <v>728</v>
      </c>
      <c r="D106" s="137">
        <v>258.47000000000003</v>
      </c>
      <c r="E106" s="138"/>
      <c r="F106" s="138"/>
      <c r="G106" s="31" t="s">
        <v>726</v>
      </c>
      <c r="H106" s="1"/>
      <c r="M106" s="1"/>
      <c r="R106" s="3"/>
    </row>
    <row r="107" spans="1:18" ht="15.75">
      <c r="A107" s="112">
        <f>'02'!A107+(B107-SUM(D107:F107))</f>
        <v>72.300000000000054</v>
      </c>
      <c r="B107" s="134">
        <v>71</v>
      </c>
      <c r="C107" s="18" t="s">
        <v>727</v>
      </c>
      <c r="D107" s="137"/>
      <c r="E107" s="138"/>
      <c r="F107" s="138"/>
      <c r="G107" s="31" t="s">
        <v>727</v>
      </c>
      <c r="H107" s="1"/>
      <c r="M107" s="1"/>
      <c r="R107" s="3"/>
    </row>
    <row r="108" spans="1:18" ht="15.75">
      <c r="A108" s="112">
        <f>'02'!A108+(B108-SUM(D108:F108))</f>
        <v>287.25</v>
      </c>
      <c r="B108" s="134">
        <f>90+L45</f>
        <v>90</v>
      </c>
      <c r="C108" s="18" t="s">
        <v>729</v>
      </c>
      <c r="D108" s="137"/>
      <c r="E108" s="138"/>
      <c r="F108" s="138"/>
      <c r="G108" s="34" t="s">
        <v>729</v>
      </c>
      <c r="H108" s="1"/>
      <c r="M108" s="1"/>
      <c r="R108" s="3"/>
    </row>
    <row r="109" spans="1:18" ht="15.75">
      <c r="A109" s="112">
        <f>'02'!A109+(B109-SUM(D109:F109))</f>
        <v>39.58</v>
      </c>
      <c r="B109" s="134">
        <v>39</v>
      </c>
      <c r="C109" s="18" t="s">
        <v>730</v>
      </c>
      <c r="D109" s="137"/>
      <c r="E109" s="138"/>
      <c r="F109" s="138"/>
      <c r="G109" s="31" t="s">
        <v>730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793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347</v>
      </c>
      <c r="B118" s="134">
        <v>70</v>
      </c>
      <c r="C118" s="18" t="s">
        <v>731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5877.7415974244996</v>
      </c>
      <c r="B120" s="135">
        <f>SUM(B106:B119)</f>
        <v>678.47</v>
      </c>
      <c r="C120" s="17" t="s">
        <v>51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16.099999999999998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732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108.6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>
        <v>84</v>
      </c>
      <c r="E166" s="138"/>
      <c r="F166" s="138"/>
      <c r="G166" s="16" t="s">
        <v>874</v>
      </c>
      <c r="H166" s="112">
        <f>'02'!H166+D166-L46</f>
        <v>103.68</v>
      </c>
      <c r="I166" s="89" t="s">
        <v>873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>
        <v>706.63</v>
      </c>
      <c r="E167" s="138"/>
      <c r="F167" s="138"/>
      <c r="G167" s="16" t="s">
        <v>881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790.63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37.739999999999988</v>
      </c>
      <c r="B246" s="134">
        <v>65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201.43</v>
      </c>
      <c r="B257" s="134">
        <f>0</f>
        <v>0</v>
      </c>
      <c r="C257" s="16" t="s">
        <v>811</v>
      </c>
      <c r="D257" s="137"/>
      <c r="E257" s="138"/>
      <c r="F257" s="138"/>
      <c r="G257" s="16" t="s">
        <v>241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309.16999999999996</v>
      </c>
      <c r="B260" s="135">
        <f>SUM(B246:B259)</f>
        <v>65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114.15999999999977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170</v>
      </c>
      <c r="B299" s="135">
        <v>50</v>
      </c>
      <c r="C299" s="17" t="s">
        <v>706</v>
      </c>
      <c r="D299" s="135"/>
      <c r="E299" s="139"/>
      <c r="F299" s="139"/>
      <c r="G299" s="17"/>
    </row>
    <row r="300" spans="1:8" ht="16.5" thickBot="1">
      <c r="A300" s="112">
        <f>SUM(A286:A299)</f>
        <v>284.15999999999974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>
        <f>3.5</f>
        <v>3.5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3.5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2.73</v>
      </c>
      <c r="E406" s="138"/>
      <c r="F406" s="138"/>
      <c r="G406" s="16" t="s">
        <v>875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2.73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AÑO!K17</f>
        <v>1242.21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-3191.6499999999996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AÑO!N41-H426</f>
        <v>-3191.6499999999996</v>
      </c>
    </row>
    <row r="428" spans="1:8">
      <c r="A428" s="113">
        <f>L61</f>
        <v>133.86000000000001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-3191.6499999999996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7" workbookViewId="0">
      <selection activeCell="B22" sqref="B22:G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42" t="str">
        <f>AÑO!A20</f>
        <v>Cártama</v>
      </c>
      <c r="C2" s="443"/>
      <c r="D2" s="443"/>
      <c r="E2" s="443"/>
      <c r="F2" s="443"/>
      <c r="G2" s="444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45"/>
      <c r="C3" s="446"/>
      <c r="D3" s="446"/>
      <c r="E3" s="446"/>
      <c r="F3" s="446"/>
      <c r="G3" s="447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/>
      <c r="L5" s="436"/>
      <c r="M5" s="1"/>
      <c r="N5" s="1"/>
      <c r="R5" s="3"/>
    </row>
    <row r="6" spans="1:22" ht="15.75">
      <c r="A6" s="112">
        <f>'03'!A6+(B6-SUM(D6:F6))</f>
        <v>788.17</v>
      </c>
      <c r="B6" s="133">
        <v>392.77</v>
      </c>
      <c r="C6" s="19" t="s">
        <v>880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/>
      <c r="L6" s="420"/>
      <c r="M6" s="1" t="s">
        <v>162</v>
      </c>
      <c r="N6" s="1"/>
      <c r="R6" s="3"/>
    </row>
    <row r="7" spans="1:22" ht="15.75">
      <c r="A7" s="112">
        <f>'03'!A7+(B7-SUM(D7:F7))</f>
        <v>774.65000000000009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/>
      <c r="L7" s="420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/>
      <c r="L8" s="42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/>
      <c r="L9" s="420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/>
      <c r="L10" s="420"/>
      <c r="M10" s="1" t="s">
        <v>153</v>
      </c>
      <c r="N10" s="1"/>
      <c r="R10" s="3"/>
    </row>
    <row r="11" spans="1:22" ht="15.75">
      <c r="A11" s="112">
        <f>'03'!A11+(B11-SUM(D11:F11))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/>
      <c r="L11" s="420"/>
      <c r="M11" s="1"/>
      <c r="N11" s="1"/>
      <c r="R11" s="3"/>
    </row>
    <row r="12" spans="1:22" ht="15.75">
      <c r="A12" s="112">
        <f>'03'!A12+(B12-SUM(D12:F12))</f>
        <v>13.299999999999994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/>
      <c r="L12" s="420"/>
      <c r="M12" s="92"/>
      <c r="N12" s="1"/>
      <c r="R12" s="3"/>
    </row>
    <row r="13" spans="1:22" ht="15.75">
      <c r="A13" s="112">
        <f>'03'!A13+(B13-SUM(D13:F13))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'03'!A14+(B14-SUM(D14:F14))</f>
        <v>237.49919055649229</v>
      </c>
      <c r="B14" s="134">
        <f>67.5</f>
        <v>67.5</v>
      </c>
      <c r="C14" s="16" t="s">
        <v>252</v>
      </c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'03'!A15+(B15-SUM(D15:F15))</f>
        <v>301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0</v>
      </c>
      <c r="L19" s="449"/>
      <c r="M19" s="1"/>
      <c r="N19" s="1"/>
      <c r="R19" s="3"/>
    </row>
    <row r="20" spans="1:18" ht="16.5" thickBot="1">
      <c r="A20" s="112">
        <f>SUM(A6:A19)</f>
        <v>2277.0991905564924</v>
      </c>
      <c r="B20" s="135">
        <f>SUM(B6:B19)</f>
        <v>576.79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42" t="str">
        <f>AÑO!A21</f>
        <v>Waterloo</v>
      </c>
      <c r="C22" s="443"/>
      <c r="D22" s="443"/>
      <c r="E22" s="443"/>
      <c r="F22" s="443"/>
      <c r="G22" s="444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45"/>
      <c r="C23" s="446"/>
      <c r="D23" s="446"/>
      <c r="E23" s="446"/>
      <c r="F23" s="446"/>
      <c r="G23" s="447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'03'!A27+(B27-SUM(D27:F27))</f>
        <v>442.1099999999999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'03'!A29+(B29-SUM(D29:F29))</f>
        <v>39.200000000000003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'03'!A30+(B30-SUM(D30:F30))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>
        <f>'03'!A31+(B31-SUM(D31:F31))</f>
        <v>75</v>
      </c>
      <c r="B31" s="134">
        <v>10</v>
      </c>
      <c r="C31" s="16" t="s">
        <v>625</v>
      </c>
      <c r="D31" s="137"/>
      <c r="E31" s="138"/>
      <c r="F31" s="138"/>
      <c r="G31" s="16"/>
      <c r="H31" s="1"/>
      <c r="I31" s="425"/>
      <c r="J31" s="429" t="s">
        <v>226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2643.3199999999997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245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250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58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249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50">
        <f>'03'!G307</f>
        <v>0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51">
        <f>'03'!G309</f>
        <v>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251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42" t="str">
        <f>AÑO!A23</f>
        <v>Ocio</v>
      </c>
      <c r="C62" s="443"/>
      <c r="D62" s="443"/>
      <c r="E62" s="443"/>
      <c r="F62" s="443"/>
      <c r="G62" s="444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45"/>
      <c r="C63" s="446"/>
      <c r="D63" s="446"/>
      <c r="E63" s="446"/>
      <c r="F63" s="446"/>
      <c r="G63" s="447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'03'!A66+(B66+B67-SUM(D66:F78))</f>
        <v>180</v>
      </c>
      <c r="B66" s="133">
        <v>180</v>
      </c>
      <c r="C66" s="19"/>
      <c r="D66" s="137"/>
      <c r="E66" s="138"/>
      <c r="F66" s="138"/>
      <c r="G66" s="19"/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180</v>
      </c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42" t="str">
        <f>AÑO!A24</f>
        <v>Transportes</v>
      </c>
      <c r="C82" s="443"/>
      <c r="D82" s="443"/>
      <c r="E82" s="443"/>
      <c r="F82" s="443"/>
      <c r="G82" s="444"/>
      <c r="H82" s="1"/>
      <c r="M82" s="1"/>
      <c r="R82" s="3"/>
    </row>
    <row r="83" spans="1:18" ht="16.149999999999999" customHeight="1" thickBot="1">
      <c r="A83" s="1"/>
      <c r="B83" s="445"/>
      <c r="C83" s="446"/>
      <c r="D83" s="446"/>
      <c r="E83" s="446"/>
      <c r="F83" s="446"/>
      <c r="G83" s="447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42" t="str">
        <f>AÑO!A25</f>
        <v>Coches</v>
      </c>
      <c r="C102" s="443"/>
      <c r="D102" s="443"/>
      <c r="E102" s="443"/>
      <c r="F102" s="443"/>
      <c r="G102" s="444"/>
      <c r="H102" s="1"/>
      <c r="M102" s="1"/>
      <c r="R102" s="3"/>
    </row>
    <row r="103" spans="1:18" ht="16.149999999999999" customHeight="1" thickBot="1">
      <c r="A103" s="1"/>
      <c r="B103" s="445"/>
      <c r="C103" s="446"/>
      <c r="D103" s="446"/>
      <c r="E103" s="446"/>
      <c r="F103" s="446"/>
      <c r="G103" s="447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4292.5115974244991</v>
      </c>
      <c r="B106" s="133">
        <f>258.47+50</f>
        <v>308.47000000000003</v>
      </c>
      <c r="C106" s="18" t="s">
        <v>728</v>
      </c>
      <c r="D106" s="137"/>
      <c r="E106" s="138"/>
      <c r="F106" s="138"/>
      <c r="G106" s="31" t="s">
        <v>726</v>
      </c>
      <c r="H106" s="1"/>
      <c r="M106" s="1"/>
      <c r="R106" s="3"/>
    </row>
    <row r="107" spans="1:18" ht="15.75">
      <c r="A107" s="112">
        <f>'03'!A107+(B107-SUM(D107:F107))</f>
        <v>143.30000000000007</v>
      </c>
      <c r="B107" s="134">
        <v>71</v>
      </c>
      <c r="C107" s="18" t="s">
        <v>727</v>
      </c>
      <c r="D107" s="137"/>
      <c r="E107" s="138"/>
      <c r="F107" s="138"/>
      <c r="G107" s="31" t="s">
        <v>727</v>
      </c>
      <c r="H107" s="1"/>
      <c r="M107" s="1"/>
      <c r="R107" s="3"/>
    </row>
    <row r="108" spans="1:18" ht="15.75">
      <c r="A108" s="112">
        <f>'03'!A108+(B108-SUM(D108:F109))</f>
        <v>377.25</v>
      </c>
      <c r="B108" s="134">
        <f>90+L45</f>
        <v>90</v>
      </c>
      <c r="C108" s="18" t="s">
        <v>729</v>
      </c>
      <c r="D108" s="137"/>
      <c r="E108" s="138"/>
      <c r="F108" s="138"/>
      <c r="G108" s="34" t="s">
        <v>729</v>
      </c>
      <c r="H108" s="1"/>
      <c r="M108" s="1"/>
      <c r="R108" s="3"/>
    </row>
    <row r="109" spans="1:18" ht="15.75">
      <c r="A109" s="112">
        <f>'03'!A109+(B109-SUM(D109:F109))</f>
        <v>78.58</v>
      </c>
      <c r="B109" s="134">
        <v>39</v>
      </c>
      <c r="C109" s="18" t="s">
        <v>730</v>
      </c>
      <c r="D109" s="137"/>
      <c r="E109" s="138"/>
      <c r="F109" s="138"/>
      <c r="G109" s="31" t="s">
        <v>730</v>
      </c>
      <c r="H109" s="1"/>
      <c r="M109" s="1"/>
      <c r="R109" s="3"/>
    </row>
    <row r="110" spans="1:18" ht="15.75">
      <c r="A110" s="112">
        <f>'03'!A110+(B110-SUM(D110:F110))</f>
        <v>652.57999999999993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'03'!A116+(B116-SUM(D116:F116))</f>
        <v>594.98999999999978</v>
      </c>
      <c r="B116" s="134"/>
      <c r="C116" s="27" t="s">
        <v>793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'03'!A118+(B118-SUM(D118:F118))</f>
        <v>417</v>
      </c>
      <c r="B118" s="134">
        <v>70</v>
      </c>
      <c r="C118" s="18" t="s">
        <v>731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A119" s="112"/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6556.2115974244989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42" t="str">
        <f>AÑO!A26</f>
        <v>Teléfono</v>
      </c>
      <c r="C122" s="443"/>
      <c r="D122" s="443"/>
      <c r="E122" s="443"/>
      <c r="F122" s="443"/>
      <c r="G122" s="444"/>
      <c r="H122" s="1"/>
      <c r="M122" s="1"/>
      <c r="R122" s="3"/>
    </row>
    <row r="123" spans="1:18" ht="16.149999999999999" customHeight="1" thickBot="1">
      <c r="A123" s="1"/>
      <c r="B123" s="445"/>
      <c r="C123" s="446"/>
      <c r="D123" s="446"/>
      <c r="E123" s="446"/>
      <c r="F123" s="446"/>
      <c r="G123" s="447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D127+D128+'03'!I127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24.099999999999998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'03'!A130+(B130-SUM(D130:F130))</f>
        <v>10</v>
      </c>
      <c r="B130" s="134">
        <v>2.5</v>
      </c>
      <c r="C130" s="16" t="s">
        <v>732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SUM(A126:A135)</f>
        <v>161.6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42" t="str">
        <f>AÑO!A27</f>
        <v>Gatos</v>
      </c>
      <c r="C142" s="443"/>
      <c r="D142" s="443"/>
      <c r="E142" s="443"/>
      <c r="F142" s="443"/>
      <c r="G142" s="444"/>
      <c r="H142" s="1"/>
      <c r="M142" s="1"/>
      <c r="R142" s="3"/>
    </row>
    <row r="143" spans="1:18" ht="16.149999999999999" customHeight="1" thickBot="1">
      <c r="A143" s="1"/>
      <c r="B143" s="445"/>
      <c r="C143" s="446"/>
      <c r="D143" s="446"/>
      <c r="E143" s="446"/>
      <c r="F143" s="446"/>
      <c r="G143" s="447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42" t="str">
        <f>AÑO!A28</f>
        <v>Vacaciones</v>
      </c>
      <c r="C162" s="443"/>
      <c r="D162" s="443"/>
      <c r="E162" s="443"/>
      <c r="F162" s="443"/>
      <c r="G162" s="44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45"/>
      <c r="C163" s="446"/>
      <c r="D163" s="446"/>
      <c r="E163" s="446"/>
      <c r="F163" s="446"/>
      <c r="G163" s="44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42" t="str">
        <f>AÑO!A29</f>
        <v>Ropa</v>
      </c>
      <c r="C182" s="443"/>
      <c r="D182" s="443"/>
      <c r="E182" s="443"/>
      <c r="F182" s="443"/>
      <c r="G182" s="44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45"/>
      <c r="C183" s="446"/>
      <c r="D183" s="446"/>
      <c r="E183" s="446"/>
      <c r="F183" s="446"/>
      <c r="G183" s="44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102.73999999999998</v>
      </c>
      <c r="B246" s="134">
        <v>65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</row>
    <row r="257" spans="1:7" ht="15.75">
      <c r="A257" s="112">
        <f>'03'!A257+(B257-SUM(D257:F257))</f>
        <v>201.43</v>
      </c>
      <c r="B257" s="134">
        <f>0</f>
        <v>0</v>
      </c>
      <c r="C257" s="16" t="s">
        <v>811</v>
      </c>
      <c r="D257" s="137"/>
      <c r="E257" s="138"/>
      <c r="F257" s="138"/>
      <c r="G257" s="16"/>
    </row>
    <row r="258" spans="1:7" ht="15.75">
      <c r="A258" s="112"/>
      <c r="B258" s="134"/>
      <c r="C258" s="16"/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374.16999999999996</v>
      </c>
      <c r="B260" s="135">
        <f>SUM(B246:B259)</f>
        <v>65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05" t="s">
        <v>8</v>
      </c>
      <c r="C264" s="406"/>
      <c r="D264" s="405" t="s">
        <v>9</v>
      </c>
      <c r="E264" s="413"/>
      <c r="F264" s="413"/>
      <c r="G264" s="406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/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60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>
        <v>50</v>
      </c>
      <c r="C299" s="17" t="s">
        <v>706</v>
      </c>
      <c r="D299" s="135"/>
      <c r="E299" s="139"/>
      <c r="F299" s="139"/>
      <c r="G299" s="17"/>
    </row>
    <row r="300" spans="2:8" ht="15.75" thickBot="1"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 t="s">
        <v>246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05" t="s">
        <v>9</v>
      </c>
      <c r="E424" s="413"/>
      <c r="F424" s="413"/>
      <c r="G424" s="406"/>
    </row>
    <row r="425" spans="1:8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AÑO!N41-H426</f>
        <v>-3191.6499999999996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699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I22" location="Trimestre!C39:F40" display="TELÉFONO" xr:uid="{00000000-0004-0000-0400-000004000000}"/>
    <hyperlink ref="I22:L23" location="AÑO!O7:R17" display="INGRESOS" xr:uid="{00000000-0004-0000-0400-000005000000}"/>
    <hyperlink ref="B62:G63" location="AÑO!O23:R23" display="AÑO!O23:R23" xr:uid="{00000000-0004-0000-0400-00000B000000}"/>
    <hyperlink ref="B82:G83" location="AÑO!O24:R24" display="AÑO!O24:R24" xr:uid="{00000000-0004-0000-0400-00000D000000}"/>
    <hyperlink ref="B102:G103" location="AÑO!O25:R25" display="AÑO!O25:R25" xr:uid="{00000000-0004-0000-0400-00000F000000}"/>
    <hyperlink ref="B122:G123" location="AÑO!O26:R26" display="AÑO!O26:R26" xr:uid="{00000000-0004-0000-0400-000011000000}"/>
    <hyperlink ref="B142:G143" location="AÑO!O27:R27" display="AÑO!O27:R27" xr:uid="{00000000-0004-0000-0400-000013000000}"/>
    <hyperlink ref="B162:G163" location="AÑO!O28:R28" display="AÑO!O28:R28" xr:uid="{00000000-0004-0000-0400-000015000000}"/>
    <hyperlink ref="B182:G183" location="AÑO!K29:N39" display="AÑO!K29:N39" xr:uid="{00000000-0004-0000-0400-000017000000}"/>
    <hyperlink ref="B202:G203" location="AÑO!O30:R30" display="AÑO!O30:R30" xr:uid="{00000000-0004-0000-0400-000019000000}"/>
    <hyperlink ref="B222:G223" location="AÑO!O31:R31" display="AÑO!O31:R31" xr:uid="{00000000-0004-0000-0400-00001B000000}"/>
    <hyperlink ref="B242:G243" location="AÑO!O32:R32" display="AÑO!O32:R32" xr:uid="{00000000-0004-0000-0400-00001D000000}"/>
    <hyperlink ref="B262:G263" location="AÑO!O33:R33" display="AÑO!O33:R33" xr:uid="{00000000-0004-0000-0400-00001F000000}"/>
    <hyperlink ref="B282:G283" location="AÑO!O34:R34" display="AÑO!O34:R34" xr:uid="{00000000-0004-0000-0400-000021000000}"/>
    <hyperlink ref="B302:G303" location="AÑO!O35:R35" display="AÑO!O35:R35" xr:uid="{00000000-0004-0000-0400-000023000000}"/>
    <hyperlink ref="B322:G323" location="AÑO!O36:R36" display="AÑO!O36:R36" xr:uid="{00000000-0004-0000-0400-000025000000}"/>
    <hyperlink ref="B342:G343" location="AÑO!O37:R37" display="AÑO!O37:R37" xr:uid="{00000000-0004-0000-0400-000027000000}"/>
    <hyperlink ref="B362:G363" location="AÑO!O38:R38" display="AÑO!O38:R38" xr:uid="{00000000-0004-0000-0400-000029000000}"/>
    <hyperlink ref="B382:G383" location="AÑO!O39:R39" display="AÑO!O39:R39" xr:uid="{00000000-0004-0000-0400-00002B000000}"/>
    <hyperlink ref="B402:G403" location="AÑO!O40:R40" display="AÑO!O40:R40" xr:uid="{00000000-0004-0000-0400-00002D000000}"/>
    <hyperlink ref="B422:G423" location="AÑO!O41:R41" display="AÑO!O41:R41" xr:uid="{00000000-0004-0000-0400-00002F000000}"/>
    <hyperlink ref="B442:G443" location="AÑO!O42:R42" display="AÑO!O42:R42" xr:uid="{00000000-0004-0000-0400-000031000000}"/>
    <hyperlink ref="B462:G463" location="AÑO!O43:R43" display="AÑO!O43:R43" xr:uid="{00000000-0004-0000-0400-000033000000}"/>
    <hyperlink ref="B482:G483" location="AÑO!O44:R44" display="AÑO!O44:R44" xr:uid="{00000000-0004-0000-0400-000035000000}"/>
    <hyperlink ref="B502:G503" location="AÑO!O45:R45" display="AÑO!O45:R45" xr:uid="{00000000-0004-0000-0400-000037000000}"/>
    <hyperlink ref="B62" location="Trimestre!C25:F26" display="HIPOTECA" xr:uid="{BD75992C-DD48-4E77-8738-70DD58E28653}"/>
    <hyperlink ref="B62:C63" location="AÑO!K23:N23" display="AÑO!K23:N23" xr:uid="{C5BF001F-AD56-4963-AE79-8A3E995888E1}"/>
    <hyperlink ref="B82" location="Trimestre!C25:F26" display="HIPOTECA" xr:uid="{D8EF3C67-C7FC-4B36-AE11-35646D15D130}"/>
    <hyperlink ref="B82:C83" location="AÑO!K24:N24" display="AÑO!K24:N24" xr:uid="{0220BB2D-85E3-4100-A349-8CC2253A014E}"/>
    <hyperlink ref="B102" location="Trimestre!C25:F26" display="HIPOTECA" xr:uid="{7D5EE6B4-202A-422B-A3D7-2B7DE832EB7E}"/>
    <hyperlink ref="B102:C103" location="AÑO!K25:N25" display="AÑO!K25:N25" xr:uid="{9EBA8923-607C-4ECC-BC6B-59003C1CE176}"/>
    <hyperlink ref="B122" location="Trimestre!C25:F26" display="HIPOTECA" xr:uid="{E2185739-57E5-4D86-B4FF-90C2E7835491}"/>
    <hyperlink ref="B122:C123" location="AÑO!K26:N26" display="AÑO!K26:N26" xr:uid="{32278A39-B75E-402C-8353-D7D79209B82F}"/>
    <hyperlink ref="B142" location="Trimestre!C25:F26" display="HIPOTECA" xr:uid="{D68BB5C0-2A57-480C-9D63-D1C1F251A23F}"/>
    <hyperlink ref="B142:C143" location="AÑO!K27:N27" display="AÑO!K27:N27" xr:uid="{D79A5463-C526-433A-9EA8-64604D17322B}"/>
    <hyperlink ref="B162" location="Trimestre!C25:F26" display="HIPOTECA" xr:uid="{27EFA898-470B-4698-9EE8-94E9DD953C9C}"/>
    <hyperlink ref="B162:C163" location="AÑO!K28:N28" display="AÑO!K28:N28" xr:uid="{7CE84044-0EF4-40C5-B539-0E49197A5091}"/>
    <hyperlink ref="B182" location="Trimestre!C25:F26" display="HIPOTECA" xr:uid="{7E3B3289-D515-4DEF-A60E-2CFC7694F37D}"/>
    <hyperlink ref="B182:C183" location="AÑO!K29:N29" display="AÑO!K29:N29" xr:uid="{90EABFF8-7478-42F0-9D9F-5E350FDB4177}"/>
    <hyperlink ref="B202" location="Trimestre!C25:F26" display="HIPOTECA" xr:uid="{35027648-7D14-42F1-A575-5D8D8EC64FA5}"/>
    <hyperlink ref="B202:C203" location="AÑO!K30:N30" display="AÑO!K30:N30" xr:uid="{39DB7EA4-29EC-4FC8-8FA3-269F6792A002}"/>
    <hyperlink ref="B222" location="Trimestre!C25:F26" display="HIPOTECA" xr:uid="{24C7D156-6D72-4F8D-B770-5099ABF86B24}"/>
    <hyperlink ref="B222:C223" location="AÑO!K31:N31" display="AÑO!K31:N31" xr:uid="{ED232233-61F1-4E49-A29B-AC73EA61679B}"/>
    <hyperlink ref="B242" location="Trimestre!C25:F26" display="HIPOTECA" xr:uid="{D385B955-C25B-4DC0-B3F0-4D541D749314}"/>
    <hyperlink ref="B242:C243" location="AÑO!K32:N32" display="AÑO!K32:N32" xr:uid="{CE2DC6DF-70FA-4622-AA9C-378B66FA1F8F}"/>
    <hyperlink ref="B262" location="Trimestre!C25:F26" display="HIPOTECA" xr:uid="{151296C9-782E-416A-AC8D-C421F3F9E7F4}"/>
    <hyperlink ref="B262:C263" location="AÑO!K33:N33" display="AÑO!K33:N33" xr:uid="{2BD1E34E-2206-4BF7-9858-29901222EA31}"/>
    <hyperlink ref="B282" location="Trimestre!C25:F26" display="HIPOTECA" xr:uid="{9FB2F7C6-281B-4A4B-B0C0-569B35F94FDF}"/>
    <hyperlink ref="B282:C283" location="AÑO!K34:N34" display="AÑO!K34:N34" xr:uid="{981B7E6D-E43E-42DD-B5D0-94FF4B501F73}"/>
    <hyperlink ref="B302" location="Trimestre!C25:F26" display="HIPOTECA" xr:uid="{8D2119DC-E2A9-414C-9E1A-C2AEC0537FC1}"/>
    <hyperlink ref="B302:C303" location="AÑO!K35:N35" display="AÑO!K35:N35" xr:uid="{0E1200D6-4B12-49AB-A159-1FF4BC20B366}"/>
    <hyperlink ref="B322" location="Trimestre!C25:F26" display="HIPOTECA" xr:uid="{F256FA4F-4679-4BBD-ACC2-292728163B7B}"/>
    <hyperlink ref="B322:C323" location="AÑO!K36:N36" display="AÑO!K36:N36" xr:uid="{552BD29D-AE73-415F-9888-E96F8453B7E0}"/>
    <hyperlink ref="B342" location="Trimestre!C25:F26" display="HIPOTECA" xr:uid="{086584D6-0D9E-4B46-A7BD-70BD21D7F108}"/>
    <hyperlink ref="B342:C343" location="AÑO!K37:N37" display="AÑO!K37:N37" xr:uid="{4B595FFC-4732-4919-84FC-F013E7B64DEF}"/>
    <hyperlink ref="B362" location="Trimestre!C25:F26" display="HIPOTECA" xr:uid="{30FF93B3-03E7-49D5-AFF8-E0A2B0B67630}"/>
    <hyperlink ref="B362:C363" location="AÑO!K38:N38" display="AÑO!K38:N38" xr:uid="{0D79AE1F-3132-4FFC-921A-89EE28D90CBD}"/>
    <hyperlink ref="B382" location="Trimestre!C25:F26" display="HIPOTECA" xr:uid="{217741AC-350D-411E-8237-885C212E99D5}"/>
    <hyperlink ref="B382:C383" location="AÑO!K39:N39" display="AÑO!K39:N39" xr:uid="{9C9AE9FF-EC2A-4ACF-814A-E12D9E5E44B0}"/>
    <hyperlink ref="B402" location="Trimestre!C25:F26" display="HIPOTECA" xr:uid="{21914512-7F0A-4087-BF7D-2D55D1B8F87A}"/>
    <hyperlink ref="B402:C403" location="AÑO!K40:N40" display="AÑO!K40:N40" xr:uid="{5FFCE880-4C6E-4786-A891-ECD15C8DE37D}"/>
    <hyperlink ref="B422" location="Trimestre!C25:F26" display="HIPOTECA" xr:uid="{246EC988-723E-4E15-9C3D-07F37479CEF3}"/>
    <hyperlink ref="B422:C423" location="AÑO!K41:N41" display="AÑO!K41:N41" xr:uid="{8C2981E7-A18A-44CF-8F4D-C91CF1D73371}"/>
    <hyperlink ref="B442" location="Trimestre!C25:F26" display="HIPOTECA" xr:uid="{12A9196D-4A49-4103-BFB5-6BF4BEB6DF8E}"/>
    <hyperlink ref="B442:C443" location="AÑO!K42:N42" display="AÑO!K42:N42" xr:uid="{A85B4101-7DEF-4CDB-96E0-958A2196EC8A}"/>
    <hyperlink ref="B462" location="Trimestre!C25:F26" display="HIPOTECA" xr:uid="{DD6A2D02-53F1-479F-95DD-80F4EDC76A37}"/>
    <hyperlink ref="B462:C463" location="AÑO!K43:N43" display="AÑO!K43:N43" xr:uid="{5E85DBEF-1091-48B3-AE86-E7646423B679}"/>
    <hyperlink ref="B482" location="Trimestre!C25:F26" display="HIPOTECA" xr:uid="{54878387-13D4-43B0-91EE-E6414A2DA6E5}"/>
    <hyperlink ref="B482:C483" location="AÑO!K44:N44" display="AÑO!K44:N44" xr:uid="{36F89C10-D5CA-4DDB-98E5-0382BDB329E1}"/>
    <hyperlink ref="B502" location="Trimestre!C25:F26" display="HIPOTECA" xr:uid="{3D8ECEB2-299F-4BFC-B56C-D581BC9742A0}"/>
    <hyperlink ref="B502:C503" location="AÑO!K45:N45" display="AÑO!K45:N45" xr:uid="{83F50D7B-33D6-45D4-AA4B-E9BFCD04E651}"/>
    <hyperlink ref="B2" location="Trimestre!C25:F26" display="HIPOTECA" xr:uid="{A3B7516A-C3E8-4085-A9E7-4DEA98311F9A}"/>
    <hyperlink ref="B2:G3" location="AÑO!O20:R20" display="AÑO!O20:R20" xr:uid="{7BD9C2FC-848D-4ADC-AAEA-8740218F4079}"/>
    <hyperlink ref="B22" location="Trimestre!C25:F26" display="HIPOTECA" xr:uid="{E8EE4F9C-3174-4535-8159-07483BD3E76D}"/>
    <hyperlink ref="B22:G23" location="AÑO!O21:R21" display="AÑO!O21:R21" xr:uid="{012AEAC5-E95E-4138-B3D4-21326907757A}"/>
    <hyperlink ref="B42" location="Trimestre!C25:F26" display="HIPOTECA" xr:uid="{7A87AE13-6B3F-405D-A0C6-9BC2AAF7DBFC}"/>
    <hyperlink ref="B42:G43" location="AÑO!K22:N22" display="AÑO!K22:N22" xr:uid="{526AC5C5-1C90-46D3-B5B8-D79056EA907C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1773.93</v>
      </c>
      <c r="L5" s="436"/>
      <c r="M5" s="1"/>
      <c r="N5" s="1"/>
      <c r="R5" s="3"/>
    </row>
    <row r="6" spans="1:22" ht="15.75">
      <c r="A6" s="112">
        <f>'04'!A6+(B6-SUM(D6:F6))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'04'!A7+(B7-SUM(D7:F7))</f>
        <v>841.84000000000015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7144.52</v>
      </c>
      <c r="L7" s="420"/>
      <c r="M7" s="1"/>
      <c r="N7" s="1"/>
      <c r="R7" s="3"/>
    </row>
    <row r="8" spans="1:22" ht="15.75">
      <c r="A8" s="112">
        <f>'04'!A8+(B8-SUM(D8:F8))</f>
        <v>102.44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10005.620000000001</v>
      </c>
      <c r="L8" s="42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514.82000000000005</v>
      </c>
      <c r="L9" s="420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'04'!A11+(B11-SUM(D11:F11))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210</f>
        <v>210</v>
      </c>
      <c r="L11" s="420"/>
      <c r="M11" s="1"/>
      <c r="N11" s="1"/>
      <c r="R11" s="3"/>
    </row>
    <row r="12" spans="1:22" ht="15.75">
      <c r="A12" s="112">
        <f>'04'!A12+(B12-SUM(D12:F12))</f>
        <v>38.299999999999997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5092.08</v>
      </c>
      <c r="L12" s="420"/>
      <c r="M12" s="92"/>
      <c r="N12" s="1"/>
      <c r="R12" s="3"/>
    </row>
    <row r="13" spans="1:22" ht="15.75">
      <c r="A13" s="112">
        <f>'04'!A13+(B13-SUM(D13:F13))</f>
        <v>72.5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27163.090000000004</v>
      </c>
      <c r="L19" s="449"/>
      <c r="M19" s="1"/>
      <c r="N19" s="1"/>
      <c r="R19" s="3"/>
    </row>
    <row r="20" spans="1:18" ht="16.5" thickBot="1">
      <c r="A20" s="112">
        <f>SUM(A6:A15)</f>
        <v>1939.7200000000003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'04'!A27+(B27-SUM(D27:F27))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'04'!A29+(B29-SUM(D29:F29))</f>
        <v>39.25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'04'!A30+(B30-SUM(D30:F30))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234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2444.5599999999995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259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258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261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254</v>
      </c>
      <c r="D48" s="137">
        <v>27.34</v>
      </c>
      <c r="E48" s="138"/>
      <c r="F48" s="138"/>
      <c r="G48" s="16" t="s">
        <v>267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268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275</v>
      </c>
      <c r="H50" s="1"/>
      <c r="I50" s="424" t="str">
        <f>AÑO!A13</f>
        <v>Gubernamental</v>
      </c>
      <c r="J50" s="427" t="s">
        <v>269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276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280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283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371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372</v>
      </c>
      <c r="H55" s="1"/>
      <c r="I55" s="424" t="str">
        <f>AÑO!A14</f>
        <v>Mutualite/DKV</v>
      </c>
      <c r="J55" s="427" t="s">
        <v>263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'04'!A66+(B66-SUM(D66:F78))</f>
        <v>127.15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257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265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266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273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274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281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373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137.15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262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277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286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374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143.39000000000007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-783.89</v>
      </c>
      <c r="B109" s="134">
        <f>67.53+120</f>
        <v>187.53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4863.1515974244994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72.5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637</v>
      </c>
      <c r="I127" s="113">
        <f>D127+D128+'04'!I127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24.11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261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279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332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282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278</v>
      </c>
    </row>
    <row r="207" spans="2:12">
      <c r="B207" s="134">
        <v>15</v>
      </c>
      <c r="C207" s="16" t="s">
        <v>332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89.169999999999987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276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284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75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'04'!A257+(B257-SUM(D257:F257))</f>
        <v>639.76</v>
      </c>
      <c r="B257" s="134">
        <f>40+499</f>
        <v>539</v>
      </c>
      <c r="C257" s="16" t="s">
        <v>248</v>
      </c>
      <c r="D257" s="137"/>
      <c r="E257" s="138">
        <f>100.67</f>
        <v>100.67</v>
      </c>
      <c r="F257" s="138"/>
      <c r="G257" s="16" t="s">
        <v>376</v>
      </c>
      <c r="H257" s="113"/>
    </row>
    <row r="258" spans="1:8" ht="15.75">
      <c r="A258" s="112">
        <f>'04'!A258+(B258-SUM(D258:F258))</f>
        <v>70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5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878.93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264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271</v>
      </c>
    </row>
    <row r="287" spans="2:8">
      <c r="B287" s="134">
        <v>35</v>
      </c>
      <c r="C287" s="16" t="s">
        <v>377</v>
      </c>
      <c r="D287" s="137">
        <v>54.8</v>
      </c>
      <c r="E287" s="138"/>
      <c r="F287" s="138"/>
      <c r="G287" s="16" t="s">
        <v>379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397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256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263</v>
      </c>
    </row>
    <row r="308" spans="2:7">
      <c r="B308" s="134">
        <v>17.45</v>
      </c>
      <c r="C308" s="27" t="s">
        <v>272</v>
      </c>
      <c r="D308" s="137">
        <f>51.89+44.67</f>
        <v>96.56</v>
      </c>
      <c r="E308" s="138"/>
      <c r="F308" s="138"/>
      <c r="G308" s="16" t="s">
        <v>370</v>
      </c>
    </row>
    <row r="309" spans="2:7">
      <c r="B309" s="134">
        <v>170</v>
      </c>
      <c r="C309" s="16" t="s">
        <v>332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270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260</v>
      </c>
    </row>
    <row r="407" spans="2:7">
      <c r="B407" s="134">
        <v>45.86</v>
      </c>
      <c r="C407" s="16" t="s">
        <v>259</v>
      </c>
      <c r="D407" s="137"/>
      <c r="E407" s="138"/>
      <c r="F407" s="138"/>
      <c r="G407" s="16"/>
    </row>
    <row r="408" spans="2:7">
      <c r="B408" s="134">
        <v>-1094.26</v>
      </c>
      <c r="C408" s="16" t="s">
        <v>243</v>
      </c>
      <c r="D408" s="137">
        <v>44.48</v>
      </c>
      <c r="E408" s="138"/>
      <c r="F408" s="138"/>
      <c r="G408" s="16" t="s">
        <v>285</v>
      </c>
    </row>
    <row r="409" spans="2:7">
      <c r="B409" s="134">
        <f>29.29+20</f>
        <v>49.29</v>
      </c>
      <c r="C409" s="16" t="s">
        <v>332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05" t="s">
        <v>9</v>
      </c>
      <c r="E424" s="413"/>
      <c r="F424" s="413"/>
      <c r="G424" s="406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244</v>
      </c>
      <c r="D466" s="137"/>
      <c r="E466" s="138"/>
      <c r="F466" s="138"/>
      <c r="G466" s="16"/>
    </row>
    <row r="467" spans="1:7" ht="15.75">
      <c r="A467" s="112">
        <f>'04'!A467+(B467-SUM(D467:F467))</f>
        <v>100</v>
      </c>
      <c r="B467" s="134">
        <f>50+50</f>
        <v>100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-400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M5+2156.93</f>
        <v>1614.1099999999997</v>
      </c>
      <c r="L5" s="436"/>
      <c r="M5" s="1">
        <f>-542.82</f>
        <v>-542.82000000000005</v>
      </c>
      <c r="N5" s="1" t="s">
        <v>375</v>
      </c>
      <c r="R5" s="3"/>
    </row>
    <row r="6" spans="1:22" ht="15.75">
      <c r="A6" s="112">
        <f>'05'!A6+(B6-SUM(D6:F6))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'05'!A7+(B7-SUM(D7:F7))</f>
        <v>909.02000000000021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9234.42-58.2</f>
        <v>9176.2199999999993</v>
      </c>
      <c r="L7" s="420"/>
      <c r="M7" s="1"/>
      <c r="N7" s="1"/>
      <c r="R7" s="3"/>
    </row>
    <row r="8" spans="1:22" ht="15.75">
      <c r="A8" s="112">
        <f>'05'!A8+(B8-SUM(D8:F8))</f>
        <v>3.4299999999999926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'05'!A11+(B11-SUM(D11:F11))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190</v>
      </c>
      <c r="L11" s="420"/>
      <c r="M11" s="1"/>
      <c r="N11" s="1"/>
      <c r="R11" s="3"/>
    </row>
    <row r="12" spans="1:22" ht="15.75">
      <c r="A12" s="112">
        <f>'05'!A12+(B12-SUM(D12:F12))</f>
        <v>63.3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'05'!A13+(B13-SUM(D13:F13))</f>
        <v>79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29014.079999999998</v>
      </c>
      <c r="L19" s="449"/>
      <c r="M19" s="1"/>
      <c r="N19" s="1"/>
      <c r="R19" s="3"/>
    </row>
    <row r="20" spans="1:18" ht="16.5" thickBot="1">
      <c r="A20" s="112">
        <f>SUM(A6:A15)</f>
        <v>1939.39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'05'!A27+(B27-SUM(D27:F27))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'05'!A29+(B29-SUM(D29:F29))</f>
        <v>39.299999999999997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'05'!A30+(B30-SUM(D30:F30))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390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247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2488.62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157</v>
      </c>
      <c r="K45" s="42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382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394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383</v>
      </c>
      <c r="D48" s="137">
        <v>27.2</v>
      </c>
      <c r="E48" s="138"/>
      <c r="F48" s="138"/>
      <c r="G48" s="16" t="s">
        <v>407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408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412</v>
      </c>
      <c r="H50" s="1"/>
      <c r="I50" s="424" t="str">
        <f>AÑO!A13</f>
        <v>Gubernamental</v>
      </c>
      <c r="J50" s="427" t="s">
        <v>403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419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421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427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432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436</v>
      </c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391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'05'!A66+(B66-SUM(D66:F78))+B67+B68</f>
        <v>119.5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404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-35</v>
      </c>
      <c r="C67" s="16" t="s">
        <v>392</v>
      </c>
      <c r="D67" s="137">
        <v>36.049999999999997</v>
      </c>
      <c r="E67" s="138"/>
      <c r="F67" s="138"/>
      <c r="G67" s="31" t="s">
        <v>415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416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418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422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423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430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139.5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386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388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405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406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426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428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429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434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143.48000000000008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-716.36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4913.2415974244996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67.5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D127+D128+'05'!I127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24.119999999999997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435</v>
      </c>
      <c r="H146" s="1"/>
      <c r="M146" s="1"/>
      <c r="R146" s="3"/>
    </row>
    <row r="147" spans="1:22" ht="15.75">
      <c r="A147" s="1"/>
      <c r="B147" s="134">
        <v>-60</v>
      </c>
      <c r="C147" s="16" t="s">
        <v>384</v>
      </c>
      <c r="D147" s="137"/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413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417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419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420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437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39.519999999999982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411</v>
      </c>
    </row>
    <row r="247" spans="1:7" ht="15" customHeight="1">
      <c r="A247" s="112"/>
      <c r="B247" s="134">
        <f>-10</f>
        <v>-10</v>
      </c>
      <c r="C247" s="16" t="s">
        <v>439</v>
      </c>
      <c r="D247" s="137">
        <v>12.99</v>
      </c>
      <c r="E247" s="138"/>
      <c r="F247" s="138"/>
      <c r="G247" s="16" t="s">
        <v>419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432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'05'!A257+(B257-SUM(D257:F257))</f>
        <v>564.09</v>
      </c>
      <c r="B257" s="134">
        <v>25</v>
      </c>
      <c r="C257" s="16" t="s">
        <v>248</v>
      </c>
      <c r="D257" s="137"/>
      <c r="E257" s="138">
        <v>100.67</v>
      </c>
      <c r="F257" s="138"/>
      <c r="G257" s="16" t="s">
        <v>241</v>
      </c>
    </row>
    <row r="258" spans="1:8" ht="15.75">
      <c r="A258" s="112">
        <f>'05'!A258+(B258-SUM(D258:F258))+'05'!A259</f>
        <v>100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783.61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396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425</v>
      </c>
      <c r="H267" s="89" t="s">
        <v>424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431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05" t="s">
        <v>8</v>
      </c>
      <c r="C284" s="406"/>
      <c r="D284" s="405" t="s">
        <v>9</v>
      </c>
      <c r="E284" s="413"/>
      <c r="F284" s="413"/>
      <c r="G284" s="406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399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410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380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389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401</v>
      </c>
    </row>
    <row r="308" spans="2:7">
      <c r="B308" s="134"/>
      <c r="C308" s="27"/>
      <c r="D308" s="137"/>
      <c r="E308" s="138"/>
      <c r="F308" s="138">
        <v>50</v>
      </c>
      <c r="G308" s="16" t="s">
        <v>402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400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381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393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414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432</v>
      </c>
    </row>
    <row r="369" spans="2:7">
      <c r="B369" s="134"/>
      <c r="C369" s="16"/>
      <c r="D369" s="137">
        <v>11</v>
      </c>
      <c r="E369" s="138"/>
      <c r="F369" s="138"/>
      <c r="G369" s="16" t="s">
        <v>433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395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150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'05'!A468+(B468-SUM(D468:F468))+B469</f>
        <v>10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387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-390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2939.95</f>
        <v>2939.95</v>
      </c>
      <c r="L5" s="436"/>
      <c r="M5" s="1"/>
      <c r="N5" s="1"/>
      <c r="R5" s="3"/>
    </row>
    <row r="6" spans="1:22" ht="15.75">
      <c r="A6" s="112">
        <f>'06'!A6+(B6-SUM(D6:F6))</f>
        <v>788.17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'06'!A7+(B7-SUM(D7:F7))</f>
        <v>976.20000000000027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8049.26</v>
      </c>
      <c r="L7" s="420"/>
      <c r="M7" s="1"/>
      <c r="N7" s="1"/>
      <c r="R7" s="3"/>
    </row>
    <row r="8" spans="1:22" ht="15.75">
      <c r="A8" s="112">
        <f>'06'!A8+(B8-SUM(D8:F8))</f>
        <v>-546.57000000000005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'06'!A11+(B11-SUM(D11:F11))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260</v>
      </c>
      <c r="L11" s="420"/>
      <c r="M11" s="1"/>
      <c r="N11" s="1"/>
      <c r="R11" s="3"/>
    </row>
    <row r="12" spans="1:22" ht="15.75">
      <c r="A12" s="112">
        <f>'06'!A12+(B12-SUM(D12:F12))</f>
        <v>88.3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'06'!A13+(B13-SUM(D13:F13))</f>
        <v>85.5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29282.959999999999</v>
      </c>
      <c r="L19" s="449"/>
      <c r="M19" s="1"/>
      <c r="N19" s="1"/>
      <c r="R19" s="3"/>
    </row>
    <row r="20" spans="1:18" ht="16.5" thickBot="1">
      <c r="A20" s="112">
        <f>SUM(A6:A15)</f>
        <v>1488.0800000000002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'06'!A27+(B27-SUM(D27:F27))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'06'!A29+(B29-SUM(D29:F29))</f>
        <v>39.349999999999994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'06'!A30+(B30-SUM(D30:F30))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247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390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451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2532.6799999999994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438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443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449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383</v>
      </c>
      <c r="D48" s="137">
        <v>8.1</v>
      </c>
      <c r="E48" s="138"/>
      <c r="F48" s="138"/>
      <c r="G48" s="16" t="s">
        <v>468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446</v>
      </c>
      <c r="D49" s="137">
        <v>2.5499999999999998</v>
      </c>
      <c r="E49" s="138"/>
      <c r="F49" s="138"/>
      <c r="G49" s="16" t="s">
        <v>477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>
        <v>5</v>
      </c>
      <c r="C50" s="16" t="s">
        <v>473</v>
      </c>
      <c r="D50" s="137">
        <v>69.97</v>
      </c>
      <c r="E50" s="138"/>
      <c r="F50" s="138"/>
      <c r="G50" s="16" t="s">
        <v>488</v>
      </c>
      <c r="H50" s="1"/>
      <c r="I50" s="424" t="str">
        <f>AÑO!A13</f>
        <v>Gubernamental</v>
      </c>
      <c r="J50" s="427" t="s">
        <v>403</v>
      </c>
      <c r="K50" s="428"/>
      <c r="L50" s="231"/>
      <c r="M50" s="1"/>
      <c r="R50" s="3"/>
    </row>
    <row r="51" spans="1:18" ht="15.75">
      <c r="A51" s="112"/>
      <c r="B51" s="134">
        <v>-133.91</v>
      </c>
      <c r="C51" s="16" t="s">
        <v>491</v>
      </c>
      <c r="D51" s="137">
        <v>5.29</v>
      </c>
      <c r="E51" s="138"/>
      <c r="F51" s="138"/>
      <c r="G51" s="16" t="s">
        <v>490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452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452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452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467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'06'!A66+(B66-SUM(D66:F78))+B67</f>
        <v>137.30000000000001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444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453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475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474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167.3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482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143.57000000000008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527.25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-648.83000000000004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493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496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4963.3315974244988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72.5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D127+D128+'06'!I127</f>
        <v>50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24.129999999999995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150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448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456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460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462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470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463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465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478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489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443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25.789999999999985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486</v>
      </c>
    </row>
    <row r="247" spans="1:7" ht="15" customHeight="1">
      <c r="A247" s="112"/>
      <c r="B247" s="134">
        <v>-5</v>
      </c>
      <c r="C247" s="16" t="s">
        <v>473</v>
      </c>
      <c r="D247" s="137">
        <v>20</v>
      </c>
      <c r="E247" s="138"/>
      <c r="F247" s="138"/>
      <c r="G247" s="16" t="s">
        <v>488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85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'06'!A257+(B257-SUM(D257:F257))</f>
        <v>488.42</v>
      </c>
      <c r="B257" s="134">
        <v>25</v>
      </c>
      <c r="C257" s="16" t="s">
        <v>471</v>
      </c>
      <c r="D257" s="137"/>
      <c r="E257" s="138">
        <v>100.67</v>
      </c>
      <c r="F257" s="138"/>
      <c r="G257" s="16" t="s">
        <v>497</v>
      </c>
      <c r="H257" s="89">
        <f>1208-(100.67*2)</f>
        <v>1006.66</v>
      </c>
    </row>
    <row r="258" spans="1:8" ht="15.75">
      <c r="A258" s="112">
        <f>'06'!A258+(B258-SUM(D258:F258))</f>
        <v>-40</v>
      </c>
      <c r="B258" s="134">
        <f>25+10+4.38+35.25+13.1+121.27</f>
        <v>209</v>
      </c>
      <c r="C258" s="16" t="s">
        <v>480</v>
      </c>
      <c r="D258" s="137">
        <v>349</v>
      </c>
      <c r="E258" s="138"/>
      <c r="F258" s="138"/>
      <c r="G258" s="16" t="s">
        <v>447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559.21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449</v>
      </c>
    </row>
    <row r="287" spans="2:8">
      <c r="B287" s="134"/>
      <c r="C287" s="16"/>
      <c r="D287" s="137"/>
      <c r="E287" s="138"/>
      <c r="F287" s="138">
        <v>50</v>
      </c>
      <c r="G287" s="16" t="s">
        <v>458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459</v>
      </c>
    </row>
    <row r="289" spans="2:8">
      <c r="B289" s="134"/>
      <c r="C289" s="16"/>
      <c r="D289" s="137">
        <v>26.31</v>
      </c>
      <c r="E289" s="138"/>
      <c r="F289" s="138"/>
      <c r="G289" s="16" t="s">
        <v>461</v>
      </c>
    </row>
    <row r="290" spans="2:8">
      <c r="B290" s="134"/>
      <c r="C290" s="16"/>
      <c r="D290" s="137"/>
      <c r="E290" s="138">
        <v>31.95</v>
      </c>
      <c r="F290" s="138"/>
      <c r="G290" s="16" t="s">
        <v>479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440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442</v>
      </c>
    </row>
    <row r="308" spans="2:7">
      <c r="B308" s="134">
        <f>37.49+14.27+14.27</f>
        <v>66.03</v>
      </c>
      <c r="C308" s="27" t="s">
        <v>452</v>
      </c>
      <c r="D308" s="137">
        <f>37.5+37.5</f>
        <v>75</v>
      </c>
      <c r="E308" s="138"/>
      <c r="F308" s="138"/>
      <c r="G308" s="16" t="s">
        <v>469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466</v>
      </c>
    </row>
    <row r="327" spans="2:7">
      <c r="B327" s="134">
        <v>100</v>
      </c>
      <c r="C327" s="16" t="s">
        <v>457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483</v>
      </c>
      <c r="D358" s="137">
        <v>64.3</v>
      </c>
      <c r="E358" s="138"/>
      <c r="F358" s="138"/>
      <c r="G358" s="16" t="s">
        <v>481</v>
      </c>
    </row>
    <row r="359" spans="1:7" ht="16.5" thickBot="1">
      <c r="A359" s="112"/>
      <c r="B359" s="135">
        <f>12.64+6.66</f>
        <v>19.3</v>
      </c>
      <c r="C359" s="17" t="s">
        <v>491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445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492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441</v>
      </c>
    </row>
    <row r="407" spans="2:7">
      <c r="B407" s="134">
        <v>1</v>
      </c>
      <c r="C407" s="16" t="s">
        <v>438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492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200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'06'!A468+(B468-SUM(D468:F468))</f>
        <v>25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-325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3508.76</v>
      </c>
      <c r="L5" s="436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788.17</v>
      </c>
      <c r="B6" s="133">
        <v>403.08</v>
      </c>
      <c r="C6" s="19" t="s">
        <v>499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'07'!A7+(B7-SUM(D7:F7))</f>
        <v>1043.3800000000003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7490.36</v>
      </c>
      <c r="L7" s="420"/>
      <c r="M7" s="1"/>
      <c r="N7" s="1"/>
      <c r="R7" s="3"/>
    </row>
    <row r="8" spans="1:22" ht="15.75">
      <c r="A8" s="112">
        <f>'07'!A8+(B8-SUM(D8:F8))</f>
        <v>-650.33000000000004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'07'!A11+(B11-SUM(D11:F11))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20+120</f>
        <v>140</v>
      </c>
      <c r="L11" s="420"/>
      <c r="M11" s="1"/>
      <c r="N11" s="1"/>
      <c r="R11" s="3"/>
    </row>
    <row r="12" spans="1:22" ht="15.75">
      <c r="A12" s="112">
        <f>'07'!A12+(B12-SUM(D12:F12))</f>
        <v>113.3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'07'!A13+(B13-SUM(D13:F13))</f>
        <v>92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8">
        <f>SUM(K5:K18)</f>
        <v>29166.850000000002</v>
      </c>
      <c r="L19" s="449"/>
      <c r="M19" s="1"/>
      <c r="N19" s="1"/>
      <c r="R19" s="3"/>
    </row>
    <row r="20" spans="1:18" ht="16.5" thickBot="1">
      <c r="A20" s="112">
        <f>SUM(A6:A15)</f>
        <v>1483.0000000000002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'07'!A27+(B27-SUM(D27:F27))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'07'!A29+(B29-SUM(D29:F29))</f>
        <v>39.399999999999991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'07'!A30+(B30-SUM(D30:F30))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236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2472.5500000000002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538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506</v>
      </c>
      <c r="H46" s="1"/>
      <c r="I46" s="425"/>
      <c r="J46" s="429" t="s">
        <v>539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503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484</v>
      </c>
      <c r="D48" s="137">
        <v>22.34</v>
      </c>
      <c r="E48" s="138"/>
      <c r="F48" s="138"/>
      <c r="G48" s="16" t="s">
        <v>507</v>
      </c>
      <c r="H48" s="1">
        <f>22*8</f>
        <v>176</v>
      </c>
      <c r="I48" s="425"/>
      <c r="J48" s="429"/>
      <c r="K48" s="430"/>
      <c r="L48" s="229"/>
      <c r="M48" s="1"/>
      <c r="R48" s="3"/>
    </row>
    <row r="49" spans="1:18" ht="15.75">
      <c r="A49" s="1"/>
      <c r="B49" s="134">
        <v>23.87</v>
      </c>
      <c r="C49" s="16" t="s">
        <v>491</v>
      </c>
      <c r="D49" s="137">
        <v>49.31</v>
      </c>
      <c r="E49" s="138"/>
      <c r="F49" s="138"/>
      <c r="G49" s="16" t="s">
        <v>513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520</v>
      </c>
      <c r="H50" s="1"/>
      <c r="I50" s="424" t="str">
        <f>AÑO!A13</f>
        <v>Gubernamental</v>
      </c>
      <c r="J50" s="427" t="s">
        <v>403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521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52">
        <v>43692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53">
        <v>43696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'07'!A66+(SUM(B66:B78)-SUM(D66:F78))</f>
        <v>120.65000000000003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512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511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 t="s">
        <v>491</v>
      </c>
      <c r="D68" s="137">
        <v>19.5</v>
      </c>
      <c r="E68" s="138"/>
      <c r="F68" s="138">
        <v>5.5</v>
      </c>
      <c r="G68" s="16" t="s">
        <v>517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518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530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540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160.65000000000003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509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510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523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535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143.66000000000008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577.25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-31.300000000000068</v>
      </c>
      <c r="B109" s="134">
        <v>67.53</v>
      </c>
      <c r="C109" s="18" t="s">
        <v>253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505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5013.4215974244989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67.5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637</v>
      </c>
      <c r="I127" s="113">
        <f>D127+D128+'07'!I127</f>
        <v>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24.139999999999993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543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454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527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455</v>
      </c>
    </row>
    <row r="207" spans="2:12">
      <c r="B207" s="134"/>
      <c r="C207" s="16"/>
      <c r="D207" s="137">
        <v>23</v>
      </c>
      <c r="E207" s="138"/>
      <c r="F207" s="138"/>
      <c r="G207" s="16" t="s">
        <v>524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13.019999999999982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504</v>
      </c>
    </row>
    <row r="247" spans="1:7" ht="15" customHeight="1">
      <c r="A247" s="112"/>
      <c r="B247" s="134">
        <v>12.12</v>
      </c>
      <c r="C247" s="16" t="s">
        <v>491</v>
      </c>
      <c r="D247" s="137">
        <v>16.52</v>
      </c>
      <c r="E247" s="138"/>
      <c r="F247" s="138"/>
      <c r="G247" s="16" t="s">
        <v>519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525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'07'!A257+(B257-SUM(D257:F257))</f>
        <v>538.42000000000007</v>
      </c>
      <c r="B257" s="134">
        <v>50</v>
      </c>
      <c r="C257" s="16" t="s">
        <v>472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641.44000000000005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500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220.96999999999977</v>
      </c>
      <c r="B286" s="133">
        <v>70</v>
      </c>
      <c r="C286" s="19" t="s">
        <v>31</v>
      </c>
      <c r="D286" s="137"/>
      <c r="E286" s="138"/>
      <c r="F286" s="138"/>
      <c r="G286" s="16" t="s">
        <v>454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531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528</v>
      </c>
      <c r="D299" s="135"/>
      <c r="E299" s="139"/>
      <c r="F299" s="139"/>
      <c r="G299" s="17"/>
    </row>
    <row r="300" spans="1:8" ht="16.5" thickBot="1">
      <c r="A300" s="112">
        <f>SUM(A286:A299)</f>
        <v>240.96999999999977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485</v>
      </c>
      <c r="D306" s="137">
        <v>35.96</v>
      </c>
      <c r="E306" s="138"/>
      <c r="F306" s="138"/>
      <c r="G306" s="16" t="s">
        <v>514</v>
      </c>
    </row>
    <row r="307" spans="2:7">
      <c r="B307" s="134">
        <v>13.15</v>
      </c>
      <c r="C307" s="27" t="s">
        <v>522</v>
      </c>
      <c r="D307" s="137"/>
      <c r="E307" s="138"/>
      <c r="F307" s="138">
        <v>70</v>
      </c>
      <c r="G307" s="16" t="s">
        <v>516</v>
      </c>
    </row>
    <row r="308" spans="2:7">
      <c r="B308" s="134">
        <v>14.27</v>
      </c>
      <c r="C308" s="27" t="s">
        <v>534</v>
      </c>
      <c r="D308" s="137">
        <v>8.68</v>
      </c>
      <c r="E308" s="138"/>
      <c r="F308" s="138"/>
      <c r="G308" s="16" t="s">
        <v>529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502</v>
      </c>
    </row>
    <row r="327" spans="2:7">
      <c r="B327" s="134">
        <v>192.98</v>
      </c>
      <c r="C327" s="16" t="s">
        <v>541</v>
      </c>
      <c r="D327" s="137">
        <v>10</v>
      </c>
      <c r="E327" s="138"/>
      <c r="F327" s="138"/>
      <c r="G327" s="16" t="s">
        <v>504</v>
      </c>
    </row>
    <row r="328" spans="2:7">
      <c r="B328" s="134"/>
      <c r="C328" s="16"/>
      <c r="D328" s="137">
        <v>187.13</v>
      </c>
      <c r="E328" s="138"/>
      <c r="F328" s="138"/>
      <c r="G328" s="16" t="s">
        <v>508</v>
      </c>
    </row>
    <row r="329" spans="2:7">
      <c r="B329" s="134"/>
      <c r="C329" s="16"/>
      <c r="D329" s="137">
        <v>32.14</v>
      </c>
      <c r="E329" s="138"/>
      <c r="F329" s="138"/>
      <c r="G329" s="16" t="s">
        <v>532</v>
      </c>
    </row>
    <row r="330" spans="2:7">
      <c r="B330" s="134"/>
      <c r="C330" s="16"/>
      <c r="D330" s="137">
        <v>7.49</v>
      </c>
      <c r="E330" s="138"/>
      <c r="F330" s="138"/>
      <c r="G330" s="16" t="s">
        <v>533</v>
      </c>
    </row>
    <row r="331" spans="2:7">
      <c r="B331" s="134"/>
      <c r="C331" s="16"/>
      <c r="D331" s="137"/>
      <c r="E331" s="138">
        <v>192.98</v>
      </c>
      <c r="F331" s="138"/>
      <c r="G331" s="16" t="s">
        <v>536</v>
      </c>
    </row>
    <row r="332" spans="2:7">
      <c r="B332" s="134"/>
      <c r="C332" s="16"/>
      <c r="D332" s="137"/>
      <c r="E332" s="138">
        <v>96.65</v>
      </c>
      <c r="F332" s="138"/>
      <c r="G332" s="16" t="s">
        <v>537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495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494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501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-300</v>
      </c>
      <c r="B467" s="134">
        <v>50</v>
      </c>
      <c r="C467" s="16" t="s">
        <v>252</v>
      </c>
      <c r="D467" s="137"/>
      <c r="E467" s="138"/>
      <c r="F467" s="138"/>
      <c r="G467" s="16"/>
    </row>
    <row r="468" spans="1:7" ht="15.75">
      <c r="A468" s="112">
        <f>'07'!A468+(B468-SUM(D468:F468))</f>
        <v>40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492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-810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491</v>
      </c>
      <c r="D506" s="137">
        <v>23.43</v>
      </c>
      <c r="E506" s="138"/>
      <c r="F506" s="138"/>
      <c r="G506" s="16" t="s">
        <v>515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2020-03-05T14:25:19Z</dcterms:modified>
</cp:coreProperties>
</file>