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8025DE65-A140-4DA5-9B6F-FAC9AB053D95}" xr6:coauthVersionLast="44" xr6:coauthVersionMax="44" xr10:uidLastSave="{00000000-0000-0000-0000-000000000000}"/>
  <bookViews>
    <workbookView xWindow="-108" yWindow="12852" windowWidth="2223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9" l="1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F366" i="3" l="1"/>
  <c r="C5" i="14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30" i="4"/>
  <c r="A126" i="4"/>
  <c r="A110" i="4"/>
  <c r="A116" i="4"/>
  <c r="B108" i="4"/>
  <c r="B106" i="4"/>
  <c r="A31" i="4"/>
  <c r="B14" i="4"/>
  <c r="B46" i="3"/>
  <c r="B108" i="3"/>
  <c r="A427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A140" i="4" s="1"/>
  <c r="F140" i="3"/>
  <c r="E140" i="3"/>
  <c r="D140" i="3"/>
  <c r="B140" i="3"/>
  <c r="A118" i="3"/>
  <c r="A118" i="4" s="1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B7" i="19"/>
  <c r="C3" i="19" s="1"/>
  <c r="D3" i="19" l="1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N3" i="18" s="1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 l="1"/>
  <c r="C7" i="19"/>
  <c r="D6" i="19"/>
  <c r="G72" i="17"/>
  <c r="E72" i="17"/>
  <c r="D73" i="17" s="1"/>
  <c r="X42" i="18"/>
  <c r="Y35" i="18"/>
  <c r="R20" i="18"/>
  <c r="O3" i="18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74" i="17" l="1"/>
  <c r="E73" i="17"/>
  <c r="G73" i="17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4" s="1"/>
  <c r="A260" i="4" s="1"/>
  <c r="I257" i="2"/>
  <c r="E74" i="17" l="1"/>
  <c r="A260" i="3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<sst xmlns="http://schemas.openxmlformats.org/spreadsheetml/2006/main" count="5795" uniqueCount="885">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</sst>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3" zoomScaleNormal="100" workbookViewId="0">
      <pane xSplit="1" topLeftCell="B1" activePane="topRight" state="frozen"/>
      <selection pane="topRight" activeCell="H59" sqref="H59:I5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25574.760000000002</v>
      </c>
      <c r="L5" s="362"/>
      <c r="M5" s="362"/>
      <c r="N5" s="363"/>
      <c r="O5" s="368">
        <f>'04'!K19</f>
        <v>26443.759999999998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0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2583.61</v>
      </c>
      <c r="BA8" s="112">
        <f t="shared" ref="BA8:BA16" ca="1" si="0">AZ8/BC$17</f>
        <v>1291.8050000000001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0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0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0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1142.8599999999999</v>
      </c>
      <c r="BA12" s="112">
        <f t="shared" ca="1" si="0"/>
        <v>571.42999999999995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0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0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3902.5699999999997</v>
      </c>
      <c r="BA14" s="112">
        <f t="shared" ca="1" si="0"/>
        <v>1951.2849999999999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0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48.725000000000001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4345.7199999999993</v>
      </c>
      <c r="H17" s="370"/>
      <c r="I17" s="370"/>
      <c r="J17" s="371"/>
      <c r="K17" s="369">
        <f>SUM(K8:K16)</f>
        <v>0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9480.26</v>
      </c>
      <c r="BA17" s="112">
        <f ca="1">AZ17/BC$17</f>
        <v>4740.13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56881.56</v>
      </c>
      <c r="BB18" s="1"/>
      <c r="BC18" s="1"/>
    </row>
    <row r="19" spans="1:62" ht="17.25" thickTop="1" thickBot="1">
      <c r="A19" s="24" t="s">
        <v>7</v>
      </c>
      <c r="B19" s="24" t="s">
        <v>754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444.01</v>
      </c>
      <c r="I20" s="144">
        <f>SUM('02'!D20:F20)</f>
        <v>1291.24</v>
      </c>
      <c r="J20" s="145">
        <f t="shared" ref="J20:J45" si="3">F20+H20-I20</f>
        <v>1769.8091905564922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2346.5891905564922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2342.829190556492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2543.9491905564919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2543.619190556492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2092.309190556492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2087.2291905564921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2289.5891905564918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2265.3891905564915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2826.2191905564914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3068.3591905564913</v>
      </c>
      <c r="AZ20" s="123">
        <f t="shared" ref="AZ20:AZ27" si="14">E20+I20+M20+Q20+U20+Y20+AC20+AG20+AK20+AO20+AS20+AW20</f>
        <v>5310.79</v>
      </c>
      <c r="BA20" s="21">
        <f t="shared" ref="BA20:BA45" si="15">AZ20/AZ$46</f>
        <v>0.1312221163596542</v>
      </c>
      <c r="BB20" s="22">
        <f>_xlfn.RANK.EQ(BA20,$BA$20:$BA$45,)</f>
        <v>2</v>
      </c>
      <c r="BC20" s="22">
        <f t="shared" ref="BC20:BC45" ca="1" si="16">AZ20/BC$17</f>
        <v>2655.395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1020.7900000000001</v>
      </c>
      <c r="BF20" s="21">
        <f t="shared" ref="BF20:BF45" ca="1" si="18">BE20/BE$46</f>
        <v>0.10958843813474529</v>
      </c>
      <c r="BG20" s="22">
        <f ca="1">_xlfn.RANK.EQ(BF20,$BF$20:$BF$45,)</f>
        <v>4</v>
      </c>
      <c r="BH20" s="22">
        <f t="shared" ref="BH20:BH45" ca="1" si="19">BE20/BC$17</f>
        <v>510.39500000000004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-701.94999999999959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1523.3799999999997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1399.6199999999997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1443.6799999999998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1487.7399999999998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1427.6099999999997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1471.6699999999996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1411.5399999999995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1454.9299999999996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2607.9299999999994</v>
      </c>
      <c r="AZ21" s="152">
        <f t="shared" si="14"/>
        <v>11521.8</v>
      </c>
      <c r="BA21" s="21">
        <f t="shared" si="15"/>
        <v>0.28468739684164951</v>
      </c>
      <c r="BB21" s="22">
        <f t="shared" ref="BB21:BB45" si="20">_xlfn.RANK.EQ(BA21,$BA$20:$BA$45,)</f>
        <v>1</v>
      </c>
      <c r="BC21" s="22">
        <f t="shared" ca="1" si="16"/>
        <v>5760.9</v>
      </c>
      <c r="BE21" s="224">
        <f t="shared" ca="1" si="17"/>
        <v>2328</v>
      </c>
      <c r="BF21" s="21">
        <f t="shared" ca="1" si="18"/>
        <v>0.24992592401736599</v>
      </c>
      <c r="BG21" s="22">
        <f t="shared" ref="BG21:BG45" ca="1" si="21">_xlfn.RANK.EQ(BF21,$BF$20:$BF$45,)</f>
        <v>3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14.590000000000146</v>
      </c>
    </row>
    <row r="22" spans="1:62" ht="15.75">
      <c r="A22" s="153" t="s">
        <v>740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227.2</v>
      </c>
      <c r="J22" s="156">
        <f t="shared" si="3"/>
        <v>212.83999999999997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679.58999999999992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838.18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806.91999999999985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813.69999999999982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813.69999999999982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813.69999999999959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828.99999999999955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801.78999999999951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705.58999999999946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1020.5899999999995</v>
      </c>
      <c r="AZ22" s="157">
        <f t="shared" si="14"/>
        <v>2772.52</v>
      </c>
      <c r="BA22" s="21">
        <f t="shared" si="15"/>
        <v>6.8505051423511099E-2</v>
      </c>
      <c r="BB22" s="22">
        <f t="shared" si="20"/>
        <v>5</v>
      </c>
      <c r="BC22" s="22">
        <f t="shared" ca="1" si="16"/>
        <v>1386.26</v>
      </c>
      <c r="BE22" s="225">
        <f t="shared" ca="1" si="17"/>
        <v>821.75</v>
      </c>
      <c r="BF22" s="21">
        <f t="shared" ca="1" si="18"/>
        <v>8.8220201057246775E-2</v>
      </c>
      <c r="BG22" s="22">
        <f t="shared" ca="1" si="21"/>
        <v>7</v>
      </c>
      <c r="BH22" s="22">
        <f t="shared" ca="1" si="19"/>
        <v>410.875</v>
      </c>
      <c r="BJ22" s="225">
        <f t="shared" ca="1" si="22"/>
        <v>149.45999999999998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117.36</v>
      </c>
      <c r="J23" s="151">
        <f t="shared" si="3"/>
        <v>252.54000000000008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432.54000000000008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501.54000000000008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458.69000000000005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461.04000000000008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488.84000000000009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482.19000000000017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489.29000000000013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505.9100000000002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537.71000000000026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722.71000000000026</v>
      </c>
      <c r="AZ23" s="152">
        <f t="shared" si="14"/>
        <v>1648.24</v>
      </c>
      <c r="BA23" s="21">
        <f t="shared" si="15"/>
        <v>4.0725681314575886E-2</v>
      </c>
      <c r="BB23" s="22">
        <f t="shared" si="20"/>
        <v>8</v>
      </c>
      <c r="BC23" s="22">
        <f t="shared" ca="1" si="16"/>
        <v>824.12</v>
      </c>
      <c r="BE23" s="224">
        <f t="shared" ca="1" si="17"/>
        <v>360</v>
      </c>
      <c r="BF23" s="21">
        <f t="shared" ca="1" si="18"/>
        <v>3.8648338765572061E-2</v>
      </c>
      <c r="BG23" s="22">
        <f t="shared" ca="1" si="21"/>
        <v>10</v>
      </c>
      <c r="BH23" s="22">
        <f t="shared" ca="1" si="19"/>
        <v>180</v>
      </c>
      <c r="BJ23" s="224">
        <f t="shared" ca="1" si="22"/>
        <v>71.589999999999975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59.55</v>
      </c>
      <c r="J24" s="156">
        <f t="shared" si="3"/>
        <v>351.67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531.67000000000007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578.28000000000009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562.80000000000007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529.94000000000005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634.84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651.02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646.36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586.18000000000006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692.90000000000009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842.90000000000009</v>
      </c>
      <c r="AZ24" s="157">
        <f t="shared" si="14"/>
        <v>1373.72</v>
      </c>
      <c r="BA24" s="21">
        <f t="shared" si="15"/>
        <v>3.394268003170605E-2</v>
      </c>
      <c r="BB24" s="22">
        <f t="shared" si="20"/>
        <v>9</v>
      </c>
      <c r="BC24" s="22">
        <f t="shared" ca="1" si="16"/>
        <v>686.86</v>
      </c>
      <c r="BE24" s="225">
        <f t="shared" ca="1" si="17"/>
        <v>380</v>
      </c>
      <c r="BF24" s="21">
        <f t="shared" ca="1" si="18"/>
        <v>4.0795468696992729E-2</v>
      </c>
      <c r="BG24" s="22">
        <f t="shared" ca="1" si="21"/>
        <v>9</v>
      </c>
      <c r="BH24" s="22">
        <f t="shared" ca="1" si="19"/>
        <v>190</v>
      </c>
      <c r="BJ24" s="225">
        <f t="shared" ca="1" si="22"/>
        <v>115.04999999999998</v>
      </c>
    </row>
    <row r="25" spans="1:62" ht="15.75">
      <c r="A25" s="146" t="s">
        <v>755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658.47</v>
      </c>
      <c r="J25" s="151">
        <f t="shared" si="3"/>
        <v>5750.4915974244968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6428.9615974244971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7970.9315974244973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7158.5515974244972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7276.1715974244971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7593.791597424497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8261.4115974244978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8379.0315974244986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8812.9831948489973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8943.0731948489974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9400.5431948489968</v>
      </c>
      <c r="AZ25" s="152">
        <f t="shared" si="14"/>
        <v>4227.920000000001</v>
      </c>
      <c r="BA25" s="21">
        <f t="shared" si="15"/>
        <v>0.10446592883531627</v>
      </c>
      <c r="BB25" s="22">
        <f t="shared" si="20"/>
        <v>3</v>
      </c>
      <c r="BC25" s="22">
        <f t="shared" ca="1" si="16"/>
        <v>2113.9600000000005</v>
      </c>
      <c r="BE25" s="224">
        <f t="shared" ca="1" si="17"/>
        <v>2343.85</v>
      </c>
      <c r="BF25" s="21">
        <f t="shared" ca="1" si="18"/>
        <v>0.25162752448801684</v>
      </c>
      <c r="BG25" s="22">
        <f t="shared" ca="1" si="21"/>
        <v>2</v>
      </c>
      <c r="BH25" s="22">
        <f t="shared" ca="1" si="19"/>
        <v>1171.925</v>
      </c>
      <c r="BJ25" s="224">
        <f t="shared" ca="1" si="22"/>
        <v>798.97000000000025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88.09999999999998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141.09999999999997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138.60999999999996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156.11999999999995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153.62999999999994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161.13999999999993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158.64999999999992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166.15999999999991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108.66999999999992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116.17999999999989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184.17999999999989</v>
      </c>
      <c r="AZ26" s="157">
        <f t="shared" si="14"/>
        <v>512.4</v>
      </c>
      <c r="BA26" s="21">
        <f t="shared" si="15"/>
        <v>1.2660679940778456E-2</v>
      </c>
      <c r="BB26" s="22">
        <f t="shared" si="20"/>
        <v>13</v>
      </c>
      <c r="BC26" s="22">
        <f t="shared" ca="1" si="16"/>
        <v>256.2</v>
      </c>
      <c r="BE26" s="225">
        <f t="shared" ca="1" si="17"/>
        <v>106</v>
      </c>
      <c r="BF26" s="21">
        <f t="shared" ca="1" si="18"/>
        <v>1.1379788636529551E-2</v>
      </c>
      <c r="BG26" s="22">
        <f t="shared" ca="1" si="21"/>
        <v>16</v>
      </c>
      <c r="BH26" s="22">
        <f t="shared" ca="1" si="19"/>
        <v>53</v>
      </c>
      <c r="BJ26" s="225">
        <f t="shared" ca="1" si="22"/>
        <v>42.519999999999996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15</v>
      </c>
      <c r="J27" s="187">
        <f t="shared" si="3"/>
        <v>449.54000000000008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499.54000000000008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532.96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499.09000000000003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455.93000000000006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505.93000000000006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518.6400000000001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568.6400000000001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571.88000000000011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605.30000000000007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630.43000000000006</v>
      </c>
      <c r="AZ27" s="188">
        <f t="shared" si="14"/>
        <v>298.97999999999996</v>
      </c>
      <c r="BA27" s="21">
        <f t="shared" si="15"/>
        <v>7.3873733190748291E-3</v>
      </c>
      <c r="BB27" s="22">
        <f t="shared" si="20"/>
        <v>17</v>
      </c>
      <c r="BC27" s="22">
        <f t="shared" ca="1" si="16"/>
        <v>149.48999999999998</v>
      </c>
      <c r="BE27" s="224">
        <f t="shared" ca="1" si="17"/>
        <v>90</v>
      </c>
      <c r="BF27" s="21">
        <f t="shared" ca="1" si="18"/>
        <v>9.6620846913930154E-3</v>
      </c>
      <c r="BG27" s="22">
        <f t="shared" ca="1" si="21"/>
        <v>17</v>
      </c>
      <c r="BH27" s="22">
        <f t="shared" ca="1" si="19"/>
        <v>45</v>
      </c>
      <c r="BJ27" s="224">
        <f t="shared" ca="1" si="22"/>
        <v>50.129999999999995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421.11</v>
      </c>
      <c r="J28" s="159">
        <f t="shared" si="3"/>
        <v>892.95000000000016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1092.9500000000003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402.09000000000026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1452.0900000000001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1652.0900000000001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488.81000000000017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688.81000000000017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844.81000000000017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1044.8100000000002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1244.8100000000002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1444.8100000000002</v>
      </c>
      <c r="AZ28" s="182">
        <f t="shared" ref="AZ28:AZ45" si="23">E28+I28+M28+Q28+U28+Y28+AC28+AG28+AK28+AO28+AS28+AW28</f>
        <v>3134.1899999999996</v>
      </c>
      <c r="BA28" s="21">
        <f t="shared" si="15"/>
        <v>7.7441406056964132E-2</v>
      </c>
      <c r="BB28" s="22">
        <f t="shared" si="20"/>
        <v>4</v>
      </c>
      <c r="BC28" s="22">
        <f t="shared" ca="1" si="16"/>
        <v>1567.0949999999998</v>
      </c>
      <c r="BE28" s="223">
        <f t="shared" ca="1" si="17"/>
        <v>400</v>
      </c>
      <c r="BF28" s="21">
        <f t="shared" ca="1" si="18"/>
        <v>4.2942598628413396E-2</v>
      </c>
      <c r="BG28" s="22">
        <f t="shared" ca="1" si="21"/>
        <v>8</v>
      </c>
      <c r="BH28" s="22">
        <f t="shared" ca="1" si="19"/>
        <v>200</v>
      </c>
      <c r="BJ28" s="223">
        <f t="shared" ca="1" si="22"/>
        <v>-396.05000000000007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208.86999999999998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235.24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177.46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146.42000000000002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166.22000000000003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132.44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68.649999999999977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74.489999999999981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179.48999999999998</v>
      </c>
      <c r="AZ29" s="152">
        <f t="shared" si="23"/>
        <v>1146.7000000000003</v>
      </c>
      <c r="BA29" s="21">
        <f t="shared" si="15"/>
        <v>2.8333336627811592E-2</v>
      </c>
      <c r="BB29" s="22">
        <f t="shared" si="20"/>
        <v>12</v>
      </c>
      <c r="BC29" s="22">
        <f t="shared" ca="1" si="16"/>
        <v>573.35000000000014</v>
      </c>
      <c r="BE29" s="224">
        <f t="shared" ca="1" si="17"/>
        <v>224.95</v>
      </c>
      <c r="BF29" s="21">
        <f t="shared" ca="1" si="18"/>
        <v>2.4149843903653982E-2</v>
      </c>
      <c r="BG29" s="22">
        <f t="shared" ca="1" si="21"/>
        <v>12</v>
      </c>
      <c r="BH29" s="22">
        <f t="shared" ca="1" si="19"/>
        <v>112.47499999999999</v>
      </c>
      <c r="BJ29" s="224">
        <f t="shared" ca="1" si="22"/>
        <v>-0.71999999999999886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7.6843705339229114E-3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7.5149547599723445E-3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4.1638910687353346E-3</v>
      </c>
      <c r="BB31" s="22">
        <f t="shared" si="20"/>
        <v>18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4.5089728559834065E-3</v>
      </c>
      <c r="BG31" s="22">
        <f t="shared" ca="1" si="21"/>
        <v>19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59.5</v>
      </c>
      <c r="I32" s="155">
        <f>SUM('02'!D260:F260)</f>
        <v>108.44000000000001</v>
      </c>
      <c r="J32" s="161">
        <f t="shared" si="3"/>
        <v>342.82999999999976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392.82999999999976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661.95999999999981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1166.7199999999998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1061.3999999999999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836.99999999999977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879.22999999999979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722.88999999999965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645.6899999999996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740.6899999999996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990.6899999999996</v>
      </c>
      <c r="AZ32" s="157">
        <f t="shared" si="23"/>
        <v>1928.0400000000002</v>
      </c>
      <c r="BA32" s="21">
        <f t="shared" si="15"/>
        <v>4.7639143936413927E-2</v>
      </c>
      <c r="BB32" s="22">
        <f t="shared" si="20"/>
        <v>7</v>
      </c>
      <c r="BC32" s="22">
        <f t="shared" ca="1" si="16"/>
        <v>964.0200000000001</v>
      </c>
      <c r="BE32" s="225">
        <f t="shared" ca="1" si="17"/>
        <v>109.5</v>
      </c>
      <c r="BF32" s="21">
        <f t="shared" ca="1" si="18"/>
        <v>1.1755536374528168E-2</v>
      </c>
      <c r="BG32" s="22">
        <f t="shared" ca="1" si="21"/>
        <v>15</v>
      </c>
      <c r="BH32" s="22">
        <f t="shared" ca="1" si="19"/>
        <v>54.75</v>
      </c>
      <c r="BJ32" s="225">
        <f t="shared" ca="1" si="22"/>
        <v>-124.07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9.4594354186721789E-3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1.073564965710335E-3</v>
      </c>
      <c r="BG33" s="22">
        <f t="shared" ca="1" si="21"/>
        <v>20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43.15</v>
      </c>
      <c r="J34" s="161">
        <f t="shared" si="3"/>
        <v>104.1599999999998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214.1599999999998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260.1599999999998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24.519999999999754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124.5199999999997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31.259999999999707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106.96999999999971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125.96999999999971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170.06999999999971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260.06999999999971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355.06999999999971</v>
      </c>
      <c r="AZ34" s="152">
        <f t="shared" si="23"/>
        <v>1197.19</v>
      </c>
      <c r="BA34" s="21">
        <f t="shared" si="15"/>
        <v>2.9580873181695083E-2</v>
      </c>
      <c r="BB34" s="22">
        <f t="shared" si="20"/>
        <v>11</v>
      </c>
      <c r="BC34" s="22">
        <f t="shared" ca="1" si="16"/>
        <v>598.59500000000003</v>
      </c>
      <c r="BE34" s="225">
        <f t="shared" ca="1" si="17"/>
        <v>325.02</v>
      </c>
      <c r="BF34" s="21">
        <f t="shared" ca="1" si="18"/>
        <v>3.4893008515517306E-2</v>
      </c>
      <c r="BG34" s="22">
        <f t="shared" ca="1" si="21"/>
        <v>11</v>
      </c>
      <c r="BH34" s="22">
        <f t="shared" ca="1" si="19"/>
        <v>162.51</v>
      </c>
      <c r="BJ34" s="225">
        <f t="shared" ca="1" si="22"/>
        <v>89.329999999999984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124.66</v>
      </c>
      <c r="I35" s="186">
        <f>SUM('02'!D320:F320)</f>
        <v>98.62</v>
      </c>
      <c r="J35" s="187">
        <f t="shared" si="3"/>
        <v>2075.0700000000006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2175.0700000000006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2109.6700000000005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2236.1600000000003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2213.5600000000004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2257.0900000000006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2299.8700000000008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2233.3600000000006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1915.6700000000005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1876.6200000000006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2006.6200000000006</v>
      </c>
      <c r="AZ35" s="188">
        <f t="shared" si="23"/>
        <v>2496.8200000000002</v>
      </c>
      <c r="BA35" s="21">
        <f t="shared" si="15"/>
        <v>6.1692894008068828E-2</v>
      </c>
      <c r="BB35" s="22">
        <f t="shared" si="20"/>
        <v>6</v>
      </c>
      <c r="BC35" s="22">
        <f t="shared" ca="1" si="16"/>
        <v>1248.4100000000001</v>
      </c>
      <c r="BE35" s="224">
        <f t="shared" ca="1" si="17"/>
        <v>1014.0999999999999</v>
      </c>
      <c r="BF35" s="21">
        <f t="shared" ca="1" si="18"/>
        <v>0.10887022317268506</v>
      </c>
      <c r="BG35" s="22">
        <f t="shared" ca="1" si="21"/>
        <v>6</v>
      </c>
      <c r="BH35" s="22">
        <f t="shared" ca="1" si="19"/>
        <v>507.04999999999995</v>
      </c>
      <c r="BJ35" s="224">
        <f t="shared" ca="1" si="22"/>
        <v>493.71000000000004</v>
      </c>
    </row>
    <row r="36" spans="1:62" ht="15.75">
      <c r="A36" s="163" t="s">
        <v>372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230</v>
      </c>
      <c r="J36" s="156">
        <f t="shared" si="3"/>
        <v>1022.5100000000002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1072.5100000000002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1162.5300000000002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1078.5300000000002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1086.5300000000002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1261.5300000000002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923.98000000000025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1182.1000000000004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1267.1000000000004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1772.1000000000004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1862.1000000000004</v>
      </c>
      <c r="AZ36" s="182">
        <f t="shared" si="23"/>
        <v>1244.3799999999999</v>
      </c>
      <c r="BA36" s="21">
        <f t="shared" si="15"/>
        <v>3.0746871398723445E-2</v>
      </c>
      <c r="BB36" s="22">
        <f t="shared" si="20"/>
        <v>10</v>
      </c>
      <c r="BC36" s="22">
        <f t="shared" ca="1" si="16"/>
        <v>622.18999999999994</v>
      </c>
      <c r="BE36" s="223">
        <f t="shared" ca="1" si="17"/>
        <v>180.01999999999998</v>
      </c>
      <c r="BF36" s="21">
        <f t="shared" ca="1" si="18"/>
        <v>1.9326316512717448E-2</v>
      </c>
      <c r="BG36" s="22">
        <f t="shared" ca="1" si="21"/>
        <v>13</v>
      </c>
      <c r="BH36" s="22">
        <f t="shared" ca="1" si="19"/>
        <v>90.009999999999991</v>
      </c>
      <c r="BJ36" s="223">
        <f t="shared" ca="1" si="22"/>
        <v>-64.980000000000018</v>
      </c>
    </row>
    <row r="37" spans="1:62" ht="15.75">
      <c r="A37" s="146" t="s">
        <v>741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0</v>
      </c>
      <c r="J37" s="151">
        <f t="shared" si="3"/>
        <v>1245.73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1595.73</v>
      </c>
      <c r="AZ37" s="152">
        <f t="shared" si="23"/>
        <v>129.30000000000001</v>
      </c>
      <c r="BA37" s="21">
        <f t="shared" si="15"/>
        <v>3.1948202895055707E-3</v>
      </c>
      <c r="BB37" s="22">
        <f t="shared" si="20"/>
        <v>19</v>
      </c>
      <c r="BC37" s="22">
        <f t="shared" ca="1" si="16"/>
        <v>64.650000000000006</v>
      </c>
      <c r="BE37" s="224">
        <f t="shared" ca="1" si="17"/>
        <v>1015</v>
      </c>
      <c r="BF37" s="21">
        <f t="shared" ca="1" si="18"/>
        <v>0.108966844019599</v>
      </c>
      <c r="BG37" s="22">
        <f t="shared" ca="1" si="21"/>
        <v>5</v>
      </c>
      <c r="BH37" s="22">
        <f t="shared" ca="1" si="19"/>
        <v>507.5</v>
      </c>
      <c r="BJ37" s="224">
        <f t="shared" ca="1" si="22"/>
        <v>1015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9</v>
      </c>
      <c r="J38" s="156">
        <f t="shared" si="3"/>
        <v>246.59000000000009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296.59000000000009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342.29000000000008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330.00000000000011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330.90000000000009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357.30000000000007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386.00000000000006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408.00000000000006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455.50000000000006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437.47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497.47</v>
      </c>
      <c r="AZ38" s="157">
        <f t="shared" si="23"/>
        <v>442.03</v>
      </c>
      <c r="BA38" s="21">
        <f t="shared" si="15"/>
        <v>1.0921936678810111E-2</v>
      </c>
      <c r="BB38" s="22">
        <f t="shared" si="20"/>
        <v>14</v>
      </c>
      <c r="BC38" s="22">
        <f t="shared" ca="1" si="16"/>
        <v>221.01499999999999</v>
      </c>
      <c r="BE38" s="225">
        <f t="shared" ca="1" si="17"/>
        <v>110</v>
      </c>
      <c r="BF38" s="21">
        <f t="shared" ca="1" si="18"/>
        <v>1.1809214622813684E-2</v>
      </c>
      <c r="BG38" s="22">
        <f t="shared" ca="1" si="21"/>
        <v>14</v>
      </c>
      <c r="BH38" s="22">
        <f t="shared" ca="1" si="19"/>
        <v>55</v>
      </c>
      <c r="BJ38" s="225">
        <f t="shared" ca="1" si="22"/>
        <v>72.09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-648.4</v>
      </c>
      <c r="I39" s="165">
        <f>SUM('02'!D400:F400)</f>
        <v>0</v>
      </c>
      <c r="J39" s="151">
        <f t="shared" si="3"/>
        <v>860.88078798099025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880.88078798099025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2232.1407879809904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897.14078798099035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917.14078798099035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877.14078798099035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892.14078798099035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907.14078798099035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2340.1615759619808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2355.1615759619808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2365.1615759619808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-638.4</v>
      </c>
      <c r="BF39" s="21">
        <f t="shared" ca="1" si="18"/>
        <v>-6.853638741094778E-2</v>
      </c>
      <c r="BG39" s="22">
        <f t="shared" ca="1" si="21"/>
        <v>24</v>
      </c>
      <c r="BH39" s="22">
        <f t="shared" ca="1" si="19"/>
        <v>-319.2</v>
      </c>
      <c r="BJ39" s="224">
        <f t="shared" ca="1" si="22"/>
        <v>-638.4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-3247.46</v>
      </c>
      <c r="I40" s="166">
        <f>SUM('02'!D420:F420)</f>
        <v>0</v>
      </c>
      <c r="J40" s="156">
        <f t="shared" si="3"/>
        <v>4104.2061040380204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4154.2061040380204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5254.0861040380205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4258.2261040380208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4305.2461040380213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4203.2061040380213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4250.0961040380216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4297.0061040380215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5605.0422080760409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5695.5722080760406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5745.5722080760406</v>
      </c>
      <c r="AZ40" s="157">
        <f t="shared" si="23"/>
        <v>101.99000000000001</v>
      </c>
      <c r="BA40" s="21">
        <f t="shared" si="15"/>
        <v>2.5200287805620509E-3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-3215.71</v>
      </c>
      <c r="BF40" s="21">
        <f t="shared" ca="1" si="18"/>
        <v>-0.34522735958843814</v>
      </c>
      <c r="BG40" s="22">
        <f t="shared" ca="1" si="21"/>
        <v>26</v>
      </c>
      <c r="BH40" s="22">
        <f t="shared" ca="1" si="19"/>
        <v>-1607.855</v>
      </c>
      <c r="BJ40" s="225">
        <f t="shared" ca="1" si="22"/>
        <v>-3230.16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-1100.7500000000009</v>
      </c>
      <c r="I41" s="165">
        <f>SUM('02'!D440:F440)</f>
        <v>0</v>
      </c>
      <c r="J41" s="151">
        <f t="shared" si="3"/>
        <v>6572.0700000000015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2272.0700000000015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-2012.6499999999978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-7970.6899999999978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-12064.839999999997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-16237.649999999998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-20484.039999999997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-25466.01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-29476.059999999998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-34246.78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-38146.78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-2003.0500000000011</v>
      </c>
      <c r="BF41" s="21">
        <f t="shared" ca="1" si="18"/>
        <v>-0.21504043045660876</v>
      </c>
      <c r="BG41" s="22">
        <f t="shared" ca="1" si="21"/>
        <v>25</v>
      </c>
      <c r="BH41" s="22">
        <f t="shared" ca="1" si="19"/>
        <v>-1001.5250000000005</v>
      </c>
      <c r="BJ41" s="224">
        <f t="shared" ca="1" si="22"/>
        <v>-2003.0500000000011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4210.9399999999996</v>
      </c>
      <c r="I42" s="166">
        <f>SUM('02'!D460:F460)</f>
        <v>0</v>
      </c>
      <c r="J42" s="156">
        <f t="shared" si="3"/>
        <v>6010.98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6010.98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1926.7799999999997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5971.04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5971.04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5971.04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5971.04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5971.04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1926.7799999999997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1926.7799999999997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1926.7799999999997</v>
      </c>
      <c r="AZ42" s="157">
        <f t="shared" si="23"/>
        <v>1.98</v>
      </c>
      <c r="BA42" s="21">
        <f t="shared" si="15"/>
        <v>4.8923002113078341E-5</v>
      </c>
      <c r="BB42" s="22">
        <f t="shared" si="20"/>
        <v>22</v>
      </c>
      <c r="BC42" s="22">
        <f t="shared" ca="1" si="16"/>
        <v>0.99</v>
      </c>
      <c r="BE42" s="225">
        <f t="shared" ca="1" si="17"/>
        <v>4210.9399999999996</v>
      </c>
      <c r="BF42" s="21">
        <f t="shared" ca="1" si="18"/>
        <v>0.45207176567082774</v>
      </c>
      <c r="BG42" s="22">
        <f t="shared" ca="1" si="21"/>
        <v>1</v>
      </c>
      <c r="BH42" s="22">
        <f t="shared" ca="1" si="19"/>
        <v>2105.4699999999998</v>
      </c>
      <c r="BJ42" s="225">
        <f t="shared" ca="1" si="22"/>
        <v>4208.9599999999991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22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2.9751609517352337E-3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1.073564965710335E-3</v>
      </c>
      <c r="BG45" s="22">
        <f t="shared" ca="1" si="21"/>
        <v>20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4175.7199999999993</v>
      </c>
      <c r="I46" s="219">
        <f>SUM(I20:I45)</f>
        <v>4477.3899999999994</v>
      </c>
      <c r="J46" s="220">
        <f>SUM(J20:J45)</f>
        <v>33537.417680000006</v>
      </c>
      <c r="K46" s="218"/>
      <c r="L46" s="219">
        <f>SUM(L20:L45)</f>
        <v>-170</v>
      </c>
      <c r="M46" s="219">
        <f>SUM(M20:M45)</f>
        <v>0</v>
      </c>
      <c r="N46" s="220">
        <f>SUM(N20:N45)</f>
        <v>33367.417680000006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29764.047679999996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25656.717679999998</v>
      </c>
      <c r="W46" s="218"/>
      <c r="X46" s="219">
        <f>SUM(X20:X45)</f>
        <v>0</v>
      </c>
      <c r="Y46" s="219">
        <f>SUM(Y20:Y45)</f>
        <v>3824.44</v>
      </c>
      <c r="Z46" s="220">
        <f>SUM(Z20:Z45)</f>
        <v>21832.277680000003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16428.807679999998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12574.727680000005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8423.9676799999997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4465.285360000009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1627.765360000009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1602.8953600000068</v>
      </c>
      <c r="AZ46" s="227">
        <f>SUM(AZ20:AZ45)</f>
        <v>40471.760000000009</v>
      </c>
      <c r="BA46" s="1"/>
      <c r="BB46" s="1"/>
      <c r="BC46" s="124">
        <f ca="1">SUM(BC20:BC45)</f>
        <v>20235.880000000005</v>
      </c>
      <c r="BE46" s="227">
        <f ca="1">SUM(BE20:BE45)</f>
        <v>9314.76</v>
      </c>
      <c r="BF46" s="1"/>
      <c r="BG46" s="1"/>
      <c r="BH46" s="124">
        <f ca="1">SUM(BH20:BH45)</f>
        <v>4657.38</v>
      </c>
      <c r="BJ46" s="227">
        <f ca="1">SUM(BJ20:BJ45)</f>
        <v>-41.580000000001746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-131.67000000000007</v>
      </c>
      <c r="J47" s="125"/>
      <c r="K47" s="125">
        <f>K5-J46</f>
        <v>-7962.6576800000039</v>
      </c>
      <c r="L47" s="125">
        <f>K17-L46</f>
        <v>170</v>
      </c>
      <c r="M47" s="125">
        <f>K17-M46</f>
        <v>0</v>
      </c>
      <c r="N47" s="125"/>
      <c r="O47" s="125">
        <f>O5-N46</f>
        <v>-6923.6576800000075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-2600.9576799999923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3357.3623200000002</v>
      </c>
      <c r="X47" s="125">
        <f>W17-X46</f>
        <v>0</v>
      </c>
      <c r="Y47" s="125">
        <f>W17-Y46</f>
        <v>-3824.44</v>
      </c>
      <c r="Z47" s="125"/>
      <c r="AA47" s="125">
        <f>AA5-Z46</f>
        <v>7450.6823199999963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12738.042320000004</v>
      </c>
      <c r="AF47" s="125">
        <f>AE17-AF46</f>
        <v>0</v>
      </c>
      <c r="AG47" s="125">
        <f>AE17-AG46</f>
        <v>-3854.08</v>
      </c>
      <c r="AH47" s="125"/>
      <c r="AI47" s="125">
        <f>AI5-AH46</f>
        <v>16683.532319999998</v>
      </c>
      <c r="AJ47" s="125">
        <f>AI17-AJ46</f>
        <v>0</v>
      </c>
      <c r="AK47" s="125">
        <f>AI17-AK46</f>
        <v>-4150.76</v>
      </c>
      <c r="AL47" s="125"/>
      <c r="AM47" s="125">
        <f>AM5-AL46</f>
        <v>21665.50232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25638.094639999996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28475.614639999996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242830.56000000006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784</v>
      </c>
      <c r="E54" s="379"/>
      <c r="F54" s="98"/>
      <c r="G54" s="95">
        <v>43862</v>
      </c>
      <c r="H54" s="378" t="s">
        <v>814</v>
      </c>
      <c r="I54" s="379"/>
      <c r="J54" s="343">
        <v>1200</v>
      </c>
      <c r="K54" s="95"/>
      <c r="L54" s="384" t="s">
        <v>874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815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784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855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/>
      <c r="H58" s="382" t="s">
        <v>146</v>
      </c>
      <c r="I58" s="383"/>
      <c r="J58" s="100"/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>
        <v>44193</v>
      </c>
      <c r="H59" s="382" t="s">
        <v>854</v>
      </c>
      <c r="I59" s="383"/>
      <c r="J59" s="100" t="s">
        <v>855</v>
      </c>
      <c r="K59" s="96"/>
      <c r="L59" s="382"/>
      <c r="M59" s="383"/>
      <c r="N59" s="100"/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155.6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343.91999999999996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29258.260000000002</v>
      </c>
      <c r="L19" s="443"/>
      <c r="M19" s="1"/>
      <c r="N19" s="1"/>
      <c r="R19" s="3"/>
    </row>
    <row r="20" spans="1:18" ht="16.5" thickBot="1">
      <c r="A20" s="112">
        <f>SUM(A6:A15)</f>
        <v>1829.9900000000002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20.500000000000007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599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1406.6699999999998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589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595</v>
      </c>
      <c r="H46" s="1"/>
      <c r="I46" s="425"/>
      <c r="J46" s="429" t="s">
        <v>631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600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586</v>
      </c>
      <c r="D48" s="137">
        <v>67.47</v>
      </c>
      <c r="E48" s="138"/>
      <c r="F48" s="138"/>
      <c r="G48" s="16" t="s">
        <v>604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606</v>
      </c>
      <c r="H50" s="1"/>
      <c r="I50" s="424" t="str">
        <f>AÑO!A13</f>
        <v>Gubernamental</v>
      </c>
      <c r="J50" s="427" t="s">
        <v>597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614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615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623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598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583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584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593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607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630</v>
      </c>
      <c r="D79" s="135">
        <v>122.95</v>
      </c>
      <c r="E79" s="139"/>
      <c r="F79" s="139"/>
      <c r="G79" s="17" t="s">
        <v>624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1553.1099999999997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621</v>
      </c>
      <c r="H189" s="89">
        <f>9.99+8.99+6.99+3.99+7.99</f>
        <v>37.950000000000003</v>
      </c>
      <c r="I189" s="1" t="s">
        <v>619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-13.990000000000066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627</v>
      </c>
      <c r="H248" s="89">
        <f>33.98+1.99</f>
        <v>35.97</v>
      </c>
      <c r="I248" s="89" t="s">
        <v>619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536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772.88999999999987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65.969999999999715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125.96999999999971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>
        <v>60</v>
      </c>
      <c r="G306" s="16" t="s">
        <v>602</v>
      </c>
    </row>
    <row r="307" spans="2:7">
      <c r="B307" s="134"/>
      <c r="C307" s="27"/>
      <c r="D307" s="137">
        <v>35.96</v>
      </c>
      <c r="E307" s="138"/>
      <c r="F307" s="138"/>
      <c r="G307" s="16" t="s">
        <v>603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608</v>
      </c>
    </row>
    <row r="309" spans="2:7">
      <c r="B309" s="134"/>
      <c r="C309" s="16"/>
      <c r="D309" s="137"/>
      <c r="E309" s="138"/>
      <c r="F309" s="138">
        <v>60</v>
      </c>
      <c r="G309" s="16" t="s">
        <v>632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588</v>
      </c>
    </row>
    <row r="327" spans="2:9">
      <c r="B327" s="134">
        <v>100</v>
      </c>
      <c r="C327" s="16" t="s">
        <v>589</v>
      </c>
      <c r="D327" s="137">
        <v>15</v>
      </c>
      <c r="E327" s="138"/>
      <c r="F327" s="138"/>
      <c r="G327" s="16" t="s">
        <v>616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629</v>
      </c>
      <c r="H328" s="89">
        <f>9.99+34.99+2</f>
        <v>46.980000000000004</v>
      </c>
      <c r="I328" s="89" t="s">
        <v>619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155.6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350.41999999999996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30089.47</v>
      </c>
      <c r="L19" s="443"/>
      <c r="M19" s="1"/>
      <c r="N19" s="1"/>
      <c r="R19" s="3"/>
    </row>
    <row r="20" spans="1:18" ht="16.5" thickBot="1">
      <c r="A20" s="112">
        <f>SUM(A6:A15)</f>
        <v>1805.7900000000004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20.550000000000008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428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659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1346.5399999999997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662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640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641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655</v>
      </c>
      <c r="H50" s="1"/>
      <c r="I50" s="424" t="str">
        <f>AÑO!A13</f>
        <v>Gubernamental</v>
      </c>
      <c r="J50" s="427" t="s">
        <v>597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657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658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660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668</v>
      </c>
      <c r="H55" s="1"/>
      <c r="I55" s="424" t="str">
        <f>AÑO!A14</f>
        <v>Mutualite/DKV</v>
      </c>
      <c r="J55" s="427" t="s">
        <v>288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669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649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654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681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1936.9715974244975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684</v>
      </c>
      <c r="D130" s="137">
        <v>65</v>
      </c>
      <c r="E130" s="138"/>
      <c r="F130" s="138"/>
      <c r="G130" s="16" t="s">
        <v>685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-35.520000000000067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596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695.68999999999994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70.069999999999709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170.06999999999971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f>37.5+37.5</f>
        <v>75</v>
      </c>
      <c r="E306" s="138"/>
      <c r="F306" s="138"/>
      <c r="G306" s="16" t="s">
        <v>646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651</v>
      </c>
    </row>
    <row r="308" spans="2:7">
      <c r="B308" s="134"/>
      <c r="C308" s="27"/>
      <c r="D308" s="137">
        <v>35.96</v>
      </c>
      <c r="E308" s="138"/>
      <c r="F308" s="138"/>
      <c r="G308" s="16" t="s">
        <v>652</v>
      </c>
    </row>
    <row r="309" spans="2:7">
      <c r="B309" s="134"/>
      <c r="C309" s="16"/>
      <c r="D309" s="137">
        <v>16.21</v>
      </c>
      <c r="E309" s="138"/>
      <c r="F309" s="138"/>
      <c r="G309" s="16" t="s">
        <v>672</v>
      </c>
    </row>
    <row r="310" spans="2:7">
      <c r="B310" s="134"/>
      <c r="C310" s="16"/>
      <c r="D310" s="137"/>
      <c r="E310" s="138"/>
      <c r="F310" s="138">
        <v>50</v>
      </c>
      <c r="G310" s="16" t="s">
        <v>671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673</v>
      </c>
    </row>
    <row r="312" spans="2:7">
      <c r="B312" s="134"/>
      <c r="C312" s="16"/>
      <c r="D312" s="137"/>
      <c r="E312" s="138"/>
      <c r="F312" s="138">
        <v>60</v>
      </c>
      <c r="G312" s="16" t="s">
        <v>674</v>
      </c>
    </row>
    <row r="313" spans="2:7">
      <c r="B313" s="134"/>
      <c r="C313" s="16"/>
      <c r="D313" s="137">
        <v>5.3</v>
      </c>
      <c r="E313" s="138"/>
      <c r="F313" s="138"/>
      <c r="G313" s="16" t="s">
        <v>676</v>
      </c>
    </row>
    <row r="314" spans="2:7">
      <c r="B314" s="134"/>
      <c r="C314" s="16"/>
      <c r="D314" s="137">
        <v>12.95</v>
      </c>
      <c r="E314" s="138"/>
      <c r="F314" s="138"/>
      <c r="G314" s="16" t="s">
        <v>689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688</v>
      </c>
    </row>
    <row r="317" spans="2:7">
      <c r="B317" s="134"/>
      <c r="C317" s="16"/>
      <c r="D317" s="137"/>
      <c r="E317" s="138"/>
      <c r="F317" s="138">
        <v>4.5</v>
      </c>
      <c r="G317" s="16" t="s">
        <v>693</v>
      </c>
    </row>
    <row r="318" spans="2:7">
      <c r="B318" s="134"/>
      <c r="C318" s="16"/>
      <c r="D318" s="137"/>
      <c r="E318" s="138"/>
      <c r="F318" s="138">
        <v>84.93</v>
      </c>
      <c r="G318" s="16" t="s">
        <v>694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634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155.6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356.91999999999996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2366.6200000000003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284.18999999999983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19.930000000000007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489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1389.9299999999998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697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703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702</v>
      </c>
      <c r="H46" s="1"/>
      <c r="I46" s="425"/>
      <c r="J46" s="429" t="s">
        <v>717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713</v>
      </c>
      <c r="H47" s="1"/>
      <c r="I47" s="425"/>
      <c r="J47" s="429" t="s">
        <v>718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715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721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726</v>
      </c>
      <c r="H50" s="1"/>
      <c r="I50" s="424" t="str">
        <f>AÑO!A13</f>
        <v>Gubernamental</v>
      </c>
      <c r="J50" s="427" t="s">
        <v>708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730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732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734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707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490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700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701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2016.9715974244975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14.479999999999933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664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790.68999999999994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120.06999999999971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260.06999999999971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523</v>
      </c>
      <c r="D306" s="137"/>
      <c r="E306" s="138"/>
      <c r="F306" s="138">
        <v>80</v>
      </c>
      <c r="G306" s="16" t="s">
        <v>706</v>
      </c>
    </row>
    <row r="307" spans="2:8">
      <c r="B307" s="134">
        <v>300</v>
      </c>
      <c r="C307" s="27" t="s">
        <v>710</v>
      </c>
      <c r="D307" s="137">
        <v>82.87</v>
      </c>
      <c r="E307" s="138"/>
      <c r="F307" s="138"/>
      <c r="G307" s="16" t="s">
        <v>709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712</v>
      </c>
    </row>
    <row r="309" spans="2:8">
      <c r="B309" s="134"/>
      <c r="C309" s="16"/>
      <c r="D309" s="137">
        <v>40.18</v>
      </c>
      <c r="E309" s="138"/>
      <c r="F309" s="138"/>
      <c r="G309" s="16" t="s">
        <v>714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722</v>
      </c>
    </row>
    <row r="312" spans="2:8">
      <c r="B312" s="134"/>
      <c r="C312" s="16"/>
      <c r="D312" s="137">
        <v>50</v>
      </c>
      <c r="E312" s="138"/>
      <c r="F312" s="138"/>
      <c r="G312" s="16" t="s">
        <v>725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705</v>
      </c>
    </row>
    <row r="327" spans="2:7">
      <c r="B327" s="134">
        <v>30</v>
      </c>
      <c r="C327" s="16" t="s">
        <v>704</v>
      </c>
      <c r="D327" s="137"/>
      <c r="E327" s="138"/>
      <c r="F327" s="138"/>
      <c r="G327" s="16"/>
    </row>
    <row r="328" spans="2:7">
      <c r="B328" s="134">
        <v>250</v>
      </c>
      <c r="C328" s="16" t="s">
        <v>717</v>
      </c>
      <c r="D328" s="137"/>
      <c r="E328" s="138"/>
      <c r="F328" s="138"/>
      <c r="G328" s="16"/>
    </row>
    <row r="329" spans="2:7">
      <c r="B329" s="134">
        <v>150</v>
      </c>
      <c r="C329" s="16" t="s">
        <v>718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663</v>
      </c>
      <c r="D359" s="135">
        <v>65</v>
      </c>
      <c r="E359" s="139"/>
      <c r="F359" s="139"/>
      <c r="G359" s="17" t="s">
        <v>696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724</v>
      </c>
    </row>
    <row r="368" spans="1:7">
      <c r="B368" s="134"/>
      <c r="C368" s="16"/>
      <c r="D368" s="137">
        <v>34</v>
      </c>
      <c r="E368" s="138"/>
      <c r="F368" s="138"/>
      <c r="G368" s="16" t="s">
        <v>731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695</v>
      </c>
    </row>
    <row r="407" spans="2:7">
      <c r="B407" s="134">
        <v>42.84</v>
      </c>
      <c r="C407" s="16" t="s">
        <v>697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-107.44000000000003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363.41999999999996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2608.7600000000007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474.18999999999983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37.930000000000007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2542.9299999999994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708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2096.9715974244973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64.479999999999933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711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1040.69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170.06999999999971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355.06999999999971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49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778</v>
      </c>
    </row>
    <row r="66" spans="1:7">
      <c r="C66" t="s">
        <v>757</v>
      </c>
      <c r="D66">
        <v>16420</v>
      </c>
    </row>
    <row r="67" spans="1:7">
      <c r="C67" t="s">
        <v>756</v>
      </c>
      <c r="D67">
        <f>D66*0.2</f>
        <v>3284</v>
      </c>
    </row>
    <row r="68" spans="1:7">
      <c r="B68" t="s">
        <v>748</v>
      </c>
      <c r="C68" t="s">
        <v>749</v>
      </c>
      <c r="D68" t="s">
        <v>751</v>
      </c>
      <c r="E68" t="s">
        <v>750</v>
      </c>
      <c r="F68" t="s">
        <v>93</v>
      </c>
      <c r="G68" t="s">
        <v>753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10" workbookViewId="0">
      <selection activeCell="I34" sqref="I3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564</v>
      </c>
    </row>
    <row r="6" spans="1:14" ht="12.75" customHeight="1">
      <c r="A6" t="s">
        <v>92</v>
      </c>
      <c r="B6" s="48">
        <f>E19</f>
        <v>-0.28323076923076923</v>
      </c>
      <c r="C6" s="44" t="s">
        <v>93</v>
      </c>
      <c r="D6" s="43" t="s">
        <v>94</v>
      </c>
      <c r="E6" s="42"/>
      <c r="J6" t="s">
        <v>95</v>
      </c>
      <c r="K6" s="49">
        <f>B4-B15</f>
        <v>126266.12454478836</v>
      </c>
      <c r="L6" s="39">
        <f>B4*(E8/100)</f>
        <v>22.875705696153847</v>
      </c>
      <c r="M6" s="49">
        <f>B13-L6</f>
        <v>370.14545521164604</v>
      </c>
      <c r="N6" s="59">
        <f>L6/SUM(L6:M6)</f>
        <v>5.8204768525225374E-2</v>
      </c>
    </row>
    <row r="7" spans="1:14" ht="12.75" customHeight="1">
      <c r="E7" s="42"/>
      <c r="J7" t="s">
        <v>96</v>
      </c>
      <c r="K7" s="49">
        <f>K6-(B13-L7)</f>
        <v>125895.91222612205</v>
      </c>
      <c r="L7" s="39">
        <f>(K6*(E8/100))</f>
        <v>22.808842241488051</v>
      </c>
      <c r="M7" s="49">
        <f>B13-L7</f>
        <v>370.21231866631183</v>
      </c>
      <c r="N7" s="59">
        <f t="shared" ref="N7:N13" si="0">L7/SUM(L7:M7)</f>
        <v>5.8034641668667945E-2</v>
      </c>
    </row>
    <row r="8" spans="1:14" ht="12.75" customHeight="1">
      <c r="B8" s="42"/>
      <c r="D8" t="s">
        <v>177</v>
      </c>
      <c r="E8" s="50">
        <f>(B6+0.5)/12</f>
        <v>1.8064102564102565E-2</v>
      </c>
      <c r="J8" t="s">
        <v>97</v>
      </c>
      <c r="K8" s="49">
        <f>K7-(B13-L8)</f>
        <v>125525.63303192279</v>
      </c>
      <c r="L8" s="39">
        <f>(K7*(E8/100))</f>
        <v>22.741966708539227</v>
      </c>
      <c r="M8" s="49">
        <f>B13-L8</f>
        <v>370.27919419926064</v>
      </c>
      <c r="N8" s="59">
        <f t="shared" si="0"/>
        <v>5.7864484080220657E-2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1.0001806410256411</v>
      </c>
      <c r="J9" t="s">
        <v>99</v>
      </c>
      <c r="K9" s="49">
        <f>K8-(B13-L9)</f>
        <v>125155.28695011011</v>
      </c>
      <c r="L9" s="39">
        <f>(K8*(E8/100))</f>
        <v>22.67507909512554</v>
      </c>
      <c r="M9" s="49">
        <f>B13-L9</f>
        <v>370.34608181267436</v>
      </c>
      <c r="N9" s="59">
        <f t="shared" si="0"/>
        <v>5.7694295754332069E-2</v>
      </c>
    </row>
    <row r="10" spans="1:14" ht="12.75" customHeight="1">
      <c r="B10" s="42"/>
      <c r="D10" t="s">
        <v>100</v>
      </c>
      <c r="E10" s="50">
        <f>E9^-B5</f>
        <v>0.94179523147477462</v>
      </c>
      <c r="J10" t="s">
        <v>101</v>
      </c>
      <c r="K10" s="49">
        <f>K9-(B13-L10)</f>
        <v>124784.87396860137</v>
      </c>
      <c r="L10" s="39">
        <f>(K9*(E8/100))</f>
        <v>22.608179399064763</v>
      </c>
      <c r="M10" s="49">
        <f>B13-L10</f>
        <v>370.41298150873513</v>
      </c>
      <c r="N10" s="59">
        <f t="shared" si="0"/>
        <v>5.7524076685449746E-2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5.8204768525225381</v>
      </c>
      <c r="J11" t="s">
        <v>104</v>
      </c>
      <c r="K11" s="51">
        <f>K10-(B13-L11)</f>
        <v>124414.39407531175</v>
      </c>
      <c r="L11" s="39">
        <f>(K10*(E8/100))</f>
        <v>22.541267618174274</v>
      </c>
      <c r="M11" s="49">
        <f>B13-L11</f>
        <v>370.47989328962558</v>
      </c>
      <c r="N11" s="59">
        <f t="shared" si="0"/>
        <v>5.7353826868020229E-2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393.02116090779987</v>
      </c>
      <c r="E13" s="42"/>
      <c r="F13" s="44"/>
      <c r="G13" s="53"/>
      <c r="L13" s="54">
        <f>SUM(L6:L11)</f>
        <v>136.25104075854568</v>
      </c>
      <c r="M13" s="54">
        <f>SUM(M6:M11)</f>
        <v>2221.8759246882537</v>
      </c>
      <c r="N13" s="59">
        <f t="shared" si="0"/>
        <v>5.777934893031933E-2</v>
      </c>
    </row>
    <row r="14" spans="1:14" ht="12.75" customHeight="1">
      <c r="A14" t="s">
        <v>106</v>
      </c>
      <c r="B14" s="55">
        <f>B4*(E8/100)</f>
        <v>22.875705696153847</v>
      </c>
      <c r="E14" s="42"/>
    </row>
    <row r="15" spans="1:14" ht="12.75" customHeight="1">
      <c r="A15" t="s">
        <v>107</v>
      </c>
      <c r="B15" s="55">
        <f>B13-B14</f>
        <v>370.14545521164604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393.02272090779985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-0.28323076923076923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-3.6819999999999999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2221.8759246882537</v>
      </c>
      <c r="C22" s="58">
        <f>B22/170000</f>
        <v>1.3069858380519139E-2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124414.39407531175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13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J27" sqref="J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-2.8323076923076921E-3</v>
      </c>
      <c r="D26" s="73">
        <f>Hipoteca!B$13</f>
        <v>393.02116090779987</v>
      </c>
      <c r="E26" s="72">
        <f t="shared" ref="E26" si="12">D26-D25</f>
        <v>3.7611609077998764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7.8952614399489373E-3</v>
      </c>
      <c r="D83" s="85">
        <f>AVERAGE(D2:D82)</f>
        <v>488.2714801402368</v>
      </c>
      <c r="E83" s="86">
        <f>AVERAGE(E3:E82)</f>
        <v>-18.959534962175006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zoomScale="115" zoomScaleNormal="115" workbookViewId="0">
      <selection activeCell="S3" sqref="S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368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661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857</v>
      </c>
      <c r="C3" s="263">
        <v>4180</v>
      </c>
      <c r="D3" s="321">
        <f ca="1">_xlfn.DAYS(K3,F3)</f>
        <v>0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43882</v>
      </c>
      <c r="L3" s="301">
        <v>18</v>
      </c>
      <c r="M3" s="264">
        <f>(H3*L3)</f>
        <v>3330</v>
      </c>
      <c r="N3" s="264">
        <f>-(IF((M3*0.005)&lt;20,20,(M3*0.005)) + (M3*0.0035))</f>
        <v>-31.655000000000001</v>
      </c>
      <c r="O3" s="267">
        <f>J3+N3</f>
        <v>-67.146325000000004</v>
      </c>
      <c r="P3" s="268">
        <f>M3-I3+N3</f>
        <v>-877.10499999999979</v>
      </c>
      <c r="Q3" s="268">
        <f>M3+N3</f>
        <v>3298.3449999999998</v>
      </c>
      <c r="R3" s="269">
        <f>P3/E3</f>
        <v>-0.20829190727325078</v>
      </c>
      <c r="S3" s="270" t="s">
        <v>355</v>
      </c>
    </row>
    <row r="4" spans="1:27">
      <c r="A4" s="262" t="s">
        <v>336</v>
      </c>
      <c r="B4" s="262" t="s">
        <v>244</v>
      </c>
      <c r="C4" s="263">
        <v>4090</v>
      </c>
      <c r="D4" s="321">
        <f ca="1">_xlfn.DAYS(K4,F4)</f>
        <v>277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43882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355</v>
      </c>
      <c r="T4" s="339"/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728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43882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8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</row>
    <row r="11" spans="1:27">
      <c r="A11" s="450" t="s">
        <v>338</v>
      </c>
      <c r="B11" s="451"/>
      <c r="C11" s="451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1"/>
    </row>
    <row r="12" spans="1:27">
      <c r="A12" s="290" t="s">
        <v>325</v>
      </c>
      <c r="B12" s="290" t="s">
        <v>326</v>
      </c>
      <c r="C12" s="290" t="s">
        <v>327</v>
      </c>
      <c r="D12" s="323" t="s">
        <v>368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661</v>
      </c>
      <c r="R12" s="297" t="s">
        <v>93</v>
      </c>
      <c r="S12" s="298" t="s">
        <v>334</v>
      </c>
      <c r="T12" s="338" t="s">
        <v>407</v>
      </c>
      <c r="U12" s="338" t="s">
        <v>580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1" ca="1" si="1">D13/D$43</f>
        <v>3.4292035398230086E-2</v>
      </c>
      <c r="Y13" s="119">
        <f ca="1">X13*E13</f>
        <v>137.82891310840708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3.0420353982300884E-2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7.743362831858407E-3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0.48064159292035397</v>
      </c>
      <c r="Y19" s="119">
        <f t="shared" ca="1" si="3"/>
        <v>2126.0699836725667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369</v>
      </c>
      <c r="X20" s="39">
        <f t="shared" ca="1" si="1"/>
        <v>0.34955752212389379</v>
      </c>
      <c r="Y20" s="119">
        <f t="shared" ca="1" si="3"/>
        <v>209.94424778761061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0.15929203539823009</v>
      </c>
      <c r="Y25" s="119">
        <f t="shared" ca="1" si="3"/>
        <v>96.843699716814157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0.36283185840707965</v>
      </c>
      <c r="Y28" s="119">
        <f t="shared" ca="1" si="3"/>
        <v>1867.8921069026549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1.2168141592920354E-2</v>
      </c>
      <c r="Y33" s="119">
        <f t="shared" ca="1" si="3"/>
        <v>50.243792256637164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8.2411504424778764E-2</v>
      </c>
      <c r="Y35" s="119">
        <f t="shared" ca="1" si="3"/>
        <v>336.9597799446903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776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335</v>
      </c>
      <c r="B38" s="262" t="s">
        <v>857</v>
      </c>
      <c r="C38" s="263">
        <v>4180</v>
      </c>
      <c r="D38" s="321">
        <f ca="1">_xlfn.DAYS(K38,F38)</f>
        <v>0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43882</v>
      </c>
      <c r="L38" s="301">
        <v>28.47</v>
      </c>
      <c r="M38" s="264">
        <f>(H38*L38)</f>
        <v>5266.95</v>
      </c>
      <c r="N38" s="264">
        <f>-(IF((M38*0.005)&lt;20,20,(M38*0.005)) + (M38*0.0027))</f>
        <v>-40.555515</v>
      </c>
      <c r="O38" s="272">
        <f>J38+N38</f>
        <v>-76.045514999999995</v>
      </c>
      <c r="P38" s="273">
        <f>M38-I38+N38</f>
        <v>1050.944485</v>
      </c>
      <c r="Q38" s="273">
        <f>M38+N38</f>
        <v>5226.3944849999998</v>
      </c>
      <c r="R38" s="274">
        <f>P38/E38</f>
        <v>0.24957479446394393</v>
      </c>
      <c r="S38" s="275" t="s">
        <v>355</v>
      </c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 ca="1">SUM(D13:D41)</f>
        <v>2747</v>
      </c>
      <c r="E42" s="314">
        <f>SUM(E13:E41)</f>
        <v>60686.578345999995</v>
      </c>
      <c r="F42" s="317"/>
      <c r="G42" s="314"/>
      <c r="H42" s="315"/>
      <c r="I42" s="314"/>
      <c r="J42" s="318">
        <f>SUM(J13:J41)</f>
        <v>-267.06803600000001</v>
      </c>
      <c r="K42" s="313"/>
      <c r="L42" s="313"/>
      <c r="M42" s="313"/>
      <c r="N42" s="318">
        <f>SUM(N13:N41)</f>
        <v>-465.250674</v>
      </c>
      <c r="O42" s="314">
        <f>SUM(O13:O41)</f>
        <v>-643.53881200000001</v>
      </c>
      <c r="P42" s="314">
        <f>SUM(P13:P41)</f>
        <v>5449.8295680000001</v>
      </c>
      <c r="Q42" s="314"/>
      <c r="R42" s="325">
        <f>SUM(R13:R41)</f>
        <v>4.3232240926421923</v>
      </c>
      <c r="S42" s="316"/>
      <c r="X42" s="326">
        <f ca="1">SUM(X13:X41)</f>
        <v>1.519358407079646</v>
      </c>
      <c r="Y42" s="327">
        <f ca="1">SUM(Y13:Y41)</f>
        <v>4825.78252338938</v>
      </c>
      <c r="Z42" s="328">
        <f ca="1">P42/Y42</f>
        <v>1.1293152025782385</v>
      </c>
      <c r="AA42" s="328">
        <f ca="1">Z42/(D$43/365)</f>
        <v>0.22798675273288552</v>
      </c>
    </row>
    <row r="43" spans="1:27">
      <c r="C43" s="119" t="s">
        <v>371</v>
      </c>
      <c r="D43" s="46">
        <f ca="1">_xlfn.DAYS(TODAY(),F13)</f>
        <v>1808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360</v>
      </c>
      <c r="U62" s="41" t="s">
        <v>361</v>
      </c>
      <c r="V62" s="38"/>
    </row>
    <row r="63" spans="3:29" ht="15.75">
      <c r="G63" s="38"/>
      <c r="S63" t="s">
        <v>362</v>
      </c>
      <c r="T63" s="308" t="s">
        <v>363</v>
      </c>
      <c r="U63" s="309"/>
      <c r="V63" s="38"/>
    </row>
    <row r="64" spans="3:29">
      <c r="F64" s="38"/>
      <c r="G64" s="38"/>
      <c r="S64" t="s">
        <v>364</v>
      </c>
      <c r="T64" s="308" t="s">
        <v>365</v>
      </c>
      <c r="U64" t="s">
        <v>366</v>
      </c>
    </row>
    <row r="65" spans="6:22">
      <c r="F65" s="38"/>
      <c r="G65" s="38"/>
      <c r="H65" s="38"/>
      <c r="T65" s="38"/>
      <c r="U65" t="s">
        <v>367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G14" sqref="G14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2" t="s">
        <v>377</v>
      </c>
      <c r="B1" s="452"/>
      <c r="C1" s="452"/>
      <c r="D1" s="452"/>
      <c r="E1" s="452"/>
    </row>
    <row r="2" spans="1:6">
      <c r="A2" s="331" t="s">
        <v>373</v>
      </c>
      <c r="B2" s="332" t="s">
        <v>86</v>
      </c>
      <c r="C2" s="332" t="s">
        <v>374</v>
      </c>
      <c r="D2" s="332" t="s">
        <v>375</v>
      </c>
      <c r="E2" s="270"/>
    </row>
    <row r="3" spans="1:6">
      <c r="A3" s="333" t="s">
        <v>50</v>
      </c>
      <c r="B3" s="334">
        <v>3297.4556613756608</v>
      </c>
      <c r="C3" s="304">
        <f>B3/B$7</f>
        <v>0.78306878306878303</v>
      </c>
      <c r="D3" s="334">
        <f>D$7*C3</f>
        <v>0</v>
      </c>
      <c r="E3" s="275"/>
      <c r="F3" s="119"/>
    </row>
    <row r="4" spans="1:6">
      <c r="A4" s="333" t="s">
        <v>24</v>
      </c>
      <c r="B4" s="334">
        <v>668.40317460317453</v>
      </c>
      <c r="C4" s="304">
        <f t="shared" ref="C4:C6" si="0">B4/B$7</f>
        <v>0.15873015873015872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v>245.08116402116397</v>
      </c>
      <c r="C5" s="304">
        <f t="shared" si="0"/>
        <v>5.8201058201058198E-2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4210.9399999999996</v>
      </c>
      <c r="C7" s="304">
        <f>SUM(C3:C6)</f>
        <v>1</v>
      </c>
      <c r="D7" s="276">
        <f>0</f>
        <v>0</v>
      </c>
      <c r="E7" s="275" t="s">
        <v>376</v>
      </c>
      <c r="F7" s="334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v>4210.9399999999996</v>
      </c>
      <c r="C11" s="335"/>
      <c r="D11" s="335"/>
      <c r="E11" s="275"/>
    </row>
    <row r="12" spans="1:6">
      <c r="A12" s="336" t="s">
        <v>5</v>
      </c>
      <c r="B12" s="337">
        <f>B11</f>
        <v>4210.9399999999996</v>
      </c>
      <c r="C12" s="329"/>
      <c r="D12" s="329"/>
      <c r="E12" s="289"/>
    </row>
    <row r="15" spans="1:6">
      <c r="A15" s="450" t="s">
        <v>406</v>
      </c>
      <c r="B15" s="450"/>
      <c r="C15" s="450"/>
      <c r="D15" s="450"/>
      <c r="E15" s="450"/>
    </row>
    <row r="17" spans="1:4">
      <c r="A17" s="330" t="s">
        <v>378</v>
      </c>
    </row>
    <row r="19" spans="1:4">
      <c r="A19" t="s">
        <v>379</v>
      </c>
    </row>
    <row r="20" spans="1:4">
      <c r="A20" t="s">
        <v>380</v>
      </c>
    </row>
    <row r="21" spans="1:4">
      <c r="A21" t="s">
        <v>381</v>
      </c>
    </row>
    <row r="22" spans="1:4">
      <c r="A22" t="s">
        <v>382</v>
      </c>
    </row>
    <row r="23" spans="1:4">
      <c r="A23" t="s">
        <v>383</v>
      </c>
    </row>
    <row r="24" spans="1:4">
      <c r="A24" t="s">
        <v>384</v>
      </c>
    </row>
    <row r="25" spans="1:4">
      <c r="A25" t="s">
        <v>385</v>
      </c>
    </row>
    <row r="26" spans="1:4">
      <c r="A26" t="s">
        <v>746</v>
      </c>
    </row>
    <row r="27" spans="1:4">
      <c r="A27" t="s">
        <v>747</v>
      </c>
    </row>
    <row r="30" spans="1:4">
      <c r="A30" s="330" t="s">
        <v>386</v>
      </c>
      <c r="B30" s="330" t="s">
        <v>387</v>
      </c>
      <c r="C30" s="330" t="s">
        <v>388</v>
      </c>
      <c r="D30" s="330" t="s">
        <v>389</v>
      </c>
    </row>
    <row r="32" spans="1:4">
      <c r="A32" t="s">
        <v>390</v>
      </c>
      <c r="B32" t="s">
        <v>391</v>
      </c>
      <c r="C32" t="s">
        <v>392</v>
      </c>
      <c r="D32" t="s">
        <v>393</v>
      </c>
    </row>
    <row r="33" spans="1:4">
      <c r="A33" t="s">
        <v>394</v>
      </c>
      <c r="B33" t="s">
        <v>395</v>
      </c>
      <c r="C33" t="s">
        <v>396</v>
      </c>
      <c r="D33" t="s">
        <v>391</v>
      </c>
    </row>
    <row r="34" spans="1:4">
      <c r="A34" t="s">
        <v>397</v>
      </c>
      <c r="B34" t="s">
        <v>398</v>
      </c>
      <c r="C34" t="s">
        <v>399</v>
      </c>
      <c r="D34" t="s">
        <v>393</v>
      </c>
    </row>
    <row r="35" spans="1:4">
      <c r="A35" t="s">
        <v>400</v>
      </c>
      <c r="B35" t="s">
        <v>391</v>
      </c>
      <c r="C35" t="s">
        <v>396</v>
      </c>
      <c r="D35" t="s">
        <v>401</v>
      </c>
    </row>
    <row r="36" spans="1:4">
      <c r="A36" t="s">
        <v>246</v>
      </c>
      <c r="B36" t="s">
        <v>391</v>
      </c>
      <c r="C36" t="s">
        <v>392</v>
      </c>
      <c r="D36" t="s">
        <v>401</v>
      </c>
    </row>
    <row r="37" spans="1:4">
      <c r="A37" t="s">
        <v>402</v>
      </c>
      <c r="B37" t="s">
        <v>393</v>
      </c>
      <c r="C37" t="s">
        <v>399</v>
      </c>
      <c r="D37" t="s">
        <v>398</v>
      </c>
    </row>
    <row r="38" spans="1:4">
      <c r="A38" t="s">
        <v>403</v>
      </c>
      <c r="B38" t="s">
        <v>391</v>
      </c>
      <c r="C38" t="s">
        <v>399</v>
      </c>
      <c r="D38" t="s">
        <v>391</v>
      </c>
    </row>
    <row r="39" spans="1:4">
      <c r="A39" t="s">
        <v>404</v>
      </c>
      <c r="B39" t="s">
        <v>393</v>
      </c>
      <c r="C39" t="s">
        <v>392</v>
      </c>
      <c r="D39" t="s">
        <v>391</v>
      </c>
    </row>
    <row r="40" spans="1:4">
      <c r="A40" t="s">
        <v>405</v>
      </c>
      <c r="B40" t="s">
        <v>393</v>
      </c>
      <c r="C40" t="s">
        <v>392</v>
      </c>
      <c r="D40" t="s">
        <v>398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617</v>
      </c>
      <c r="B55" t="s">
        <v>618</v>
      </c>
    </row>
    <row r="56" spans="1:3">
      <c r="A56" t="s">
        <v>745</v>
      </c>
      <c r="B56" t="s">
        <v>166</v>
      </c>
    </row>
    <row r="58" spans="1:3">
      <c r="A58" t="s">
        <v>698</v>
      </c>
      <c r="B58" t="s">
        <v>699</v>
      </c>
    </row>
    <row r="59" spans="1:3">
      <c r="A59" t="s">
        <v>780</v>
      </c>
      <c r="B59" t="s">
        <v>782</v>
      </c>
      <c r="C59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252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663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246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760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811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779</v>
      </c>
      <c r="K45" s="428"/>
      <c r="L45" s="231">
        <v>1142.8599999999999</v>
      </c>
      <c r="M45" s="112" t="s">
        <v>790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788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799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802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803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804</v>
      </c>
      <c r="H50" s="112"/>
      <c r="I50" s="424" t="str">
        <f>AÑO!A13</f>
        <v>Gubernamental</v>
      </c>
      <c r="J50" s="427" t="s">
        <v>708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818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819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824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836</v>
      </c>
      <c r="H55" s="112"/>
      <c r="I55" s="424" t="str">
        <f>AÑO!A14</f>
        <v>Mutualite/DKV</v>
      </c>
      <c r="J55" s="427" t="s">
        <v>800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842</v>
      </c>
      <c r="H56" s="112"/>
      <c r="I56" s="425"/>
      <c r="J56" s="429" t="s">
        <v>288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844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796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785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787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822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821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847</v>
      </c>
      <c r="H72" s="112"/>
      <c r="I72" s="208"/>
      <c r="J72"/>
      <c r="K72"/>
      <c r="L72">
        <v>83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774</v>
      </c>
      <c r="K74">
        <f ca="1">DAY(TODAY())</f>
        <v>21</v>
      </c>
      <c r="L74">
        <f ca="1">K74*L73</f>
        <v>67.741935483870961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-15.258064516129039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763</v>
      </c>
      <c r="D86" s="137"/>
      <c r="E86" s="138">
        <v>4.9000000000000004</v>
      </c>
      <c r="F86" s="138"/>
      <c r="G86" s="16" t="s">
        <v>794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765</v>
      </c>
      <c r="D107" s="137">
        <v>70.36</v>
      </c>
      <c r="E107" s="138"/>
      <c r="F107" s="138"/>
      <c r="G107" s="31" t="s">
        <v>765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831</v>
      </c>
      <c r="D116" s="137"/>
      <c r="E116" s="138">
        <v>469</v>
      </c>
      <c r="F116" s="138"/>
      <c r="G116" s="16" t="s">
        <v>837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771</v>
      </c>
      <c r="D146" s="137">
        <v>24.87</v>
      </c>
      <c r="E146" s="138"/>
      <c r="F146" s="138"/>
      <c r="G146" s="16" t="s">
        <v>810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64.95</v>
      </c>
      <c r="E186" s="138"/>
      <c r="F186" s="138"/>
      <c r="G186" s="16" t="s">
        <v>786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789</v>
      </c>
      <c r="D187" s="137">
        <v>25.99</v>
      </c>
      <c r="E187" s="138"/>
      <c r="F187" s="138"/>
      <c r="G187" s="16" t="s">
        <v>792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743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796</v>
      </c>
      <c r="D287" s="137"/>
      <c r="E287" s="138">
        <v>34.369999999999997</v>
      </c>
      <c r="F287" s="138"/>
      <c r="G287" s="16" t="s">
        <v>817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835</v>
      </c>
      <c r="H289" s="112"/>
    </row>
    <row r="290" spans="1:8" ht="15.75">
      <c r="A290" s="112"/>
      <c r="B290" s="134">
        <v>17.07</v>
      </c>
      <c r="C290" s="16" t="s">
        <v>839</v>
      </c>
      <c r="D290" s="137">
        <v>17.07</v>
      </c>
      <c r="E290" s="138"/>
      <c r="F290" s="138"/>
      <c r="G290" s="16" t="s">
        <v>840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783</v>
      </c>
      <c r="H306" s="112"/>
    </row>
    <row r="307" spans="2:8" ht="15.75">
      <c r="B307" s="134">
        <f>L55-B290</f>
        <v>719.68999999999994</v>
      </c>
      <c r="C307" s="27" t="s">
        <v>800</v>
      </c>
      <c r="D307" s="137">
        <v>32.369999999999997</v>
      </c>
      <c r="E307" s="138"/>
      <c r="F307" s="138"/>
      <c r="G307" s="16" t="s">
        <v>791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825</v>
      </c>
      <c r="H326" s="112"/>
    </row>
    <row r="327" spans="2:8" ht="15.75">
      <c r="B327" s="134">
        <v>0.02</v>
      </c>
      <c r="C327" s="16" t="s">
        <v>812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758</v>
      </c>
      <c r="H406" s="112"/>
    </row>
    <row r="407" spans="2:8" ht="15.75">
      <c r="B407" s="134">
        <v>0.63</v>
      </c>
      <c r="C407" s="16" t="s">
        <v>761</v>
      </c>
      <c r="D407" s="137">
        <v>4.45</v>
      </c>
      <c r="E407" s="138"/>
      <c r="F407" s="138"/>
      <c r="G407" s="16" t="s">
        <v>762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30" zoomScaleNormal="100" workbookViewId="0">
      <selection activeCell="B142" sqref="B142:G1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0</v>
      </c>
      <c r="B8" s="134">
        <v>112.31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871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304.91999999999996</v>
      </c>
      <c r="B13" s="134">
        <v>-245.08</v>
      </c>
      <c r="C13" s="16" t="s">
        <v>884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856</v>
      </c>
      <c r="D14" s="137"/>
      <c r="E14" s="138">
        <v>1170</v>
      </c>
      <c r="F14" s="138"/>
      <c r="G14" s="16" t="s">
        <v>853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1781.8091905564922</v>
      </c>
      <c r="B20" s="135">
        <f>SUM(B6:B19)</f>
        <v>444.01</v>
      </c>
      <c r="C20" s="17" t="s">
        <v>51</v>
      </c>
      <c r="D20" s="135">
        <f>SUM(D6:D19)</f>
        <v>0</v>
      </c>
      <c r="E20" s="135">
        <f>SUM(E6:E19)</f>
        <v>1291.24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848</v>
      </c>
      <c r="K45" s="428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858</v>
      </c>
      <c r="H46" s="1"/>
      <c r="I46" s="425"/>
      <c r="J46" s="429"/>
      <c r="K46" s="430"/>
      <c r="L46" s="199"/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862</v>
      </c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863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866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868</v>
      </c>
      <c r="H50" s="1"/>
      <c r="I50" s="424" t="str">
        <f>AÑO!A13</f>
        <v>Gubernamental</v>
      </c>
      <c r="J50" s="427" t="s">
        <v>708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869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875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881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288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227.2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872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851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860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861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876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50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774</v>
      </c>
      <c r="K74">
        <f ca="1">DAY(TODAY())</f>
        <v>21</v>
      </c>
      <c r="L74">
        <f ca="1">K74*L73</f>
        <v>72.41379310344827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22.41379310344827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46.36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763</v>
      </c>
      <c r="D86" s="137">
        <v>43.75</v>
      </c>
      <c r="E86" s="138"/>
      <c r="F86" s="138"/>
      <c r="G86" s="16" t="s">
        <v>864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867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878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43.75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765</v>
      </c>
      <c r="D107" s="137">
        <v>70.36</v>
      </c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768</v>
      </c>
      <c r="D109" s="137">
        <v>38.71</v>
      </c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5550.4915974244996</v>
      </c>
      <c r="B120" s="135">
        <f>SUM(B106:B119)</f>
        <v>678.47</v>
      </c>
      <c r="C120" s="17" t="s">
        <v>51</v>
      </c>
      <c r="D120" s="135">
        <f>SUM(D106:D119)</f>
        <v>658.47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83.1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868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880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421.11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5</v>
      </c>
      <c r="E186" s="138"/>
      <c r="F186" s="138"/>
      <c r="G186" s="16" t="s">
        <v>852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870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-19.270000000000017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865</v>
      </c>
    </row>
    <row r="247" spans="1:7" ht="15" customHeight="1">
      <c r="A247" s="112"/>
      <c r="B247" s="134">
        <v>9.5</v>
      </c>
      <c r="C247" s="16" t="s">
        <v>872</v>
      </c>
      <c r="D247" s="137">
        <v>31.67</v>
      </c>
      <c r="E247" s="138"/>
      <c r="F247" s="344"/>
      <c r="G247" s="16" t="s">
        <v>873</v>
      </c>
    </row>
    <row r="248" spans="1:7" ht="15.75">
      <c r="A248" s="112"/>
      <c r="B248" s="134"/>
      <c r="C248" s="16"/>
      <c r="D248" s="137"/>
      <c r="E248" s="138">
        <f>67.29-E287</f>
        <v>41.210000000000008</v>
      </c>
      <c r="F248" s="138"/>
      <c r="G248" s="16" t="s">
        <v>879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805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352.83</v>
      </c>
      <c r="B260" s="135">
        <f>SUM(B246:B259)</f>
        <v>59.5</v>
      </c>
      <c r="C260" s="17" t="s">
        <v>51</v>
      </c>
      <c r="D260" s="135">
        <f>SUM(D246:D259)</f>
        <v>67.23</v>
      </c>
      <c r="E260" s="135">
        <f>SUM(E246:E259)</f>
        <v>41.210000000000008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34.159999999999776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852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879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104.15999999999977</v>
      </c>
      <c r="B300" s="135">
        <f>SUM(B286:B299)</f>
        <v>110</v>
      </c>
      <c r="C300" s="17" t="s">
        <v>51</v>
      </c>
      <c r="D300" s="135">
        <f>SUM(D286:D299)</f>
        <v>17.07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806</v>
      </c>
      <c r="D306" s="137">
        <v>98.62</v>
      </c>
      <c r="E306" s="138"/>
      <c r="F306" s="138"/>
      <c r="G306" s="16" t="s">
        <v>859</v>
      </c>
    </row>
    <row r="307" spans="2:7">
      <c r="B307" s="134">
        <f>L56</f>
        <v>24.66</v>
      </c>
      <c r="C307" s="27" t="s">
        <v>288</v>
      </c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124.66</v>
      </c>
      <c r="C320" s="17" t="s">
        <v>51</v>
      </c>
      <c r="D320" s="135">
        <f>SUM(D306:D319)</f>
        <v>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877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>
        <v>1000</v>
      </c>
      <c r="C347" s="16" t="s">
        <v>882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</f>
        <v>9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9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883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-648.4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883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-3247.46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4345.7199999999993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-1100.7500000000009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-1547.9299999999985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-1100.7500000000009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4210.9399999999996</v>
      </c>
      <c r="C446" s="19" t="s">
        <v>857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4210.9399999999996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1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1559.34</v>
      </c>
      <c r="L5" s="436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620.08000000000004</v>
      </c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8577.0300000000007</v>
      </c>
      <c r="L7" s="420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3501.87</v>
      </c>
      <c r="L8" s="420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4167.34</v>
      </c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v>255</v>
      </c>
      <c r="L11" s="420"/>
      <c r="M11" s="1"/>
      <c r="N11" s="1"/>
      <c r="R11" s="3"/>
    </row>
    <row r="12" spans="1:22" ht="15.75">
      <c r="A12" s="112">
        <f>'02'!A12+(B12-SUM(D12:F12))</f>
        <v>5.5999999999999943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'02'!A13+(B13-SUM(D13:F13))</f>
        <v>304.91999999999996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25574.760000000002</v>
      </c>
      <c r="L19" s="422"/>
      <c r="M19" s="1"/>
      <c r="N19" s="1"/>
      <c r="R19" s="3"/>
    </row>
    <row r="20" spans="1:18" ht="16.5" thickBot="1">
      <c r="A20" s="112">
        <f>SUM(A6:A15)</f>
        <v>2358.5891905564918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848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/>
      <c r="K46" s="43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708</v>
      </c>
      <c r="K50" s="42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849</v>
      </c>
      <c r="K60" s="42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766</v>
      </c>
      <c r="D106" s="137"/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6228.9615974244989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136.1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30.729999999999983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850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402.83000000000004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94.159999999999769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214.15999999999977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-1547.9299999999985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861.84</v>
      </c>
      <c r="L5" s="436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620.08000000000004</v>
      </c>
      <c r="L6" s="420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10075.709999999999</v>
      </c>
      <c r="L7" s="420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3501.87</v>
      </c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35.96</v>
      </c>
      <c r="L9" s="420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370</v>
      </c>
      <c r="L11" s="420"/>
      <c r="M11" s="1"/>
      <c r="N11" s="1"/>
      <c r="R11" s="3"/>
    </row>
    <row r="12" spans="1:22" ht="15.75">
      <c r="A12" s="112">
        <f>'03'!A12+(B12-SUM(D12:F12))</f>
        <v>30.599999999999994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5092.08+4084.2</f>
        <v>9176.2799999999988</v>
      </c>
      <c r="L12" s="420"/>
      <c r="M12" s="92"/>
      <c r="N12" s="1"/>
      <c r="R12" s="3"/>
    </row>
    <row r="13" spans="1:22" ht="15.75">
      <c r="A13" s="112">
        <f>'03'!A13+(B13-SUM(D13:F13))</f>
        <v>311.41999999999996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1883.23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20.250000000000004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234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1458.3799999999999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266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24" t="str">
        <f>AÑO!A13</f>
        <v>Gubernamental</v>
      </c>
      <c r="J50" s="427" t="s">
        <v>255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4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5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270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1595.4599999999998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75.72999999999999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671.96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55.599999999999994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317.91999999999996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2084.35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20.300000000000004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1334.62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294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24" t="str">
        <f>AÑO!A13</f>
        <v>Gubernamental</v>
      </c>
      <c r="J50" s="427" t="s">
        <v>304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409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410</v>
      </c>
      <c r="H55" s="1"/>
      <c r="I55" s="424" t="str">
        <f>AÑO!A14</f>
        <v>Mutualite/DKV</v>
      </c>
      <c r="J55" s="427" t="s">
        <v>298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732.98999999999978</v>
      </c>
      <c r="B109" s="134">
        <f>67.53+120</f>
        <v>187.53</v>
      </c>
      <c r="C109" s="18" t="s">
        <v>416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62.159999999999989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414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1176.72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415</v>
      </c>
      <c r="D287" s="137">
        <v>54.8</v>
      </c>
      <c r="E287" s="138"/>
      <c r="F287" s="138"/>
      <c r="G287" s="16" t="s">
        <v>417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408</v>
      </c>
    </row>
    <row r="309" spans="2:7">
      <c r="B309" s="134">
        <v>170</v>
      </c>
      <c r="C309" s="16" t="s">
        <v>370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413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80.599999999999994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324.41999999999996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2084.02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20.350000000000005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428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1378.6799999999998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420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27.2</v>
      </c>
      <c r="E48" s="138"/>
      <c r="F48" s="138"/>
      <c r="G48" s="16" t="s">
        <v>445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446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450</v>
      </c>
      <c r="H50" s="1"/>
      <c r="I50" s="424" t="str">
        <f>AÑO!A13</f>
        <v>Gubernamental</v>
      </c>
      <c r="J50" s="427" t="s">
        <v>441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457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470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474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429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430</v>
      </c>
      <c r="D67" s="137">
        <v>36.049999999999997</v>
      </c>
      <c r="E67" s="138"/>
      <c r="F67" s="138"/>
      <c r="G67" s="31" t="s">
        <v>453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454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800.51999999999975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>
        <v>-60</v>
      </c>
      <c r="C147" s="16" t="s">
        <v>422</v>
      </c>
      <c r="D147" s="137"/>
      <c r="E147" s="138"/>
      <c r="F147" s="138"/>
      <c r="G147" s="16" t="s">
        <v>423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12.509999999999984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449</v>
      </c>
    </row>
    <row r="247" spans="1:7" ht="15" customHeight="1">
      <c r="A247" s="112"/>
      <c r="B247" s="134">
        <f>-10</f>
        <v>-10</v>
      </c>
      <c r="C247" s="16" t="s">
        <v>477</v>
      </c>
      <c r="D247" s="137">
        <v>12.99</v>
      </c>
      <c r="E247" s="138"/>
      <c r="F247" s="138"/>
      <c r="G247" s="16" t="s">
        <v>457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1081.4000000000001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463</v>
      </c>
      <c r="H267" s="89" t="s">
        <v>462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439</v>
      </c>
    </row>
    <row r="308" spans="2:7">
      <c r="B308" s="134"/>
      <c r="C308" s="27"/>
      <c r="D308" s="137"/>
      <c r="E308" s="138"/>
      <c r="F308" s="138">
        <v>50</v>
      </c>
      <c r="G308" s="16" t="s">
        <v>440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470</v>
      </c>
    </row>
    <row r="369" spans="2:7">
      <c r="B369" s="134"/>
      <c r="C369" s="16"/>
      <c r="D369" s="137">
        <v>11</v>
      </c>
      <c r="E369" s="138"/>
      <c r="F369" s="138"/>
      <c r="G369" s="16" t="s">
        <v>471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105.6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330.91999999999996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1632.71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20.400000000000006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428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489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1422.74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476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481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8.1</v>
      </c>
      <c r="E48" s="138"/>
      <c r="F48" s="138"/>
      <c r="G48" s="16" t="s">
        <v>506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484</v>
      </c>
      <c r="D49" s="137">
        <v>2.5499999999999998</v>
      </c>
      <c r="E49" s="138"/>
      <c r="F49" s="138"/>
      <c r="G49" s="16" t="s">
        <v>515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511</v>
      </c>
      <c r="D50" s="137">
        <v>69.97</v>
      </c>
      <c r="E50" s="138"/>
      <c r="F50" s="138"/>
      <c r="G50" s="16" t="s">
        <v>526</v>
      </c>
      <c r="H50" s="1"/>
      <c r="I50" s="424" t="str">
        <f>AÑO!A13</f>
        <v>Gubernamental</v>
      </c>
      <c r="J50" s="427" t="s">
        <v>441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529</v>
      </c>
      <c r="D51" s="137">
        <v>5.29</v>
      </c>
      <c r="E51" s="138"/>
      <c r="F51" s="138"/>
      <c r="G51" s="16" t="s">
        <v>528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490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490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490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505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513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512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868.04999999999973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-1.2200000000000131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524</v>
      </c>
    </row>
    <row r="247" spans="1:7" ht="15" customHeight="1">
      <c r="A247" s="112"/>
      <c r="B247" s="134">
        <v>-5</v>
      </c>
      <c r="C247" s="16" t="s">
        <v>511</v>
      </c>
      <c r="D247" s="137">
        <v>20</v>
      </c>
      <c r="E247" s="138"/>
      <c r="F247" s="138"/>
      <c r="G247" s="16" t="s">
        <v>526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509</v>
      </c>
      <c r="D257" s="137"/>
      <c r="E257" s="138">
        <v>100.67</v>
      </c>
      <c r="F257" s="138"/>
      <c r="G257" s="16" t="s">
        <v>535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518</v>
      </c>
      <c r="D258" s="137">
        <v>349</v>
      </c>
      <c r="E258" s="138"/>
      <c r="F258" s="138"/>
      <c r="G258" s="16" t="s">
        <v>485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857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487</v>
      </c>
    </row>
    <row r="287" spans="2:8">
      <c r="B287" s="134"/>
      <c r="C287" s="16"/>
      <c r="D287" s="137"/>
      <c r="E287" s="138"/>
      <c r="F287" s="138">
        <v>50</v>
      </c>
      <c r="G287" s="16" t="s">
        <v>496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497</v>
      </c>
    </row>
    <row r="289" spans="2:8">
      <c r="B289" s="134"/>
      <c r="C289" s="16"/>
      <c r="D289" s="137">
        <v>26.31</v>
      </c>
      <c r="E289" s="138"/>
      <c r="F289" s="138"/>
      <c r="G289" s="16" t="s">
        <v>499</v>
      </c>
    </row>
    <row r="290" spans="2:8">
      <c r="B290" s="134"/>
      <c r="C290" s="16"/>
      <c r="D290" s="137"/>
      <c r="E290" s="138">
        <v>31.95</v>
      </c>
      <c r="F290" s="138"/>
      <c r="G290" s="16" t="s">
        <v>517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480</v>
      </c>
    </row>
    <row r="308" spans="2:7">
      <c r="B308" s="134">
        <f>37.49+14.27+14.27</f>
        <v>66.03</v>
      </c>
      <c r="C308" s="27" t="s">
        <v>490</v>
      </c>
      <c r="D308" s="137">
        <f>37.5+37.5</f>
        <v>75</v>
      </c>
      <c r="E308" s="138"/>
      <c r="F308" s="138"/>
      <c r="G308" s="16" t="s">
        <v>507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504</v>
      </c>
    </row>
    <row r="327" spans="2:7">
      <c r="B327" s="134">
        <v>100</v>
      </c>
      <c r="C327" s="16" t="s">
        <v>495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521</v>
      </c>
      <c r="D358" s="137">
        <v>64.3</v>
      </c>
      <c r="E358" s="138"/>
      <c r="F358" s="138"/>
      <c r="G358" s="16" t="s">
        <v>519</v>
      </c>
    </row>
    <row r="359" spans="1:7" ht="16.5" thickBot="1">
      <c r="A359" s="112"/>
      <c r="B359" s="135">
        <f>12.64+6.66</f>
        <v>19.3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479</v>
      </c>
    </row>
    <row r="407" spans="2:7">
      <c r="B407" s="134">
        <v>1</v>
      </c>
      <c r="C407" s="16" t="s">
        <v>476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130.6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337.41999999999996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1627.63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20.450000000000006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1362.61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576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544</v>
      </c>
      <c r="H46" s="1"/>
      <c r="I46" s="425"/>
      <c r="J46" s="429" t="s">
        <v>577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541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522</v>
      </c>
      <c r="D48" s="137">
        <v>22.34</v>
      </c>
      <c r="E48" s="138"/>
      <c r="F48" s="138"/>
      <c r="G48" s="16" t="s">
        <v>545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529</v>
      </c>
      <c r="D49" s="137">
        <v>49.31</v>
      </c>
      <c r="E49" s="138"/>
      <c r="F49" s="138"/>
      <c r="G49" s="16" t="s">
        <v>551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558</v>
      </c>
      <c r="H50" s="1"/>
      <c r="I50" s="424" t="str">
        <f>AÑO!A13</f>
        <v>Gubernamental</v>
      </c>
      <c r="J50" s="427" t="s">
        <v>441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559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6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7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550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549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529</v>
      </c>
      <c r="D68" s="137">
        <v>19.5</v>
      </c>
      <c r="E68" s="138"/>
      <c r="F68" s="138">
        <v>5.5</v>
      </c>
      <c r="G68" s="16" t="s">
        <v>555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1485.5799999999997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493</v>
      </c>
    </row>
    <row r="207" spans="2:12">
      <c r="B207" s="134"/>
      <c r="C207" s="16"/>
      <c r="D207" s="137">
        <v>23</v>
      </c>
      <c r="E207" s="138"/>
      <c r="F207" s="138"/>
      <c r="G207" s="16" t="s">
        <v>562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-13.990000000000016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542</v>
      </c>
    </row>
    <row r="247" spans="1:7" ht="15" customHeight="1">
      <c r="A247" s="112"/>
      <c r="B247" s="134">
        <v>12.12</v>
      </c>
      <c r="C247" s="16" t="s">
        <v>529</v>
      </c>
      <c r="D247" s="137">
        <v>16.52</v>
      </c>
      <c r="E247" s="138"/>
      <c r="F247" s="138"/>
      <c r="G247" s="16" t="s">
        <v>557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929.23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86.969999999999715</v>
      </c>
      <c r="B286" s="133">
        <v>70</v>
      </c>
      <c r="C286" s="19" t="s">
        <v>31</v>
      </c>
      <c r="D286" s="137"/>
      <c r="E286" s="138"/>
      <c r="F286" s="138"/>
      <c r="G286" s="16" t="s">
        <v>492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106.96999999999971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v>35.96</v>
      </c>
      <c r="E306" s="138"/>
      <c r="F306" s="138"/>
      <c r="G306" s="16" t="s">
        <v>552</v>
      </c>
    </row>
    <row r="307" spans="2:7">
      <c r="B307" s="134">
        <v>13.15</v>
      </c>
      <c r="C307" s="27" t="s">
        <v>560</v>
      </c>
      <c r="D307" s="137"/>
      <c r="E307" s="138"/>
      <c r="F307" s="138">
        <v>70</v>
      </c>
      <c r="G307" s="16" t="s">
        <v>554</v>
      </c>
    </row>
    <row r="308" spans="2:7">
      <c r="B308" s="134">
        <v>14.27</v>
      </c>
      <c r="C308" s="27" t="s">
        <v>572</v>
      </c>
      <c r="D308" s="137">
        <v>8.68</v>
      </c>
      <c r="E308" s="138"/>
      <c r="F308" s="138"/>
      <c r="G308" s="16" t="s">
        <v>567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540</v>
      </c>
    </row>
    <row r="327" spans="2:7">
      <c r="B327" s="134">
        <v>192.98</v>
      </c>
      <c r="C327" s="16" t="s">
        <v>579</v>
      </c>
      <c r="D327" s="137">
        <v>10</v>
      </c>
      <c r="E327" s="138"/>
      <c r="F327" s="138"/>
      <c r="G327" s="16" t="s">
        <v>542</v>
      </c>
    </row>
    <row r="328" spans="2:7">
      <c r="B328" s="134"/>
      <c r="C328" s="16"/>
      <c r="D328" s="137">
        <v>187.13</v>
      </c>
      <c r="E328" s="138"/>
      <c r="F328" s="138"/>
      <c r="G328" s="16" t="s">
        <v>546</v>
      </c>
    </row>
    <row r="329" spans="2:7">
      <c r="B329" s="134"/>
      <c r="C329" s="16"/>
      <c r="D329" s="137">
        <v>32.14</v>
      </c>
      <c r="E329" s="138"/>
      <c r="F329" s="138"/>
      <c r="G329" s="16" t="s">
        <v>570</v>
      </c>
    </row>
    <row r="330" spans="2:7">
      <c r="B330" s="134"/>
      <c r="C330" s="16"/>
      <c r="D330" s="137">
        <v>7.49</v>
      </c>
      <c r="E330" s="138"/>
      <c r="F330" s="138"/>
      <c r="G330" s="16" t="s">
        <v>571</v>
      </c>
    </row>
    <row r="331" spans="2:7">
      <c r="B331" s="134"/>
      <c r="C331" s="16"/>
      <c r="D331" s="137"/>
      <c r="E331" s="138">
        <v>192.98</v>
      </c>
      <c r="F331" s="138"/>
      <c r="G331" s="16" t="s">
        <v>574</v>
      </c>
    </row>
    <row r="332" spans="2:7">
      <c r="B332" s="134"/>
      <c r="C332" s="16"/>
      <c r="D332" s="137"/>
      <c r="E332" s="138">
        <v>96.65</v>
      </c>
      <c r="F332" s="138"/>
      <c r="G332" s="16" t="s">
        <v>575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529</v>
      </c>
      <c r="D506" s="137">
        <v>23.43</v>
      </c>
      <c r="E506" s="138"/>
      <c r="F506" s="138"/>
      <c r="G506" s="16" t="s">
        <v>553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2020-02-21T15:59:20Z</dcterms:modified>
</cp:coreProperties>
</file>