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E51FB021-E096-4366-B10C-AC780F3407E3}" xr6:coauthVersionLast="41" xr6:coauthVersionMax="41" xr10:uidLastSave="{00000000-0000-0000-0000-000000000000}"/>
  <bookViews>
    <workbookView xWindow="-108" yWindow="12852" windowWidth="22164" windowHeight="13176" activeTab="11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12" l="1"/>
  <c r="B299" i="13" l="1"/>
  <c r="B130" i="13"/>
  <c r="B467" i="13"/>
  <c r="B256" i="13"/>
  <c r="B257" i="13"/>
  <c r="A257" i="13"/>
  <c r="A359" i="13" l="1"/>
  <c r="A358" i="13"/>
  <c r="A346" i="13"/>
  <c r="A299" i="13"/>
  <c r="A286" i="13"/>
  <c r="A256" i="13"/>
  <c r="A246" i="13"/>
  <c r="A130" i="13"/>
  <c r="A129" i="13"/>
  <c r="A127" i="13"/>
  <c r="A126" i="13"/>
  <c r="A79" i="13"/>
  <c r="A360" i="13" l="1"/>
  <c r="A300" i="13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3" i="19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P32" i="18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247" i="4" l="1"/>
  <c r="D51" i="4" s="1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80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2"/>
  <c r="A12" i="13" s="1"/>
  <c r="A12" i="11"/>
  <c r="A28" i="11"/>
  <c r="A28" i="12" s="1"/>
  <c r="A28" i="13" s="1"/>
  <c r="A467" i="9"/>
  <c r="A467" i="10" s="1"/>
  <c r="A79" i="12"/>
  <c r="A80" i="12" s="1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7" i="11" l="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108" i="11" l="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A300" i="12" s="1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<sst xmlns="http://schemas.openxmlformats.org/spreadsheetml/2006/main" count="5874" uniqueCount="945">
  <si>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</si>
  <si>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</si>
  <si>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</si>
  <si>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</si>
  <si>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</si>
  <si>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</si>
  <si>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</si>
  <si>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</si>
  <si>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</si>
  <si>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</si>
  <si>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</si>
  <si>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</si>
  <si>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</si>
  <si>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</si>
  <si>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</si>
  <si>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</si>
  <si>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</si>
  <si>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</si>
  <si>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</si>
  <si>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</si>
  <si>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</si>
  <si>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</si>
  <si>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</si>
  <si>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</si>
  <si>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</si>
  <si>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</si>
  <si>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</si>
  <si>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</si>
  <si>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</si>
  <si>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</si>
  <si>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</si>
  <si>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</si>
  <si>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</si>
  <si>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</si>
  <si>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</si>
  <si>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</si>
  <si>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</si>
  <si>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</si>
  <si>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</si>
  <si>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</si>
  <si>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</si>
  <si>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</si>
  <si>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</si>
  <si>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</si>
  <si>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</si>
  <si>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</si>
  <si>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</si>
  <si>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</si>
  <si>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</si>
  <si>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</si>
  <si>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</si>
  <si>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</si>
  <si>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</si>
  <si>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</si>
  <si>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</si>
  <si>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</si>
  <si>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</si>
  <si>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</si>
  <si>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</si>
  <si>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</si>
  <si>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</si>
  <si>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</si>
  <si>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</si>
  <si>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</si>
  <si>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</si>
  <si>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</si>
  <si>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</si>
  <si>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</si>
  <si>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</si>
  <si>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</si>
  <si>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</si>
  <si>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</si>
  <si>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</si>
  <si>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</si>
  <si>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</si>
  <si>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</si>
  <si>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</si>
  <si>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</si>
  <si>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</si>
  <si>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</si>
  <si>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</si>
  <si>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</si>
  <si>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</si>
  <si>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</si>
  <si>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</si>
  <si>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</si>
  <si>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</si>
  <si>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</si>
  <si>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</si>
  <si>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</si>
  <si>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</si>
  <si>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</si>
  <si>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</si>
  <si>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</si>
  <si>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</si>
  <si>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</si>
  <si>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</si>
  <si>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</si>
  <si>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</si>
  <si>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</si>
  <si>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</si>
  <si>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</si>
  <si>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</si>
  <si>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</si>
  <si>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</si>
  <si>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</si>
  <si>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</si>
  <si>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</si>
  <si>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</si>
  <si>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</si>
  <si>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</si>
  <si>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</si>
  <si>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</si>
  <si>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</si>
  <si>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</si>
  <si>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</si>
  <si>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</si>
  <si>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</si>
  <si>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</si>
  <si>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</si>
  <si>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</si>
  <si>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</si>
  <si>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</si>
  <si>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</si>
  <si>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</si>
  <si>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</si>
  <si>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</si>
  <si>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</si>
  <si>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</si>
  <si>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</si>
  <si>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</si>
  <si>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</si>
  <si>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</si>
  <si>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</si>
  <si>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</si>
  <si>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</si>
  <si>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</si>
  <si>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</si>
  <si>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</si>
  <si>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</si>
  <si>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</si>
  <si>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</si>
  <si>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</si>
  <si>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</si>
  <si>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</si>
  <si>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</si>
  <si>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</si>
  <si>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</si>
  <si>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</si>
  <si>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</si>
  <si>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</si>
  <si>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</si>
  <si>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</si>
  <si>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</si>
  <si>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</si>
  <si>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</si>
  <si>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</si>
  <si>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</si>
  <si>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</si>
  <si>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</si>
  <si>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</si>
  <si>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</si>
  <si>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</si>
  <si>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</si>
  <si>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</si>
  <si>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</si>
  <si>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</si>
  <si>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</si>
  <si>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</si>
  <si>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</si>
  <si>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</si>
  <si>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</si>
  <si>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</si>
  <si>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</si>
  <si>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</si>
  <si>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</si>
  <si>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</si>
  <si>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</si>
  <si>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</si>
  <si>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</si>
  <si>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</si>
  <si>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</si>
  <si>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</si>
  <si>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</si>
  <si>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</si>
  <si>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</si>
  <si>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</si>
  <si>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</si>
  <si>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</si>
  <si>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</si>
  <si>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</si>
  <si>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</si>
  <si>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</si>
  <si>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</si>
  <si>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</si>
  <si>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</si>
  <si>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</si>
  <si>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</si>
  <si>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</si>
  <si>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</si>
  <si>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</si>
  <si>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</si>
  <si>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</si>
  <si>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</si>
  <si>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</si>
  <si>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</si>
  <si>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</si>
  <si>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</si>
  <si>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</si>
  <si>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</si>
  <si>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</si>
  <si>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</si>
  <si>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</si>
  <si>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</si>
  <si>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</si>
  <si>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</si>
  <si>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</si>
  <si>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</si>
  <si>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</si>
  <si>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</si>
  <si>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</si>
  <si>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</si>
  <si>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</si>
  <si>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</si>
  <si>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</si>
  <si>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</si>
  <si>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</si>
  <si>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</si>
  <si>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</si>
  <si>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</si>
  <si>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</si>
  <si>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</si>
  <si>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</si>
  <si>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</si>
  <si>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</si>
  <si>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</si>
  <si>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</si>
  <si>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</si>
  <si>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</si>
  <si>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</si>
  <si>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</si>
  <si>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</si>
  <si>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</si>
  <si>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</si>
  <si>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</si>
  <si>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</si>
  <si>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</si>
  <si>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</si>
  <si>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</si>
  <si>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</si>
  <si>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</si>
  <si>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</si>
  <si>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</si>
  <si>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</si>
  <si>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</si>
  <si>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</si>
  <si>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</si>
  <si>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</si>
  <si>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</si>
  <si>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</si>
  <si>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</si>
  <si>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</si>
  <si>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</si>
  <si>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</si>
  <si>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</si>
  <si>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</si>
  <si>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</si>
  <si>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</si>
  <si>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</si>
  <si>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</si>
  <si>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</si>
  <si>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</si>
  <si>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</si>
  <si>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</si>
  <si>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</si>
  <si>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</si>
  <si>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</si>
  <si>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</si>
  <si>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</si>
  <si>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</si>
  <si>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</si>
  <si>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</si>
  <si>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</si>
  <si>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</si>
  <si>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</si>
  <si>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</si>
  <si>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</si>
  <si>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</si>
  <si>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</si>
  <si>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</si>
  <si>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</si>
  <si>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</si>
  <si>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</si>
  <si>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</si>
  <si>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</si>
  <si>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</si>
  <si>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</si>
  <si>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</si>
  <si>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</si>
  <si>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</si>
  <si>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</si>
  <si>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</si>
  <si>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</si>
  <si>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</si>
  <si>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</si>
  <si>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</si>
  <si>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</si>
  <si>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</si>
  <si>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</si>
  <si>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</si>
  <si>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</si>
  <si>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</si>
  <si>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</si>
  <si>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</si>
  <si>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</si>
  <si>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</si>
  <si>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</si>
  <si>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</si>
  <si>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</si>
  <si>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</si>
  <si>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</si>
  <si>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</si>
  <si>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</si>
  <si>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</si>
  <si>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</si>
  <si>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</si>
  <si>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</si>
  <si>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</si>
  <si>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</si>
  <si>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</si>
  <si>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</si>
  <si>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</si>
  <si>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</si>
  <si>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</si>
  <si>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</si>
  <si>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</si>
  <si>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</si>
  <si>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</si>
  <si>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</si>
  <si>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</si>
  <si>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</si>
  <si>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</si>
  <si>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</si>
  <si>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</si>
  <si>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</si>
  <si>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</si>
  <si>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</si>
  <si>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</si>
  <si>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</si>
  <si>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</si>
  <si>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</si>
  <si>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</si>
  <si>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</si>
  <si>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</si>
  <si>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</si>
  <si>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</si>
  <si>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</si>
  <si>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</si>
  <si>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</si>
  <si>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</si>
  <si>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</si>
  <si>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</si>
  <si>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</si>
  <si>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</si>
  <si>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</si>
  <si>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</si>
  <si>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</si>
  <si>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</si>
  <si>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</si>
  <si>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</si>
  <si>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</si>
  <si>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</si>
  <si>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</si>
  <si>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</si>
  <si>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</si>
  <si>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</si>
  <si>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</si>
  <si>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</si>
  <si>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</si>
  <si>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</si>
  <si>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</si>
  <si>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</si>
  <si>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</si>
  <si>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</si>
  <si>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</si>
  <si>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</si>
  <si>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</si>
  <si>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</si>
  <si>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</si>
  <si>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</si>
  <si>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</si>
  <si>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</si>
  <si>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</si>
  <si>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</si>
  <si>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</si>
  <si>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</si>
  <si>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</si>
  <si>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</si>
  <si>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</si>
  <si>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</si>
  <si>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</si>
  <si>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</si>
  <si>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</si>
  <si>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</si>
  <si>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</si>
  <si>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</si>
  <si>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</si>
  <si>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</si>
  <si>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</si>
  <si>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</si>
  <si>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</si>
  <si>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</si>
  <si>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</si>
  <si>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</si>
  <si>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</si>
  <si>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</si>
  <si>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</si>
  <si>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</si>
  <si>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</si>
  <si>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</si>
  <si>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</si>
  <si>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</si>
  <si>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</si>
  <si>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</si>
  <si>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</si>
  <si>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</si>
  <si>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</si>
  <si>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</si>
  <si>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</si>
  <si>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</si>
  <si>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</si>
  <si>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</si>
  <si>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</si>
  <si>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</si>
  <si>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</si>
  <si>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</si>
  <si>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</si>
  <si>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</si>
  <si>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</si>
  <si>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</si>
  <si>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</si>
  <si>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</si>
  <si>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</si>
  <si>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</si>
  <si>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</si>
  <si>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</si>
  <si>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</si>
  <si>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</si>
  <si>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</si>
  <si>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</si>
  <si>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</si>
  <si>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</si>
  <si>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</si>
  <si>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</si>
  <si>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</si>
  <si>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</si>
  <si>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</si>
  <si>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</si>
  <si>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</si>
  <si>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</si>
  <si>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</si>
  <si>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</si>
  <si>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</si>
  <si>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</si>
  <si>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</si>
  <si>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</si>
  <si>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</si>
  <si>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</si>
  <si>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</si>
  <si>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</si>
  <si>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</si>
  <si>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</si>
  <si>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</si>
  <si>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</si>
  <si>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</si>
  <si>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</si>
  <si>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</si>
  <si>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</si>
  <si>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</si>
  <si>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</si>
  <si>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</si>
  <si>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</si>
  <si>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</si>
  <si>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</si>
  <si>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</si>
  <si>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</si>
  <si>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</si>
  <si>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</si>
  <si>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</si>
  <si>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</si>
  <si>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</si>
  <si>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</si>
  <si>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</si>
  <si>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</si>
  <si>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</si>
  <si>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</si>
  <si>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</si>
  <si>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</si>
  <si>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</si>
  <si>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</si>
  <si>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</si>
  <si>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</si>
  <si>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</si>
  <si>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</si>
  <si>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</si>
  <si>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</si>
  <si>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</si>
  <si>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</si>
  <si>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</si>
  <si>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</si>
  <si>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</si>
  <si>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</si>
  <si>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</si>
  <si>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</si>
  <si>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</si>
  <si>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</si>
  <si>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</si>
  <si>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</si>
  <si>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</si>
  <si>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</si>
  <si>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</si>
  <si>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</si>
  <si>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</si>
  <si>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</si>
  <si>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</si>
  <si>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</si>
  <si>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</si>
  <si>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</si>
  <si>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</si>
  <si>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</si>
  <si>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</si>
  <si>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</si>
  <si>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</si>
  <si>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</si>
  <si>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</si>
  <si>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</si>
  <si>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</si>
  <si>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</si>
  <si>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</si>
  <si>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</si>
  <si>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</si>
  <si>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</si>
  <si>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</si>
  <si>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</si>
  <si>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</si>
  <si>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</si>
  <si>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</si>
  <si>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</si>
  <si>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</si>
  <si>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</si>
  <si>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</si>
  <si>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</si>
  <si>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</si>
  <si>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</si>
  <si>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</si>
  <si>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</si>
  <si>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</si>
  <si>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</si>
  <si>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</si>
  <si>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</si>
  <si>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</si>
  <si>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</si>
  <si>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</si>
  <si>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</si>
  <si>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</si>
  <si>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</si>
  <si>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</si>
  <si>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</si>
  <si>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</si>
  <si>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</si>
  <si>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</si>
  <si>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</si>
  <si>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</si>
  <si>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</si>
  <si>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</si>
  <si>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</si>
  <si>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</si>
  <si>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</si>
  <si>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</si>
  <si>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</si>
  <si>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</si>
  <si>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</si>
  <si>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</si>
  <si>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</si>
  <si>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</si>
  <si>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</si>
  <si>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</si>
  <si>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</si>
  <si>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</si>
  <si>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</si>
  <si>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</si>
  <si>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</si>
  <si>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</si>
  <si>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</si>
  <si>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</si>
  <si>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</si>
  <si>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</si>
  <si>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</si>
  <si>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</si>
  <si>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</si>
  <si>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</si>
  <si>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</si>
  <si>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</si>
  <si>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</si>
  <si>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</si>
  <si>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</si>
  <si>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</si>
  <si>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</si>
  <si>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</si>
  <si>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</si>
  <si>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</si>
  <si>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</si>
  <si>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</si>
  <si>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</si>
  <si>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</si>
  <si>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</si>
  <si>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</si>
  <si>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</si>
  <si>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</si>
  <si>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</si>
  <si>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</si>
  <si>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</si>
  <si>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</si>
  <si>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</si>
  <si>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</si>
  <si>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</si>
  <si>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</si>
  <si>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</si>
  <si>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</si>
  <si>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</si>
  <si>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</si>
  <si>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</si>
  <si>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</si>
  <si>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</si>
  <si>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</si>
  <si>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</si>
  <si>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</si>
  <si>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</si>
  <si>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</si>
  <si>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</si>
  <si>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</si>
  <si>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</si>
  <si>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</si>
  <si>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</si>
  <si>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</si>
  <si>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</si>
  <si>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</si>
  <si>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</si>
  <si>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</si>
  <si>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</si>
  <si>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</si>
  <si>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</si>
  <si>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</si>
  <si>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</si>
  <si>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</si>
  <si>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</si>
  <si>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</si>
  <si>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</si>
  <si>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</si>
  <si>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</si>
  <si>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</si>
  <si>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</si>
  <si>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</si>
  <si>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</si>
  <si>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</si>
  <si>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</si>
  <si>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</si>
  <si>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</si>
  <si>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</si>
  <si>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</si>
  <si>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</si>
  <si>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</si>
  <si>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</si>
  <si>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</si>
  <si>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</si>
  <si>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</si>
  <si>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</si>
  <si>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</si>
  <si>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</si>
  <si>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</si>
  <si>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</si>
  <si>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</si>
  <si>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</si>
  <si>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</si>
  <si>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</si>
  <si>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</si>
  <si>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</si>
  <si>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</si>
  <si>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</si>
  <si>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</si>
  <si>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</si>
  <si>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</si>
  <si>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</si>
  <si>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</si>
  <si>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</si>
  <si>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</si>
  <si>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</si>
  <si>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</si>
  <si>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</si>
  <si>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</si>
  <si>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</si>
  <si>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</si>
  <si>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</si>
  <si>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</si>
  <si>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</si>
  <si>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</si>
  <si>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</si>
  <si>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</si>
  <si>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</si>
  <si>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</si>
  <si>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</si>
  <si>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</si>
  <si>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</si>
  <si>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</si>
  <si>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</si>
  <si>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</si>
  <si>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</si>
  <si>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</si>
  <si>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</si>
  <si>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</si>
  <si>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</si>
  <si>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</si>
  <si>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</si>
  <si>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</si>
  <si>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</si>
  <si>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</si>
  <si>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</si>
  <si>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</si>
  <si>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</si>
  <si>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</si>
  <si>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</si>
  <si>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</si>
  <si>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</si>
  <si>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</si>
  <si>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</si>
  <si>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</si>
  <si>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</si>
  <si>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</si>
  <si>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</si>
  <si>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</si>
  <si>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</si>
  <si>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</si>
  <si>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</si>
  <si>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</si>
  <si>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</si>
  <si>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</si>
  <si>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</si>
  <si>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</si>
  <si>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</si>
  <si>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</si>
  <si>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</si>
  <si>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</si>
  <si>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</si>
  <si>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</si>
  <si>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</si>
  <si>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</si>
  <si>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</si>
  <si>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</si>
  <si>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</si>
  <si>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</si>
  <si>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</si>
  <si>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</si>
  <si>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</si>
  <si>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</si>
  <si>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</si>
  <si>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</si>
  <si>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</si>
  <si>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</si>
  <si>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</si>
  <si>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</si>
  <si>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</si>
  <si>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</si>
  <si>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</si>
  <si>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</si>
  <si>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</si>
  <si>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</si>
  <si>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</si>
  <si>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</si>
  <si>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</si>
  <si>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</si>
  <si>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</si>
  <si>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</si>
  <si>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</si>
  <si>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</si>
  <si>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</si>
  <si>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</si>
  <si>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</si>
  <si>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</si>
  <si>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</si>
  <si>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</si>
  <si>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</si>
  <si>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</si>
  <si>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</si>
  <si>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</si>
  <si>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</si>
  <si>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</si>
  <si>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</si>
  <si>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</si>
  <si>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</si>
  <si>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</si>
  <si>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</si>
  <si>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</si>
  <si>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</si>
  <si>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</si>
  <si>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</si>
  <si>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</si>
  <si>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</si>
  <si>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</si>
  <si>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</si>
  <si>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</si>
  <si>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</si>
  <si>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</si>
  <si>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</si>
  <si>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</si>
  <si>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</si>
  <si>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</si>
  <si>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</si>
  <si>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</si>
  <si>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</si>
  <si>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</si>
  <si>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</si>
  <si>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</si>
  <si>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</si>
  <si>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</si>
  <si>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</si>
  <si>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</si>
  <si>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</si>
  <si>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</si>
  <si>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</si>
  <si>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</si>
  <si>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</si>
  <si>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</si>
  <si>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</si>
  <si>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</si>
  <si>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</si>
  <si>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</si>
  <si>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</si>
  <si>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</si>
  <si>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</si>
  <si>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</si>
  <si>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</si>
  <si>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</si>
  <si>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</si>
  <si>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</si>
  <si>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</si>
  <si>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</si>
  <si>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</si>
  <si>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</si>
  <si>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</si>
  <si>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</si>
  <si>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</si>
  <si>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</si>
  <si>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</si>
  <si>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</si>
  <si>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</si>
  <si>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</si>
  <si>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</si>
  <si>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</si>
  <si>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</si>
  <si>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</si>
  <si>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</si>
  <si>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</si>
  <si>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</si>
  <si>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</si>
  <si>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</si>
  <si>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</si>
  <si>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</si>
  <si>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</si>
  <si>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</si>
  <si>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</si>
  <si>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</si>
  <si>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</si>
  <si>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</si>
  <si>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</si>
  <si>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</si>
  <si>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</si>
  <si>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</si>
  <si>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</si>
  <si>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</si>
  <si>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</si>
  <si>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</si>
  <si>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</si>
  <si>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</si>
  <si>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</si>
  <si>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</si>
  <si>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</si>
  <si>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</si>
  <si>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</si>
  <si>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</si>
  <si>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</si>
  <si>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</si>
  <si>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</si>
  <si>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</si>
  <si>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</si>
  <si>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</si>
  <si>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</si>
  <si>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</si>
  <si>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</si>
  <si>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</si>
  <si>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</si>
  <si>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</si>
  <si>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</si>
  <si>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</si>
  <si>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</si>
  <si>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</si>
  <si>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</si>
  <si>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</si>
  <si>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</si>
  <si>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</si>
  <si>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</si>
  <si>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</si>
  <si>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</si>
  <si>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</si>
  <si>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</si>
  <si>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</si>
  <si>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</si>
  <si>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</si>
  <si>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</si>
  <si>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</si>
  <si>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</si>
  <si>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</si>
  <si>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</si>
  <si>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</si>
  <si>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</si>
  <si>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</si>
  <si>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</si>
  <si>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</si>
  <si>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</si>
  <si>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</si>
  <si>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</si>
  <si>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</si>
  <si>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</si>
  <si>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</si>
  <si>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</si>
  <si>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</si>
  <si>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</si>
  <si>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</si>
  <si>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</si>
  <si>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</si>
  <si>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</si>
  <si>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</si>
  <si>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</si>
  <si>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</si>
  <si>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27/11 Mantenimiento</t>
  </si>
  <si>
    <t>28/11 Delhaize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</si>
</sst>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5" zoomScaleNormal="100" workbookViewId="0">
      <pane xSplit="1" topLeftCell="AL1" activePane="topRight" state="frozen"/>
      <selection pane="topRight" activeCell="AQ38" sqref="AQ38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1" t="s">
        <v>0</v>
      </c>
      <c r="D4" s="382"/>
      <c r="E4" s="382"/>
      <c r="F4" s="383"/>
      <c r="G4" s="381" t="s">
        <v>1</v>
      </c>
      <c r="H4" s="382"/>
      <c r="I4" s="382"/>
      <c r="J4" s="383"/>
      <c r="K4" s="381" t="s">
        <v>2</v>
      </c>
      <c r="L4" s="382"/>
      <c r="M4" s="382"/>
      <c r="N4" s="383"/>
      <c r="O4" s="381" t="s">
        <v>3</v>
      </c>
      <c r="P4" s="382"/>
      <c r="Q4" s="382"/>
      <c r="R4" s="383"/>
      <c r="S4" s="381" t="s">
        <v>71</v>
      </c>
      <c r="T4" s="382"/>
      <c r="U4" s="382"/>
      <c r="V4" s="383"/>
      <c r="W4" s="381" t="s">
        <v>70</v>
      </c>
      <c r="X4" s="382"/>
      <c r="Y4" s="382"/>
      <c r="Z4" s="383"/>
      <c r="AA4" s="381" t="s">
        <v>72</v>
      </c>
      <c r="AB4" s="382"/>
      <c r="AC4" s="382"/>
      <c r="AD4" s="383"/>
      <c r="AE4" s="381" t="s">
        <v>73</v>
      </c>
      <c r="AF4" s="382"/>
      <c r="AG4" s="382"/>
      <c r="AH4" s="383"/>
      <c r="AI4" s="381" t="s">
        <v>75</v>
      </c>
      <c r="AJ4" s="382"/>
      <c r="AK4" s="382"/>
      <c r="AL4" s="383"/>
      <c r="AM4" s="381" t="s">
        <v>77</v>
      </c>
      <c r="AN4" s="382"/>
      <c r="AO4" s="382"/>
      <c r="AP4" s="383"/>
      <c r="AQ4" s="381" t="s">
        <v>79</v>
      </c>
      <c r="AR4" s="382"/>
      <c r="AS4" s="382"/>
      <c r="AT4" s="383"/>
      <c r="AU4" s="381" t="s">
        <v>84</v>
      </c>
      <c r="AV4" s="382"/>
      <c r="AW4" s="382"/>
      <c r="AX4" s="38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0">
        <f>'01'!K19</f>
        <v>26383.54</v>
      </c>
      <c r="D5" s="388"/>
      <c r="E5" s="388"/>
      <c r="F5" s="389"/>
      <c r="G5" s="390">
        <f>'02'!K19</f>
        <v>25229.379999999997</v>
      </c>
      <c r="H5" s="388"/>
      <c r="I5" s="388"/>
      <c r="J5" s="389"/>
      <c r="K5" s="387">
        <f>'03'!K19</f>
        <v>25574.760000000002</v>
      </c>
      <c r="L5" s="388"/>
      <c r="M5" s="388"/>
      <c r="N5" s="389"/>
      <c r="O5" s="387">
        <f>'04'!K19</f>
        <v>26443.759999999998</v>
      </c>
      <c r="P5" s="388"/>
      <c r="Q5" s="388"/>
      <c r="R5" s="389"/>
      <c r="S5" s="387">
        <f>'05'!K19</f>
        <v>27163.090000000004</v>
      </c>
      <c r="T5" s="388"/>
      <c r="U5" s="388"/>
      <c r="V5" s="389"/>
      <c r="W5" s="387">
        <f>'06'!K19</f>
        <v>29014.079999999998</v>
      </c>
      <c r="X5" s="388"/>
      <c r="Y5" s="388"/>
      <c r="Z5" s="389"/>
      <c r="AA5" s="387">
        <f>'07'!K19</f>
        <v>29282.959999999999</v>
      </c>
      <c r="AB5" s="388"/>
      <c r="AC5" s="388"/>
      <c r="AD5" s="389"/>
      <c r="AE5" s="387">
        <f>'08'!K19</f>
        <v>29166.850000000002</v>
      </c>
      <c r="AF5" s="388"/>
      <c r="AG5" s="388"/>
      <c r="AH5" s="389"/>
      <c r="AI5" s="387">
        <f>'09'!K19</f>
        <v>29258.260000000002</v>
      </c>
      <c r="AJ5" s="388"/>
      <c r="AK5" s="388"/>
      <c r="AL5" s="389"/>
      <c r="AM5" s="387">
        <f>'10'!K19</f>
        <v>30089.47</v>
      </c>
      <c r="AN5" s="388"/>
      <c r="AO5" s="388"/>
      <c r="AP5" s="389"/>
      <c r="AQ5" s="387">
        <f>'11'!K19</f>
        <v>30103.380000000005</v>
      </c>
      <c r="AR5" s="388"/>
      <c r="AS5" s="388"/>
      <c r="AT5" s="389"/>
      <c r="AU5" s="387">
        <f>'12'!K19</f>
        <v>30103.380000000005</v>
      </c>
      <c r="AV5" s="388"/>
      <c r="AW5" s="388"/>
      <c r="AX5" s="389"/>
      <c r="AZ5" s="6"/>
      <c r="BA5" s="7"/>
      <c r="BB5" s="1"/>
      <c r="BC5" s="1"/>
    </row>
    <row r="6" spans="1:55" ht="17.25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4" t="s">
        <v>229</v>
      </c>
      <c r="D7" s="385"/>
      <c r="E7" s="385"/>
      <c r="F7" s="386"/>
      <c r="G7" s="384" t="s">
        <v>229</v>
      </c>
      <c r="H7" s="385"/>
      <c r="I7" s="385"/>
      <c r="J7" s="386"/>
      <c r="K7" s="384" t="s">
        <v>229</v>
      </c>
      <c r="L7" s="385"/>
      <c r="M7" s="385"/>
      <c r="N7" s="386"/>
      <c r="O7" s="384" t="s">
        <v>229</v>
      </c>
      <c r="P7" s="385"/>
      <c r="Q7" s="385"/>
      <c r="R7" s="386"/>
      <c r="S7" s="384" t="s">
        <v>229</v>
      </c>
      <c r="T7" s="385"/>
      <c r="U7" s="385"/>
      <c r="V7" s="386"/>
      <c r="W7" s="384" t="s">
        <v>229</v>
      </c>
      <c r="X7" s="385"/>
      <c r="Y7" s="385"/>
      <c r="Z7" s="386"/>
      <c r="AA7" s="384" t="s">
        <v>229</v>
      </c>
      <c r="AB7" s="385"/>
      <c r="AC7" s="385"/>
      <c r="AD7" s="386"/>
      <c r="AE7" s="384" t="s">
        <v>229</v>
      </c>
      <c r="AF7" s="385"/>
      <c r="AG7" s="385"/>
      <c r="AH7" s="386"/>
      <c r="AI7" s="384" t="s">
        <v>229</v>
      </c>
      <c r="AJ7" s="385"/>
      <c r="AK7" s="385"/>
      <c r="AL7" s="386"/>
      <c r="AM7" s="384" t="s">
        <v>229</v>
      </c>
      <c r="AN7" s="385"/>
      <c r="AO7" s="385"/>
      <c r="AP7" s="386"/>
      <c r="AQ7" s="384" t="s">
        <v>229</v>
      </c>
      <c r="AR7" s="385"/>
      <c r="AS7" s="385"/>
      <c r="AT7" s="386"/>
      <c r="AU7" s="384" t="s">
        <v>229</v>
      </c>
      <c r="AV7" s="385"/>
      <c r="AW7" s="385"/>
      <c r="AX7" s="386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91">
        <f>SUM('01'!L25:'01'!L29)</f>
        <v>2593.46</v>
      </c>
      <c r="D8" s="392"/>
      <c r="E8" s="392"/>
      <c r="F8" s="393"/>
      <c r="G8" s="391">
        <f>SUM('02'!L25:'02'!L29)</f>
        <v>2592.42</v>
      </c>
      <c r="H8" s="392"/>
      <c r="I8" s="392"/>
      <c r="J8" s="393"/>
      <c r="K8" s="391">
        <f>SUM('03'!L25:'03'!L29)</f>
        <v>2526.87</v>
      </c>
      <c r="L8" s="392"/>
      <c r="M8" s="392"/>
      <c r="N8" s="393"/>
      <c r="O8" s="391">
        <f>SUM('04'!L25:'04'!L29)</f>
        <v>2570.56</v>
      </c>
      <c r="P8" s="392"/>
      <c r="Q8" s="392"/>
      <c r="R8" s="393"/>
      <c r="S8" s="391">
        <f>SUM('05'!L25:'05'!L29)</f>
        <v>4448.8500000000004</v>
      </c>
      <c r="T8" s="392"/>
      <c r="U8" s="392"/>
      <c r="V8" s="393"/>
      <c r="W8" s="391">
        <f>SUM('06'!L25:'06'!L29)</f>
        <v>2574.61</v>
      </c>
      <c r="X8" s="392"/>
      <c r="Y8" s="392"/>
      <c r="Z8" s="393"/>
      <c r="AA8" s="391">
        <f>SUM('07'!L25:'07'!L29)</f>
        <v>2568.54</v>
      </c>
      <c r="AB8" s="392"/>
      <c r="AC8" s="392"/>
      <c r="AD8" s="393"/>
      <c r="AE8" s="391">
        <f>SUM('08'!L25:'08'!L29)</f>
        <v>2571.5500000000002</v>
      </c>
      <c r="AF8" s="392"/>
      <c r="AG8" s="392"/>
      <c r="AH8" s="393"/>
      <c r="AI8" s="391">
        <f>SUM('09'!L25:'09'!L29)</f>
        <v>2573.7399999999998</v>
      </c>
      <c r="AJ8" s="392"/>
      <c r="AK8" s="392"/>
      <c r="AL8" s="393"/>
      <c r="AM8" s="391">
        <f>SUM('10'!L25:'10'!L29)</f>
        <v>2617.69</v>
      </c>
      <c r="AN8" s="392"/>
      <c r="AO8" s="392"/>
      <c r="AP8" s="393"/>
      <c r="AQ8" s="391">
        <f>SUM('11'!L25:'11'!L29)</f>
        <v>2588.0700000000002</v>
      </c>
      <c r="AR8" s="392"/>
      <c r="AS8" s="392"/>
      <c r="AT8" s="393"/>
      <c r="AU8" s="391">
        <f>SUM('12'!L25:'12'!L29)</f>
        <v>0</v>
      </c>
      <c r="AV8" s="392"/>
      <c r="AW8" s="392"/>
      <c r="AX8" s="393"/>
      <c r="AZ8" s="209">
        <f>SUM(C8:AU8)</f>
        <v>30226.359999999997</v>
      </c>
      <c r="BA8" s="112">
        <f t="shared" ref="BA8:BA16" ca="1" si="0">AZ8/BC$17</f>
        <v>2747.8509090909088</v>
      </c>
      <c r="BB8" s="1"/>
      <c r="BC8" s="1"/>
    </row>
    <row r="9" spans="1:55" ht="15.75">
      <c r="A9" s="189" t="s">
        <v>212</v>
      </c>
      <c r="B9" s="193">
        <v>5835.74</v>
      </c>
      <c r="C9" s="378">
        <f>SUM('01'!L30:'01'!L34)</f>
        <v>655.59</v>
      </c>
      <c r="D9" s="379"/>
      <c r="E9" s="379"/>
      <c r="F9" s="380"/>
      <c r="G9" s="378">
        <f>SUM('02'!L30:'02'!L34)</f>
        <v>760.26</v>
      </c>
      <c r="H9" s="379"/>
      <c r="I9" s="379"/>
      <c r="J9" s="380"/>
      <c r="K9" s="378">
        <f>SUM('03'!L30:'03'!L34)</f>
        <v>516.44000000000005</v>
      </c>
      <c r="L9" s="379"/>
      <c r="M9" s="379"/>
      <c r="N9" s="380"/>
      <c r="O9" s="378">
        <f>SUM('04'!L30:'04'!L34)</f>
        <v>507.54</v>
      </c>
      <c r="P9" s="379"/>
      <c r="Q9" s="379"/>
      <c r="R9" s="380"/>
      <c r="S9" s="378">
        <f>SUM('05'!L30:'05'!L34)</f>
        <v>578.16999999999996</v>
      </c>
      <c r="T9" s="379"/>
      <c r="U9" s="379"/>
      <c r="V9" s="380"/>
      <c r="W9" s="378">
        <f>SUM('06'!L30:'06'!L34)</f>
        <v>613.67000000000007</v>
      </c>
      <c r="X9" s="379"/>
      <c r="Y9" s="379"/>
      <c r="Z9" s="380"/>
      <c r="AA9" s="378">
        <f>SUM('07'!L30:'07'!L34)</f>
        <v>1147.52</v>
      </c>
      <c r="AB9" s="379"/>
      <c r="AC9" s="379"/>
      <c r="AD9" s="380"/>
      <c r="AE9" s="378">
        <f>SUM('08'!L30:'08'!L34)</f>
        <v>291.60000000000002</v>
      </c>
      <c r="AF9" s="379"/>
      <c r="AG9" s="379"/>
      <c r="AH9" s="380"/>
      <c r="AI9" s="378">
        <f>SUM('09'!L30:'09'!L34)</f>
        <v>291.60000000000002</v>
      </c>
      <c r="AJ9" s="379"/>
      <c r="AK9" s="379"/>
      <c r="AL9" s="380"/>
      <c r="AM9" s="378">
        <f>SUM('10'!L30:'10'!L34)</f>
        <v>599.04999999999995</v>
      </c>
      <c r="AN9" s="379"/>
      <c r="AO9" s="379"/>
      <c r="AP9" s="380"/>
      <c r="AQ9" s="378">
        <f>SUM('11'!L30:'11'!L34)</f>
        <v>302.78999999999996</v>
      </c>
      <c r="AR9" s="379"/>
      <c r="AS9" s="379"/>
      <c r="AT9" s="380"/>
      <c r="AU9" s="378">
        <f>SUM('12'!L30:'12'!L34)</f>
        <v>0</v>
      </c>
      <c r="AV9" s="379"/>
      <c r="AW9" s="379"/>
      <c r="AX9" s="380"/>
      <c r="AZ9" s="210">
        <f t="shared" ref="AZ9:AZ16" si="1">SUM(C9:AW9)</f>
        <v>6264.2300000000014</v>
      </c>
      <c r="BA9" s="112">
        <f t="shared" ca="1" si="0"/>
        <v>569.47545454545468</v>
      </c>
      <c r="BB9" s="1"/>
      <c r="BC9" s="1"/>
    </row>
    <row r="10" spans="1:55" ht="15.75">
      <c r="A10" s="190" t="s">
        <v>217</v>
      </c>
      <c r="B10" s="194">
        <v>2731.18</v>
      </c>
      <c r="C10" s="378">
        <f>SUM('01'!L35:'01'!L39)</f>
        <v>120.85</v>
      </c>
      <c r="D10" s="379"/>
      <c r="E10" s="379"/>
      <c r="F10" s="380"/>
      <c r="G10" s="378">
        <f>SUM('02'!L35:'02'!L39)</f>
        <v>107.38</v>
      </c>
      <c r="H10" s="379"/>
      <c r="I10" s="379"/>
      <c r="J10" s="380"/>
      <c r="K10" s="378">
        <f>SUM('03'!L35:'03'!L39)</f>
        <v>91.73</v>
      </c>
      <c r="L10" s="379"/>
      <c r="M10" s="379"/>
      <c r="N10" s="380"/>
      <c r="O10" s="378">
        <f>SUM('04'!L35:'04'!L39)</f>
        <v>204.23</v>
      </c>
      <c r="P10" s="379"/>
      <c r="Q10" s="379"/>
      <c r="R10" s="380"/>
      <c r="S10" s="378">
        <f>SUM('05'!L35:'05'!L39)</f>
        <v>119.85</v>
      </c>
      <c r="T10" s="379"/>
      <c r="U10" s="379"/>
      <c r="V10" s="380"/>
      <c r="W10" s="394">
        <f>SUM('06'!L35:'06'!L39)</f>
        <v>55.09</v>
      </c>
      <c r="X10" s="395"/>
      <c r="Y10" s="395"/>
      <c r="Z10" s="396"/>
      <c r="AA10" s="394">
        <f>SUM('07'!L35:'07'!L39)</f>
        <v>124.52</v>
      </c>
      <c r="AB10" s="395"/>
      <c r="AC10" s="395"/>
      <c r="AD10" s="396"/>
      <c r="AE10" s="394">
        <f>SUM('08'!L35:'08'!L39)</f>
        <v>164.91</v>
      </c>
      <c r="AF10" s="395"/>
      <c r="AG10" s="395"/>
      <c r="AH10" s="396"/>
      <c r="AI10" s="394">
        <f>SUM('09'!L35:'09'!L39)</f>
        <v>167.95</v>
      </c>
      <c r="AJ10" s="395"/>
      <c r="AK10" s="395"/>
      <c r="AL10" s="396"/>
      <c r="AM10" s="394">
        <f>SUM('10'!L35:'10'!L39)</f>
        <v>0</v>
      </c>
      <c r="AN10" s="395"/>
      <c r="AO10" s="395"/>
      <c r="AP10" s="396"/>
      <c r="AQ10" s="394">
        <f>SUM('11'!L35:'11'!L39)</f>
        <v>0</v>
      </c>
      <c r="AR10" s="395"/>
      <c r="AS10" s="395"/>
      <c r="AT10" s="396"/>
      <c r="AU10" s="394">
        <f>SUM('12'!L35:'12'!L39)</f>
        <v>0</v>
      </c>
      <c r="AV10" s="395"/>
      <c r="AW10" s="395"/>
      <c r="AX10" s="396"/>
      <c r="AZ10" s="211">
        <f t="shared" si="1"/>
        <v>1156.51</v>
      </c>
      <c r="BA10" s="112">
        <f t="shared" ca="1" si="0"/>
        <v>105.13727272727273</v>
      </c>
      <c r="BB10" s="1"/>
      <c r="BC10" s="1"/>
    </row>
    <row r="11" spans="1:55" ht="15.75">
      <c r="A11" s="189" t="s">
        <v>213</v>
      </c>
      <c r="B11" s="193">
        <v>2906.88</v>
      </c>
      <c r="C11" s="378">
        <f>SUM('01'!L40:'01'!L44)</f>
        <v>3.87</v>
      </c>
      <c r="D11" s="379"/>
      <c r="E11" s="379"/>
      <c r="F11" s="380"/>
      <c r="G11" s="378">
        <f>SUM('02'!L40:'02'!L44)</f>
        <v>0</v>
      </c>
      <c r="H11" s="379"/>
      <c r="I11" s="379"/>
      <c r="J11" s="380"/>
      <c r="K11" s="378">
        <f>SUM('03'!L40:'03'!L44)</f>
        <v>0</v>
      </c>
      <c r="L11" s="379"/>
      <c r="M11" s="379"/>
      <c r="N11" s="380"/>
      <c r="O11" s="378">
        <f>SUM('04'!L40:'04'!L44)</f>
        <v>356.59</v>
      </c>
      <c r="P11" s="379"/>
      <c r="Q11" s="379"/>
      <c r="R11" s="380"/>
      <c r="S11" s="378">
        <f>SUM('05'!L40:'05'!L44)</f>
        <v>45.86</v>
      </c>
      <c r="T11" s="379"/>
      <c r="U11" s="379"/>
      <c r="V11" s="380"/>
      <c r="W11" s="378">
        <f>SUM('06'!L40:'06'!L44)</f>
        <v>0</v>
      </c>
      <c r="X11" s="379"/>
      <c r="Y11" s="379"/>
      <c r="Z11" s="380"/>
      <c r="AA11" s="378">
        <f>SUM('07'!L40:'07'!L44)</f>
        <v>1.02</v>
      </c>
      <c r="AB11" s="379"/>
      <c r="AC11" s="379"/>
      <c r="AD11" s="380"/>
      <c r="AE11" s="378">
        <f>SUM('08'!L40:'08'!L44)</f>
        <v>0</v>
      </c>
      <c r="AF11" s="379"/>
      <c r="AG11" s="379"/>
      <c r="AH11" s="380"/>
      <c r="AI11" s="378">
        <f>SUM('09'!L40:'09'!L44)</f>
        <v>0</v>
      </c>
      <c r="AJ11" s="379"/>
      <c r="AK11" s="379"/>
      <c r="AL11" s="380"/>
      <c r="AM11" s="378">
        <f>SUM('10'!L40:'10'!L44)</f>
        <v>52.97</v>
      </c>
      <c r="AN11" s="379"/>
      <c r="AO11" s="379"/>
      <c r="AP11" s="380"/>
      <c r="AQ11" s="378">
        <f>SUM('11'!L40:'11'!L44)</f>
        <v>42.84</v>
      </c>
      <c r="AR11" s="379"/>
      <c r="AS11" s="379"/>
      <c r="AT11" s="380"/>
      <c r="AU11" s="378">
        <f>SUM('12'!L40:'12'!L44)</f>
        <v>0</v>
      </c>
      <c r="AV11" s="379"/>
      <c r="AW11" s="379"/>
      <c r="AX11" s="380"/>
      <c r="AZ11" s="210">
        <f t="shared" si="1"/>
        <v>503.15</v>
      </c>
      <c r="BA11" s="112">
        <f t="shared" ca="1" si="0"/>
        <v>45.740909090909092</v>
      </c>
      <c r="BB11" s="1"/>
      <c r="BC11" s="1"/>
    </row>
    <row r="12" spans="1:55" ht="15.75">
      <c r="A12" s="190" t="s">
        <v>23</v>
      </c>
      <c r="B12" s="194">
        <v>3325.31</v>
      </c>
      <c r="C12" s="378">
        <f>SUM('01'!L45:'01'!L49)</f>
        <v>137</v>
      </c>
      <c r="D12" s="379"/>
      <c r="E12" s="379"/>
      <c r="F12" s="380"/>
      <c r="G12" s="378">
        <f>SUM('02'!L45:'02'!L49)</f>
        <v>600.04</v>
      </c>
      <c r="H12" s="379"/>
      <c r="I12" s="379"/>
      <c r="J12" s="380"/>
      <c r="K12" s="378">
        <f>SUM('03'!L45:'03'!L49)</f>
        <v>380</v>
      </c>
      <c r="L12" s="379"/>
      <c r="M12" s="379"/>
      <c r="N12" s="380"/>
      <c r="O12" s="378">
        <f>SUM('04'!L45:'04'!L49)</f>
        <v>0</v>
      </c>
      <c r="P12" s="379"/>
      <c r="Q12" s="379"/>
      <c r="R12" s="380"/>
      <c r="S12" s="378">
        <f>SUM('05'!L45:'05'!L49)</f>
        <v>0</v>
      </c>
      <c r="T12" s="379"/>
      <c r="U12" s="379"/>
      <c r="V12" s="380"/>
      <c r="W12" s="394">
        <f>SUM('06'!L45:'06'!L49)</f>
        <v>242.41</v>
      </c>
      <c r="X12" s="395"/>
      <c r="Y12" s="395"/>
      <c r="Z12" s="396"/>
      <c r="AA12" s="394">
        <f>SUM('07'!L45:'07'!L49)</f>
        <v>0</v>
      </c>
      <c r="AB12" s="395"/>
      <c r="AC12" s="395"/>
      <c r="AD12" s="396"/>
      <c r="AE12" s="394">
        <f>SUM('08'!L45:'08'!L49)</f>
        <v>222.98</v>
      </c>
      <c r="AF12" s="395"/>
      <c r="AG12" s="395"/>
      <c r="AH12" s="396"/>
      <c r="AI12" s="394">
        <f>SUM('09'!L45:'09'!L49)</f>
        <v>200</v>
      </c>
      <c r="AJ12" s="395"/>
      <c r="AK12" s="395"/>
      <c r="AL12" s="396"/>
      <c r="AM12" s="394">
        <f>SUM('10'!L45:'10'!L49)</f>
        <v>0</v>
      </c>
      <c r="AN12" s="395"/>
      <c r="AO12" s="395"/>
      <c r="AP12" s="396"/>
      <c r="AQ12" s="394">
        <f>SUM('11'!L45:'11'!L49)</f>
        <v>430</v>
      </c>
      <c r="AR12" s="395"/>
      <c r="AS12" s="395"/>
      <c r="AT12" s="396"/>
      <c r="AU12" s="394">
        <f>SUM('12'!L45:'12'!L49)</f>
        <v>0</v>
      </c>
      <c r="AV12" s="395"/>
      <c r="AW12" s="395"/>
      <c r="AX12" s="396"/>
      <c r="AZ12" s="211">
        <f t="shared" si="1"/>
        <v>2212.4300000000003</v>
      </c>
      <c r="BA12" s="112">
        <f t="shared" ca="1" si="0"/>
        <v>201.13000000000002</v>
      </c>
      <c r="BB12" s="1"/>
      <c r="BC12" s="1"/>
    </row>
    <row r="13" spans="1:55" ht="15.75">
      <c r="A13" s="189" t="s">
        <v>214</v>
      </c>
      <c r="B13" s="195">
        <v>3443.8099999999995</v>
      </c>
      <c r="C13" s="378">
        <f>SUM('01'!L50:'01'!L54)</f>
        <v>95.8</v>
      </c>
      <c r="D13" s="379"/>
      <c r="E13" s="379"/>
      <c r="F13" s="380"/>
      <c r="G13" s="378">
        <f>SUM('02'!L50:'02'!L54)</f>
        <v>95.8</v>
      </c>
      <c r="H13" s="379"/>
      <c r="I13" s="379"/>
      <c r="J13" s="380"/>
      <c r="K13" s="378">
        <f>SUM('03'!L50:'03'!L54)</f>
        <v>4517.74</v>
      </c>
      <c r="L13" s="379"/>
      <c r="M13" s="379"/>
      <c r="N13" s="380"/>
      <c r="O13" s="378">
        <f>SUM('04'!L50:'04'!L54)</f>
        <v>95.8</v>
      </c>
      <c r="P13" s="379"/>
      <c r="Q13" s="379"/>
      <c r="R13" s="380"/>
      <c r="S13" s="378">
        <f>SUM('05'!L50:'05'!L54)</f>
        <v>95.8</v>
      </c>
      <c r="T13" s="379"/>
      <c r="U13" s="379"/>
      <c r="V13" s="380"/>
      <c r="W13" s="378">
        <f>SUM('06'!L50:'06'!L54)</f>
        <v>95.8</v>
      </c>
      <c r="X13" s="379"/>
      <c r="Y13" s="379"/>
      <c r="Z13" s="380"/>
      <c r="AA13" s="378">
        <f>SUM('07'!L50:'07'!L54)</f>
        <v>95.8</v>
      </c>
      <c r="AB13" s="379"/>
      <c r="AC13" s="379"/>
      <c r="AD13" s="380"/>
      <c r="AE13" s="378">
        <f>SUM('08'!L50:'08'!L54)</f>
        <v>117.03</v>
      </c>
      <c r="AF13" s="379"/>
      <c r="AG13" s="379"/>
      <c r="AH13" s="380"/>
      <c r="AI13" s="378">
        <f>SUM('09'!L50:'09'!L54)</f>
        <v>1072.33</v>
      </c>
      <c r="AJ13" s="379"/>
      <c r="AK13" s="379"/>
      <c r="AL13" s="380"/>
      <c r="AM13" s="378">
        <f>SUM('10'!L50:'10'!L54)</f>
        <v>95.8</v>
      </c>
      <c r="AN13" s="379"/>
      <c r="AO13" s="379"/>
      <c r="AP13" s="380"/>
      <c r="AQ13" s="378">
        <f>SUM('11'!L50:'11'!L54)</f>
        <v>95.8</v>
      </c>
      <c r="AR13" s="379"/>
      <c r="AS13" s="379"/>
      <c r="AT13" s="380"/>
      <c r="AU13" s="378">
        <f>SUM('12'!L50:'12'!L54)</f>
        <v>0</v>
      </c>
      <c r="AV13" s="379"/>
      <c r="AW13" s="379"/>
      <c r="AX13" s="380"/>
      <c r="AZ13" s="212">
        <f t="shared" si="1"/>
        <v>6473.5000000000009</v>
      </c>
      <c r="BA13" s="112">
        <f t="shared" ca="1" si="0"/>
        <v>588.50000000000011</v>
      </c>
      <c r="BB13" s="1"/>
      <c r="BC13" s="1"/>
    </row>
    <row r="14" spans="1:55" ht="15.75">
      <c r="A14" s="190" t="s">
        <v>215</v>
      </c>
      <c r="B14" s="194">
        <v>364.62</v>
      </c>
      <c r="C14" s="378">
        <f>SUM('01'!L55:'01'!L59)</f>
        <v>0</v>
      </c>
      <c r="D14" s="379"/>
      <c r="E14" s="379"/>
      <c r="F14" s="380"/>
      <c r="G14" s="378">
        <f>SUM('02'!L55:'02'!L59)</f>
        <v>0</v>
      </c>
      <c r="H14" s="379"/>
      <c r="I14" s="379"/>
      <c r="J14" s="380"/>
      <c r="K14" s="378">
        <f>SUM('03'!L55:'03'!L59)</f>
        <v>9.44</v>
      </c>
      <c r="L14" s="379"/>
      <c r="M14" s="379"/>
      <c r="N14" s="380"/>
      <c r="O14" s="378">
        <f>SUM('04'!L55:'04'!L59)</f>
        <v>37.980000000000004</v>
      </c>
      <c r="P14" s="379"/>
      <c r="Q14" s="379"/>
      <c r="R14" s="380"/>
      <c r="S14" s="378">
        <f>SUM('05'!L55:'05'!L59)</f>
        <v>17.350000000000001</v>
      </c>
      <c r="T14" s="379"/>
      <c r="U14" s="379"/>
      <c r="V14" s="380"/>
      <c r="W14" s="394">
        <f>SUM('06'!L55:'06'!L59)</f>
        <v>0</v>
      </c>
      <c r="X14" s="395"/>
      <c r="Y14" s="395"/>
      <c r="Z14" s="396"/>
      <c r="AA14" s="394">
        <f>SUM('07'!L55:'07'!L59)</f>
        <v>51.759999999999991</v>
      </c>
      <c r="AB14" s="395"/>
      <c r="AC14" s="395"/>
      <c r="AD14" s="396"/>
      <c r="AE14" s="394">
        <f>SUM('08'!L55:'08'!L59)</f>
        <v>27.42</v>
      </c>
      <c r="AF14" s="395"/>
      <c r="AG14" s="395"/>
      <c r="AH14" s="396"/>
      <c r="AI14" s="394">
        <f>SUM('09'!L55:'09'!L59)</f>
        <v>0</v>
      </c>
      <c r="AJ14" s="395"/>
      <c r="AK14" s="395"/>
      <c r="AL14" s="396"/>
      <c r="AM14" s="394">
        <f>SUM('10'!L55:'10'!L59)</f>
        <v>57.08</v>
      </c>
      <c r="AN14" s="395"/>
      <c r="AO14" s="395"/>
      <c r="AP14" s="396"/>
      <c r="AQ14" s="394">
        <f>SUM('11'!L55:'11'!L59)</f>
        <v>393.02</v>
      </c>
      <c r="AR14" s="395"/>
      <c r="AS14" s="395"/>
      <c r="AT14" s="396"/>
      <c r="AU14" s="394">
        <f>SUM('12'!L55:'12'!L59)</f>
        <v>0</v>
      </c>
      <c r="AV14" s="395"/>
      <c r="AW14" s="395"/>
      <c r="AX14" s="396"/>
      <c r="AZ14" s="211">
        <f t="shared" si="1"/>
        <v>594.04999999999995</v>
      </c>
      <c r="BA14" s="112">
        <f t="shared" ca="1" si="0"/>
        <v>54.00454545454545</v>
      </c>
      <c r="BB14" s="3"/>
      <c r="BC14" s="3"/>
    </row>
    <row r="15" spans="1:55" ht="15.75">
      <c r="A15" s="189" t="s">
        <v>216</v>
      </c>
      <c r="B15" s="193">
        <v>7756.04</v>
      </c>
      <c r="C15" s="378">
        <f>SUM('01'!L60:'01'!L64)</f>
        <v>0</v>
      </c>
      <c r="D15" s="379"/>
      <c r="E15" s="379"/>
      <c r="F15" s="380"/>
      <c r="G15" s="378">
        <f>SUM('02'!L60:'02'!L64)</f>
        <v>665.77</v>
      </c>
      <c r="H15" s="379"/>
      <c r="I15" s="379"/>
      <c r="J15" s="380"/>
      <c r="K15" s="378">
        <f>SUM('03'!L60:'03'!L64)</f>
        <v>682.39</v>
      </c>
      <c r="L15" s="379"/>
      <c r="M15" s="379"/>
      <c r="N15" s="380"/>
      <c r="O15" s="378">
        <f>SUM('04'!L60:'04'!L64)</f>
        <v>550</v>
      </c>
      <c r="P15" s="379"/>
      <c r="Q15" s="379"/>
      <c r="R15" s="380"/>
      <c r="S15" s="378">
        <f>SUM('05'!L60:'05'!L64)</f>
        <v>652.44000000000005</v>
      </c>
      <c r="T15" s="379"/>
      <c r="U15" s="379"/>
      <c r="V15" s="380"/>
      <c r="W15" s="378">
        <f>SUM('06'!L60:'06'!L64)</f>
        <v>511.74</v>
      </c>
      <c r="X15" s="379"/>
      <c r="Y15" s="379"/>
      <c r="Z15" s="380"/>
      <c r="AA15" s="378">
        <f>SUM('07'!L60:'07'!L64)</f>
        <v>649.1</v>
      </c>
      <c r="AB15" s="379"/>
      <c r="AC15" s="379"/>
      <c r="AD15" s="380"/>
      <c r="AE15" s="378">
        <f>SUM('08'!L60:'08'!L64)</f>
        <v>550</v>
      </c>
      <c r="AF15" s="379"/>
      <c r="AG15" s="379"/>
      <c r="AH15" s="380"/>
      <c r="AI15" s="378">
        <f>SUM('09'!L60:'09'!L64)</f>
        <v>676.35</v>
      </c>
      <c r="AJ15" s="379"/>
      <c r="AK15" s="379"/>
      <c r="AL15" s="380"/>
      <c r="AM15" s="378">
        <f>SUM('10'!L60:'10'!L64)</f>
        <v>550</v>
      </c>
      <c r="AN15" s="379"/>
      <c r="AO15" s="379"/>
      <c r="AP15" s="380"/>
      <c r="AQ15" s="378">
        <f>SUM('11'!L60:'11'!L64)</f>
        <v>647.88</v>
      </c>
      <c r="AR15" s="379"/>
      <c r="AS15" s="379"/>
      <c r="AT15" s="380"/>
      <c r="AU15" s="378">
        <f>SUM('12'!L60:'12'!L64)</f>
        <v>0</v>
      </c>
      <c r="AV15" s="379"/>
      <c r="AW15" s="379"/>
      <c r="AX15" s="380"/>
      <c r="AZ15" s="210">
        <f t="shared" si="1"/>
        <v>6135.670000000001</v>
      </c>
      <c r="BA15" s="112">
        <f t="shared" ca="1" si="0"/>
        <v>557.7881818181819</v>
      </c>
      <c r="BB15" s="1"/>
      <c r="BC15" s="1"/>
    </row>
    <row r="16" spans="1:55" ht="16.5" thickBot="1">
      <c r="A16" s="191" t="s">
        <v>42</v>
      </c>
      <c r="B16" s="196">
        <v>2018.96</v>
      </c>
      <c r="C16" s="378">
        <f>SUM('01'!L65:'01'!L69)</f>
        <v>85</v>
      </c>
      <c r="D16" s="379"/>
      <c r="E16" s="379"/>
      <c r="F16" s="380"/>
      <c r="G16" s="378">
        <f>SUM('02'!L65:'02'!L69)</f>
        <v>0</v>
      </c>
      <c r="H16" s="379"/>
      <c r="I16" s="379"/>
      <c r="J16" s="380"/>
      <c r="K16" s="378">
        <f>SUM('03'!L65:'03'!L69)</f>
        <v>0</v>
      </c>
      <c r="L16" s="379"/>
      <c r="M16" s="379"/>
      <c r="N16" s="380"/>
      <c r="O16" s="378">
        <f>SUM('04'!L65:'04'!L69)</f>
        <v>0</v>
      </c>
      <c r="P16" s="379"/>
      <c r="Q16" s="379"/>
      <c r="R16" s="380"/>
      <c r="S16" s="378">
        <f>SUM('05'!L65:'05'!L69)</f>
        <v>0</v>
      </c>
      <c r="T16" s="379"/>
      <c r="U16" s="379"/>
      <c r="V16" s="380"/>
      <c r="W16" s="397">
        <f>SUM('06'!L65:'06'!L69)</f>
        <v>0</v>
      </c>
      <c r="X16" s="398"/>
      <c r="Y16" s="398"/>
      <c r="Z16" s="399"/>
      <c r="AA16" s="397">
        <f>SUM('07'!L65:'07'!L69)</f>
        <v>0</v>
      </c>
      <c r="AB16" s="398"/>
      <c r="AC16" s="398"/>
      <c r="AD16" s="399"/>
      <c r="AE16" s="397">
        <f>SUM('08'!L65:'08'!L69)</f>
        <v>0</v>
      </c>
      <c r="AF16" s="398"/>
      <c r="AG16" s="398"/>
      <c r="AH16" s="399"/>
      <c r="AI16" s="397">
        <f>SUM('09'!L65:'09'!L69)</f>
        <v>0</v>
      </c>
      <c r="AJ16" s="398"/>
      <c r="AK16" s="398"/>
      <c r="AL16" s="399"/>
      <c r="AM16" s="397">
        <f>SUM('10'!L65:'10'!L69)</f>
        <v>0</v>
      </c>
      <c r="AN16" s="398"/>
      <c r="AO16" s="398"/>
      <c r="AP16" s="399"/>
      <c r="AQ16" s="397">
        <f>SUM('11'!L65:'11'!L69)</f>
        <v>0</v>
      </c>
      <c r="AR16" s="398"/>
      <c r="AS16" s="398"/>
      <c r="AT16" s="399"/>
      <c r="AU16" s="397">
        <f>SUM('12'!L65:'12'!L69)</f>
        <v>0</v>
      </c>
      <c r="AV16" s="398"/>
      <c r="AW16" s="398"/>
      <c r="AX16" s="399"/>
      <c r="AZ16" s="213">
        <f t="shared" si="1"/>
        <v>85</v>
      </c>
      <c r="BA16" s="112">
        <f t="shared" ca="1" si="0"/>
        <v>7.7272727272727275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4">
        <f>SUM(C8:C16)</f>
        <v>3691.57</v>
      </c>
      <c r="D17" s="375"/>
      <c r="E17" s="375"/>
      <c r="F17" s="376"/>
      <c r="G17" s="374">
        <f>SUM(G8:G16)</f>
        <v>4821.67</v>
      </c>
      <c r="H17" s="375"/>
      <c r="I17" s="375"/>
      <c r="J17" s="376"/>
      <c r="K17" s="374">
        <f>SUM(K8:K16)</f>
        <v>8724.6099999999988</v>
      </c>
      <c r="L17" s="375"/>
      <c r="M17" s="375"/>
      <c r="N17" s="376"/>
      <c r="O17" s="374">
        <f>SUM(O8:O16)</f>
        <v>4322.7000000000007</v>
      </c>
      <c r="P17" s="375"/>
      <c r="Q17" s="375"/>
      <c r="R17" s="376"/>
      <c r="S17" s="374">
        <f>SUM(S8:S16)</f>
        <v>5958.3200000000015</v>
      </c>
      <c r="T17" s="375"/>
      <c r="U17" s="375"/>
      <c r="V17" s="376"/>
      <c r="W17" s="374">
        <f>SUM(W8:W16)</f>
        <v>4093.3200000000006</v>
      </c>
      <c r="X17" s="375"/>
      <c r="Y17" s="375"/>
      <c r="Z17" s="376"/>
      <c r="AA17" s="374">
        <f>SUM(AA8:AA16)</f>
        <v>4638.26</v>
      </c>
      <c r="AB17" s="375"/>
      <c r="AC17" s="375"/>
      <c r="AD17" s="376"/>
      <c r="AE17" s="374">
        <f>SUM(AE8:AE16)</f>
        <v>3945.4900000000002</v>
      </c>
      <c r="AF17" s="375"/>
      <c r="AG17" s="375"/>
      <c r="AH17" s="376"/>
      <c r="AI17" s="374">
        <f>SUM(AI8:AI16)</f>
        <v>4981.9699999999993</v>
      </c>
      <c r="AJ17" s="375"/>
      <c r="AK17" s="375"/>
      <c r="AL17" s="376"/>
      <c r="AM17" s="374">
        <f>SUM(AM8:AM16)</f>
        <v>3972.5899999999997</v>
      </c>
      <c r="AN17" s="375"/>
      <c r="AO17" s="375"/>
      <c r="AP17" s="376"/>
      <c r="AQ17" s="374">
        <f>SUM(AQ8:AQ16)</f>
        <v>4500.4000000000005</v>
      </c>
      <c r="AR17" s="375"/>
      <c r="AS17" s="375"/>
      <c r="AT17" s="376"/>
      <c r="AU17" s="374">
        <f>SUM(AU8:AU16)</f>
        <v>0</v>
      </c>
      <c r="AV17" s="375"/>
      <c r="AW17" s="375"/>
      <c r="AX17" s="376"/>
      <c r="AZ17" s="227">
        <f>SUM(AZ8:AZ16)</f>
        <v>53650.9</v>
      </c>
      <c r="BA17" s="112">
        <f ca="1">AZ17/BC$17</f>
        <v>4877.3545454545456</v>
      </c>
      <c r="BB17" s="1" t="s">
        <v>83</v>
      </c>
      <c r="BC17" s="1">
        <f ca="1">MONTH(TODAY())</f>
        <v>11</v>
      </c>
      <c r="BD17" s="39"/>
    </row>
    <row r="18" spans="1:62" ht="32.25" customHeight="1" thickTop="1" thickBot="1">
      <c r="A18" s="10"/>
      <c r="B18" s="10"/>
      <c r="C18" s="377"/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  <c r="X18" s="377"/>
      <c r="Y18" s="377"/>
      <c r="Z18" s="377"/>
      <c r="AA18" s="377"/>
      <c r="AB18" s="377"/>
      <c r="AC18" s="377"/>
      <c r="AD18" s="377"/>
      <c r="AE18" s="377"/>
      <c r="AF18" s="377"/>
      <c r="AG18" s="377"/>
      <c r="AH18" s="377"/>
      <c r="AI18" s="377"/>
      <c r="AJ18" s="377"/>
      <c r="AK18" s="377"/>
      <c r="AL18" s="377"/>
      <c r="AM18" s="377"/>
      <c r="AN18" s="377"/>
      <c r="AO18" s="377"/>
      <c r="AP18" s="377"/>
      <c r="AQ18" s="377"/>
      <c r="AR18" s="377"/>
      <c r="AS18" s="377"/>
      <c r="AT18" s="377"/>
      <c r="AU18" s="377" t="s">
        <v>173</v>
      </c>
      <c r="AV18" s="377"/>
      <c r="AW18" s="377"/>
      <c r="AX18" s="377"/>
      <c r="AZ18" s="131">
        <f>(2500*13)+(600*12)+(550*12)+(95*12)</f>
        <v>47440</v>
      </c>
      <c r="BA18" s="131">
        <f ca="1">12*BA17</f>
        <v>58528.254545454547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431.49</v>
      </c>
      <c r="AT20" s="145">
        <f t="shared" ref="AT20:AT45" si="12">AP20+AR20-AS20</f>
        <v>764.78999999999974</v>
      </c>
      <c r="AU20" s="143" t="s">
        <v>84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1006.9299999999997</v>
      </c>
      <c r="AZ20" s="123">
        <f t="shared" ref="AZ20:AZ27" si="14">E20+I20+M20+Q20+U20+Y20+AC20+AG20+AK20+AO20+AS20+AW20</f>
        <v>6113.51</v>
      </c>
      <c r="BA20" s="21">
        <f t="shared" ref="BA20:BA45" si="15">AZ20/AZ$46</f>
        <v>0.12443299476867328</v>
      </c>
      <c r="BB20" s="22">
        <f>_xlfn.RANK.EQ(BA20,$BA$20:$BA$45,)</f>
        <v>2</v>
      </c>
      <c r="BC20" s="22">
        <f t="shared" ref="BC20:BC45" ca="1" si="16">AZ20/BC$17</f>
        <v>555.77363636363634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6429.52</v>
      </c>
      <c r="BF20" s="21">
        <f t="shared" ref="BF20:BF45" ca="1" si="18">BE20/BE$46</f>
        <v>0.11983993331013355</v>
      </c>
      <c r="BG20" s="22">
        <f ca="1">_xlfn.RANK.EQ(BF20,$BF$20:$BF$45,)</f>
        <v>2</v>
      </c>
      <c r="BH20" s="22">
        <f t="shared" ref="BH20:BH45" ca="1" si="19">BE20/BC$17</f>
        <v>584.50181818181818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316.0100000000001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0</v>
      </c>
      <c r="AX21" s="151">
        <f t="shared" si="13"/>
        <v>1500.3399999999992</v>
      </c>
      <c r="AZ21" s="152">
        <f t="shared" si="14"/>
        <v>12958.52</v>
      </c>
      <c r="BA21" s="21">
        <f t="shared" si="15"/>
        <v>0.26375477448630136</v>
      </c>
      <c r="BB21" s="22">
        <f t="shared" ref="BB21:BB45" si="20">_xlfn.RANK.EQ(BA21,$BA$20:$BA$45,)</f>
        <v>1</v>
      </c>
      <c r="BC21" s="22">
        <f t="shared" ca="1" si="16"/>
        <v>1178.0472727272727</v>
      </c>
      <c r="BE21" s="224">
        <f t="shared" ca="1" si="17"/>
        <v>12653</v>
      </c>
      <c r="BF21" s="21">
        <f t="shared" ca="1" si="18"/>
        <v>0.23583948353424825</v>
      </c>
      <c r="BG21" s="22">
        <f t="shared" ref="BG21:BG45" ca="1" si="21">_xlfn.RANK.EQ(BF21,$BF$20:$BF$45,)</f>
        <v>1</v>
      </c>
      <c r="BH21" s="22">
        <f t="shared" ca="1" si="19"/>
        <v>1150.2727272727273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-305.52000000000044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450.65</v>
      </c>
      <c r="AT22" s="156">
        <f t="shared" si="12"/>
        <v>327.12</v>
      </c>
      <c r="AU22" s="143" t="s">
        <v>84</v>
      </c>
      <c r="AV22" s="155">
        <f>'12'!B60</f>
        <v>315</v>
      </c>
      <c r="AW22" s="155">
        <f>SUM('12'!D60:F60)</f>
        <v>0</v>
      </c>
      <c r="AX22" s="156">
        <f t="shared" si="13"/>
        <v>642.12</v>
      </c>
      <c r="AZ22" s="157">
        <f t="shared" si="14"/>
        <v>3405.18</v>
      </c>
      <c r="BA22" s="21">
        <f t="shared" si="15"/>
        <v>6.9308260741601929E-2</v>
      </c>
      <c r="BB22" s="22">
        <f t="shared" si="20"/>
        <v>5</v>
      </c>
      <c r="BC22" s="22">
        <f t="shared" ca="1" si="16"/>
        <v>309.56181818181818</v>
      </c>
      <c r="BE22" s="225">
        <f t="shared" ca="1" si="17"/>
        <v>3486.23</v>
      </c>
      <c r="BF22" s="21">
        <f t="shared" ca="1" si="18"/>
        <v>6.4979900630807108E-2</v>
      </c>
      <c r="BG22" s="22">
        <f t="shared" ca="1" si="21"/>
        <v>6</v>
      </c>
      <c r="BH22" s="22">
        <f t="shared" ca="1" si="19"/>
        <v>316.93</v>
      </c>
      <c r="BJ22" s="225">
        <f t="shared" ca="1" si="22"/>
        <v>81.049999999999841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363.35000000000008</v>
      </c>
      <c r="AZ23" s="152">
        <f t="shared" si="14"/>
        <v>1958.78</v>
      </c>
      <c r="BA23" s="21">
        <f t="shared" si="15"/>
        <v>3.9868563475480019E-2</v>
      </c>
      <c r="BB23" s="22">
        <f t="shared" si="20"/>
        <v>8</v>
      </c>
      <c r="BC23" s="22">
        <f t="shared" ca="1" si="16"/>
        <v>178.07090909090908</v>
      </c>
      <c r="BE23" s="224">
        <f t="shared" ca="1" si="17"/>
        <v>2095</v>
      </c>
      <c r="BF23" s="21">
        <f t="shared" ca="1" si="18"/>
        <v>3.9048740852307758E-2</v>
      </c>
      <c r="BG23" s="22">
        <f t="shared" ca="1" si="21"/>
        <v>9</v>
      </c>
      <c r="BH23" s="22">
        <f t="shared" ca="1" si="19"/>
        <v>190.45454545454547</v>
      </c>
      <c r="BJ23" s="224">
        <f t="shared" ca="1" si="22"/>
        <v>136.22000000000006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0</v>
      </c>
      <c r="AX24" s="156">
        <f t="shared" si="13"/>
        <v>402.97</v>
      </c>
      <c r="AZ24" s="157">
        <f t="shared" si="14"/>
        <v>1507.0300000000002</v>
      </c>
      <c r="BA24" s="21">
        <f t="shared" si="15"/>
        <v>3.0673746523066734E-2</v>
      </c>
      <c r="BB24" s="22">
        <f t="shared" si="20"/>
        <v>10</v>
      </c>
      <c r="BC24" s="22">
        <f t="shared" ca="1" si="16"/>
        <v>137.0027272727273</v>
      </c>
      <c r="BE24" s="225">
        <f t="shared" ca="1" si="17"/>
        <v>1760</v>
      </c>
      <c r="BF24" s="21">
        <f t="shared" ca="1" si="18"/>
        <v>3.2804670119361175E-2</v>
      </c>
      <c r="BG24" s="22">
        <f t="shared" ca="1" si="21"/>
        <v>11</v>
      </c>
      <c r="BH24" s="22">
        <f t="shared" ca="1" si="19"/>
        <v>160</v>
      </c>
      <c r="BJ24" s="225">
        <f t="shared" ca="1" si="22"/>
        <v>252.97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721.95</v>
      </c>
      <c r="AT25" s="151">
        <f t="shared" si="12"/>
        <v>4244.951597424496</v>
      </c>
      <c r="AU25" s="148" t="s">
        <v>84</v>
      </c>
      <c r="AV25" s="149">
        <f>'12'!B120</f>
        <v>457.47</v>
      </c>
      <c r="AW25" s="150">
        <f>SUM('12'!D120:F120)</f>
        <v>0</v>
      </c>
      <c r="AX25" s="151">
        <f t="shared" si="13"/>
        <v>4702.4215974244962</v>
      </c>
      <c r="AZ25" s="152">
        <f t="shared" si="14"/>
        <v>4059.7500000000009</v>
      </c>
      <c r="BA25" s="21">
        <f t="shared" si="15"/>
        <v>8.2631229933724071E-2</v>
      </c>
      <c r="BB25" s="22">
        <f t="shared" si="20"/>
        <v>4</v>
      </c>
      <c r="BC25" s="22">
        <f t="shared" ca="1" si="16"/>
        <v>369.06818181818193</v>
      </c>
      <c r="BE25" s="224">
        <f t="shared" ca="1" si="17"/>
        <v>5142.1515974244985</v>
      </c>
      <c r="BF25" s="21">
        <f t="shared" ca="1" si="18"/>
        <v>9.5844651623441343E-2</v>
      </c>
      <c r="BG25" s="22">
        <f t="shared" ca="1" si="21"/>
        <v>3</v>
      </c>
      <c r="BH25" s="22">
        <f t="shared" ca="1" si="19"/>
        <v>467.46832703859076</v>
      </c>
      <c r="BJ25" s="224">
        <f t="shared" ca="1" si="22"/>
        <v>1082.4015974244976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45.49</v>
      </c>
      <c r="AT26" s="156">
        <f t="shared" si="12"/>
        <v>-17.420000000000023</v>
      </c>
      <c r="AU26" s="143" t="s">
        <v>84</v>
      </c>
      <c r="AV26" s="155">
        <f>'12'!B140</f>
        <v>68</v>
      </c>
      <c r="AW26" s="155">
        <f>SUM('12'!D140:F140)</f>
        <v>0</v>
      </c>
      <c r="AX26" s="156">
        <f t="shared" si="13"/>
        <v>50.579999999999977</v>
      </c>
      <c r="AZ26" s="157">
        <f t="shared" si="14"/>
        <v>615.41000000000008</v>
      </c>
      <c r="BA26" s="21">
        <f t="shared" si="15"/>
        <v>1.2525915441471304E-2</v>
      </c>
      <c r="BB26" s="22">
        <f t="shared" si="20"/>
        <v>15</v>
      </c>
      <c r="BC26" s="22">
        <f t="shared" ca="1" si="16"/>
        <v>55.946363636363643</v>
      </c>
      <c r="BE26" s="225">
        <f t="shared" ca="1" si="17"/>
        <v>578.45000000000005</v>
      </c>
      <c r="BF26" s="21">
        <f t="shared" ca="1" si="18"/>
        <v>1.0781739449172996E-2</v>
      </c>
      <c r="BG26" s="22">
        <f t="shared" ca="1" si="21"/>
        <v>17</v>
      </c>
      <c r="BH26" s="22">
        <f t="shared" ca="1" si="19"/>
        <v>52.586363636363643</v>
      </c>
      <c r="BJ26" s="225">
        <f t="shared" ca="1" si="22"/>
        <v>-36.959999999999972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8.4476299456106487E-3</v>
      </c>
      <c r="BB27" s="22">
        <f t="shared" si="20"/>
        <v>18</v>
      </c>
      <c r="BC27" s="22">
        <f t="shared" ca="1" si="16"/>
        <v>37.730909090909087</v>
      </c>
      <c r="BE27" s="224">
        <f t="shared" ca="1" si="17"/>
        <v>490</v>
      </c>
      <c r="BF27" s="21">
        <f t="shared" ca="1" si="18"/>
        <v>9.1331183855039629E-3</v>
      </c>
      <c r="BG27" s="22">
        <f t="shared" ca="1" si="21"/>
        <v>19</v>
      </c>
      <c r="BH27" s="22">
        <f t="shared" ca="1" si="19"/>
        <v>44.545454545454547</v>
      </c>
      <c r="BJ27" s="224">
        <f t="shared" ca="1" si="22"/>
        <v>74.960000000000036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6.9204660037035737E-2</v>
      </c>
      <c r="BB28" s="22">
        <f t="shared" si="20"/>
        <v>6</v>
      </c>
      <c r="BC28" s="22">
        <f t="shared" ca="1" si="16"/>
        <v>309.09909090909093</v>
      </c>
      <c r="BE28" s="223">
        <f t="shared" ca="1" si="17"/>
        <v>3880.04</v>
      </c>
      <c r="BF28" s="21">
        <f t="shared" ca="1" si="18"/>
        <v>7.2320131960185302E-2</v>
      </c>
      <c r="BG28" s="22">
        <f t="shared" ca="1" si="21"/>
        <v>5</v>
      </c>
      <c r="BH28" s="22">
        <f t="shared" ca="1" si="19"/>
        <v>352.73090909090911</v>
      </c>
      <c r="BJ28" s="223">
        <f t="shared" ca="1" si="22"/>
        <v>479.95000000000016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105</v>
      </c>
      <c r="AW29" s="150">
        <f>SUM('12'!D200:F200)</f>
        <v>0</v>
      </c>
      <c r="AX29" s="160">
        <f t="shared" si="13"/>
        <v>47.049999999999983</v>
      </c>
      <c r="AZ29" s="152">
        <f t="shared" si="23"/>
        <v>1021.9399999999999</v>
      </c>
      <c r="BA29" s="21">
        <f t="shared" si="15"/>
        <v>2.0800334778858294E-2</v>
      </c>
      <c r="BB29" s="22">
        <f t="shared" si="20"/>
        <v>13</v>
      </c>
      <c r="BC29" s="22">
        <f t="shared" ca="1" si="16"/>
        <v>92.903636363636352</v>
      </c>
      <c r="BE29" s="224">
        <f t="shared" ca="1" si="17"/>
        <v>1010.6600000000001</v>
      </c>
      <c r="BF29" s="21">
        <f t="shared" ca="1" si="18"/>
        <v>1.8837709035700891E-2</v>
      </c>
      <c r="BG29" s="22">
        <f t="shared" ca="1" si="21"/>
        <v>14</v>
      </c>
      <c r="BH29" s="22">
        <f t="shared" ca="1" si="19"/>
        <v>91.878181818181829</v>
      </c>
      <c r="BJ29" s="224">
        <f t="shared" ca="1" si="22"/>
        <v>-11.280000000000086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166.91999999999996</v>
      </c>
      <c r="AZ30" s="157">
        <f t="shared" si="23"/>
        <v>266.25</v>
      </c>
      <c r="BA30" s="21">
        <f t="shared" si="15"/>
        <v>5.4191920610515499E-3</v>
      </c>
      <c r="BB30" s="22">
        <f t="shared" si="20"/>
        <v>19</v>
      </c>
      <c r="BC30" s="22">
        <f t="shared" ca="1" si="16"/>
        <v>24.204545454545453</v>
      </c>
      <c r="BE30" s="225">
        <f t="shared" ca="1" si="17"/>
        <v>425</v>
      </c>
      <c r="BF30" s="21">
        <f t="shared" ca="1" si="18"/>
        <v>7.9215822731411919E-3</v>
      </c>
      <c r="BG30" s="22">
        <f t="shared" ca="1" si="21"/>
        <v>20</v>
      </c>
      <c r="BH30" s="22">
        <f t="shared" ca="1" si="19"/>
        <v>38.636363636363633</v>
      </c>
      <c r="BJ30" s="225">
        <f t="shared" ca="1" si="22"/>
        <v>158.75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20.98</v>
      </c>
      <c r="AT31" s="160">
        <f t="shared" si="12"/>
        <v>54.759999999999962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74.759999999999962</v>
      </c>
      <c r="AZ31" s="152">
        <f t="shared" si="23"/>
        <v>241.27999999999994</v>
      </c>
      <c r="BA31" s="21">
        <f t="shared" si="15"/>
        <v>4.9109583492601598E-3</v>
      </c>
      <c r="BB31" s="22">
        <f t="shared" si="20"/>
        <v>20</v>
      </c>
      <c r="BC31" s="22">
        <f t="shared" ca="1" si="16"/>
        <v>21.93454545454545</v>
      </c>
      <c r="BE31" s="224">
        <f t="shared" ca="1" si="17"/>
        <v>220</v>
      </c>
      <c r="BF31" s="21">
        <f t="shared" ca="1" si="18"/>
        <v>4.1005837649201468E-3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-21.280000000000044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492.57999999999976</v>
      </c>
      <c r="AU32" s="143" t="s">
        <v>84</v>
      </c>
      <c r="AV32" s="155">
        <f>'12'!B260</f>
        <v>250</v>
      </c>
      <c r="AW32" s="155">
        <f>SUM('12'!D260:F260)</f>
        <v>0</v>
      </c>
      <c r="AX32" s="161">
        <f t="shared" si="13"/>
        <v>742.5799999999997</v>
      </c>
      <c r="AZ32" s="157">
        <f t="shared" si="23"/>
        <v>1825.5000000000002</v>
      </c>
      <c r="BA32" s="21">
        <f t="shared" si="15"/>
        <v>3.7155812610139366E-2</v>
      </c>
      <c r="BB32" s="22">
        <f t="shared" si="20"/>
        <v>9</v>
      </c>
      <c r="BC32" s="22">
        <f t="shared" ca="1" si="16"/>
        <v>165.95454545454547</v>
      </c>
      <c r="BE32" s="225">
        <f t="shared" ca="1" si="17"/>
        <v>2332.33</v>
      </c>
      <c r="BF32" s="21">
        <f t="shared" ca="1" si="18"/>
        <v>4.3472338783800933E-2</v>
      </c>
      <c r="BG32" s="22">
        <f t="shared" ca="1" si="21"/>
        <v>7</v>
      </c>
      <c r="BH32" s="22">
        <f t="shared" ca="1" si="19"/>
        <v>212.03</v>
      </c>
      <c r="BJ32" s="225">
        <f t="shared" ca="1" si="22"/>
        <v>506.8299999999997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0</v>
      </c>
      <c r="AX33" s="160">
        <f t="shared" si="13"/>
        <v>608.09000000000026</v>
      </c>
      <c r="AZ33" s="152">
        <f t="shared" si="23"/>
        <v>4483.8500000000004</v>
      </c>
      <c r="BA33" s="21">
        <f t="shared" si="15"/>
        <v>9.126326506270796E-2</v>
      </c>
      <c r="BB33" s="22">
        <f t="shared" si="20"/>
        <v>3</v>
      </c>
      <c r="BC33" s="22">
        <f t="shared" ca="1" si="16"/>
        <v>407.62272727272733</v>
      </c>
      <c r="BE33" s="224">
        <f t="shared" ca="1" si="17"/>
        <v>4631.9400000000005</v>
      </c>
      <c r="BF33" s="21">
        <f t="shared" ca="1" si="18"/>
        <v>8.6334808927655576E-2</v>
      </c>
      <c r="BG33" s="22">
        <f t="shared" ca="1" si="21"/>
        <v>4</v>
      </c>
      <c r="BH33" s="22">
        <f t="shared" ca="1" si="19"/>
        <v>421.08545454545458</v>
      </c>
      <c r="BJ33" s="224">
        <f t="shared" ca="1" si="22"/>
        <v>148.09000000000026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95</v>
      </c>
      <c r="AW34" s="155">
        <f>SUM('12'!D300:F300)</f>
        <v>0</v>
      </c>
      <c r="AX34" s="161">
        <f t="shared" si="13"/>
        <v>313.45999999999981</v>
      </c>
      <c r="AZ34" s="152">
        <f t="shared" si="23"/>
        <v>1297.5500000000002</v>
      </c>
      <c r="BA34" s="21">
        <f t="shared" si="15"/>
        <v>2.641003815518287E-2</v>
      </c>
      <c r="BB34" s="22">
        <f t="shared" si="20"/>
        <v>11</v>
      </c>
      <c r="BC34" s="22">
        <f t="shared" ca="1" si="16"/>
        <v>117.95909090909093</v>
      </c>
      <c r="BE34" s="225">
        <f t="shared" ca="1" si="17"/>
        <v>1414.4099999999999</v>
      </c>
      <c r="BF34" s="21">
        <f t="shared" ca="1" si="18"/>
        <v>2.6363212195185018E-2</v>
      </c>
      <c r="BG34" s="22">
        <f t="shared" ca="1" si="21"/>
        <v>12</v>
      </c>
      <c r="BH34" s="22">
        <f t="shared" ca="1" si="19"/>
        <v>128.58272727272725</v>
      </c>
      <c r="BJ34" s="225">
        <f t="shared" ca="1" si="22"/>
        <v>116.8599999999999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523.02</v>
      </c>
      <c r="AS35" s="186">
        <f>SUM('11'!D320:F320)</f>
        <v>469.05</v>
      </c>
      <c r="AT35" s="187">
        <f t="shared" si="12"/>
        <v>1486.5600000000004</v>
      </c>
      <c r="AU35" s="185" t="s">
        <v>84</v>
      </c>
      <c r="AV35" s="186">
        <f>'12'!B320</f>
        <v>130</v>
      </c>
      <c r="AW35" s="186">
        <f>SUM('12'!D320:F320)</f>
        <v>0</v>
      </c>
      <c r="AX35" s="187">
        <f t="shared" si="13"/>
        <v>1616.5600000000004</v>
      </c>
      <c r="AZ35" s="188">
        <f t="shared" si="23"/>
        <v>2252.5700000000002</v>
      </c>
      <c r="BA35" s="21">
        <f t="shared" si="15"/>
        <v>4.5848298444931046E-2</v>
      </c>
      <c r="BB35" s="22">
        <f t="shared" si="20"/>
        <v>7</v>
      </c>
      <c r="BC35" s="22">
        <f t="shared" ca="1" si="16"/>
        <v>204.77909090909091</v>
      </c>
      <c r="BE35" s="224">
        <f t="shared" ca="1" si="17"/>
        <v>2249.5299999999997</v>
      </c>
      <c r="BF35" s="21">
        <f t="shared" ca="1" si="18"/>
        <v>4.192902816682189E-2</v>
      </c>
      <c r="BG35" s="22">
        <f t="shared" ca="1" si="21"/>
        <v>8</v>
      </c>
      <c r="BH35" s="22">
        <f t="shared" ca="1" si="19"/>
        <v>204.50272727272724</v>
      </c>
      <c r="BJ35" s="224">
        <f t="shared" ca="1" si="22"/>
        <v>-3.0399999999999636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2.5940273074360067E-2</v>
      </c>
      <c r="BB36" s="22">
        <f t="shared" si="20"/>
        <v>12</v>
      </c>
      <c r="BC36" s="22">
        <f t="shared" ca="1" si="16"/>
        <v>115.86090909090908</v>
      </c>
      <c r="BE36" s="223">
        <f t="shared" ca="1" si="17"/>
        <v>2078.9700000000003</v>
      </c>
      <c r="BF36" s="21">
        <f t="shared" ca="1" si="18"/>
        <v>3.874995740798199E-2</v>
      </c>
      <c r="BG36" s="22">
        <f t="shared" ca="1" si="21"/>
        <v>10</v>
      </c>
      <c r="BH36" s="22">
        <f t="shared" ca="1" si="19"/>
        <v>188.99727272727276</v>
      </c>
      <c r="BJ36" s="223">
        <f t="shared" ca="1" si="22"/>
        <v>804.5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1.0114807491979596E-2</v>
      </c>
      <c r="BB37" s="22">
        <f t="shared" si="20"/>
        <v>17</v>
      </c>
      <c r="BC37" s="22">
        <f t="shared" ca="1" si="16"/>
        <v>45.177272727272729</v>
      </c>
      <c r="BE37" s="224">
        <f t="shared" ca="1" si="17"/>
        <v>569.29999999999995</v>
      </c>
      <c r="BF37" s="21">
        <f t="shared" ca="1" si="18"/>
        <v>1.0611192442586542E-2</v>
      </c>
      <c r="BG37" s="22">
        <f t="shared" ca="1" si="21"/>
        <v>18</v>
      </c>
      <c r="BH37" s="22">
        <f t="shared" ca="1" si="19"/>
        <v>51.75454545454545</v>
      </c>
      <c r="BJ37" s="224">
        <f t="shared" ca="1" si="22"/>
        <v>72.350000000000023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86.53</v>
      </c>
      <c r="AT38" s="156">
        <f t="shared" si="12"/>
        <v>144.70000000000007</v>
      </c>
      <c r="AU38" s="143" t="s">
        <v>84</v>
      </c>
      <c r="AV38" s="166">
        <f>'12'!B380</f>
        <v>60</v>
      </c>
      <c r="AW38" s="166">
        <f>SUM('12'!D380:F380)</f>
        <v>0</v>
      </c>
      <c r="AX38" s="156">
        <f t="shared" si="13"/>
        <v>204.70000000000007</v>
      </c>
      <c r="AZ38" s="157">
        <f t="shared" si="23"/>
        <v>679.5</v>
      </c>
      <c r="BA38" s="21">
        <f t="shared" si="15"/>
        <v>1.3830388752993533E-2</v>
      </c>
      <c r="BB38" s="22">
        <f t="shared" si="20"/>
        <v>14</v>
      </c>
      <c r="BC38" s="22">
        <f t="shared" ca="1" si="16"/>
        <v>61.772727272727273</v>
      </c>
      <c r="BE38" s="225">
        <f t="shared" ca="1" si="17"/>
        <v>785</v>
      </c>
      <c r="BF38" s="21">
        <f t="shared" ca="1" si="18"/>
        <v>1.4631628433919614E-2</v>
      </c>
      <c r="BG38" s="22">
        <f t="shared" ca="1" si="21"/>
        <v>16</v>
      </c>
      <c r="BH38" s="22">
        <f t="shared" ca="1" si="19"/>
        <v>71.36363636363636</v>
      </c>
      <c r="BJ38" s="225">
        <f t="shared" ca="1" si="22"/>
        <v>105.50000000000004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5.485104643285256E-3</v>
      </c>
      <c r="BG39" s="22">
        <f t="shared" ca="1" si="21"/>
        <v>21</v>
      </c>
      <c r="BH39" s="22">
        <f t="shared" ca="1" si="19"/>
        <v>26.752798907362749</v>
      </c>
      <c r="BJ39" s="224">
        <f t="shared" ca="1" si="22"/>
        <v>294.28078798099023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0</v>
      </c>
      <c r="AX40" s="156">
        <f t="shared" si="13"/>
        <v>1523.3061040380198</v>
      </c>
      <c r="AZ40" s="157">
        <f t="shared" si="23"/>
        <v>172.78000000000003</v>
      </c>
      <c r="BA40" s="21">
        <f t="shared" si="15"/>
        <v>3.5167248988112183E-3</v>
      </c>
      <c r="BB40" s="22">
        <f t="shared" si="20"/>
        <v>22</v>
      </c>
      <c r="BC40" s="22">
        <f t="shared" ca="1" si="16"/>
        <v>15.707272727272731</v>
      </c>
      <c r="BE40" s="225">
        <f t="shared" ca="1" si="17"/>
        <v>841.57610403801925</v>
      </c>
      <c r="BF40" s="21">
        <f t="shared" ca="1" si="18"/>
        <v>1.5686151405286591E-2</v>
      </c>
      <c r="BG40" s="22">
        <f t="shared" ca="1" si="21"/>
        <v>15</v>
      </c>
      <c r="BH40" s="22">
        <f t="shared" ca="1" si="19"/>
        <v>76.506918548910846</v>
      </c>
      <c r="BJ40" s="225">
        <f t="shared" ca="1" si="22"/>
        <v>668.79610403801939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-363.34000000000015</v>
      </c>
      <c r="AS41" s="165">
        <f>SUM('11'!D440:F440)</f>
        <v>0</v>
      </c>
      <c r="AT41" s="151">
        <f t="shared" si="12"/>
        <v>7764.0400000000018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3864.0400000000018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-785.95999999999674</v>
      </c>
      <c r="BF41" s="21">
        <f t="shared" ca="1" si="18"/>
        <v>-1.4649521890348296E-2</v>
      </c>
      <c r="BG41" s="22">
        <f t="shared" ca="1" si="21"/>
        <v>26</v>
      </c>
      <c r="BH41" s="22">
        <f t="shared" ca="1" si="19"/>
        <v>-71.450909090908794</v>
      </c>
      <c r="BJ41" s="224">
        <f t="shared" ca="1" si="22"/>
        <v>-785.9599999999964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3.690525388428166E-5</v>
      </c>
      <c r="BG42" s="22">
        <f t="shared" ca="1" si="21"/>
        <v>24</v>
      </c>
      <c r="BH42" s="22">
        <f t="shared" ca="1" si="19"/>
        <v>0.18000000000000166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1.0176886499627323E-2</v>
      </c>
      <c r="BB43" s="22">
        <f t="shared" si="20"/>
        <v>16</v>
      </c>
      <c r="BC43" s="22">
        <f t="shared" ca="1" si="16"/>
        <v>45.454545454545453</v>
      </c>
      <c r="BE43" s="224">
        <f t="shared" ca="1" si="17"/>
        <v>1047.4891905564923</v>
      </c>
      <c r="BF43" s="21">
        <f t="shared" ca="1" si="18"/>
        <v>1.9524168948751357E-2</v>
      </c>
      <c r="BG43" s="22">
        <f t="shared" ca="1" si="21"/>
        <v>13</v>
      </c>
      <c r="BH43" s="22">
        <f t="shared" ca="1" si="19"/>
        <v>95.226290050590208</v>
      </c>
      <c r="BJ43" s="224">
        <f t="shared" ca="1" si="22"/>
        <v>547.4891905564923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3.7652444671321173E-3</v>
      </c>
      <c r="BB45" s="22">
        <f t="shared" si="20"/>
        <v>21</v>
      </c>
      <c r="BC45" s="22">
        <f t="shared" ca="1" si="16"/>
        <v>16.817272727272726</v>
      </c>
      <c r="BE45" s="226">
        <f t="shared" ca="1" si="17"/>
        <v>20</v>
      </c>
      <c r="BF45" s="21">
        <f t="shared" ca="1" si="18"/>
        <v>3.7278034226546789E-4</v>
      </c>
      <c r="BG45" s="22">
        <f t="shared" ca="1" si="21"/>
        <v>23</v>
      </c>
      <c r="BH45" s="22">
        <f t="shared" ca="1" si="19"/>
        <v>1.8181818181818181</v>
      </c>
      <c r="BJ45" s="226">
        <f t="shared" ca="1" si="22"/>
        <v>-164.99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4500.3999999999996</v>
      </c>
      <c r="AS46" s="219">
        <f>SUM(AS20:AS45)</f>
        <v>3700.28</v>
      </c>
      <c r="AT46" s="220">
        <f>SUM(AT20:AT45)</f>
        <v>30903.497679999997</v>
      </c>
      <c r="AU46" s="218"/>
      <c r="AV46" s="219">
        <f>SUM(AV20:AV45)</f>
        <v>-3.4106051316484809E-13</v>
      </c>
      <c r="AW46" s="219">
        <f>SUM(AW20:AW45)</f>
        <v>0</v>
      </c>
      <c r="AX46" s="220">
        <f>SUM(AX20:AX45)</f>
        <v>30903.49768</v>
      </c>
      <c r="AZ46" s="227">
        <f>SUM(AZ20:AZ45)</f>
        <v>49130.939999999995</v>
      </c>
      <c r="BA46" s="1"/>
      <c r="BB46" s="1"/>
      <c r="BC46" s="124">
        <f ca="1">SUM(BC20:BC45)</f>
        <v>4466.449090909091</v>
      </c>
      <c r="BE46" s="227">
        <f ca="1">SUM(BE20:BE45)</f>
        <v>53650.897680000009</v>
      </c>
      <c r="BF46" s="1"/>
      <c r="BG46" s="1"/>
      <c r="BH46" s="124">
        <f ca="1">SUM(BH20:BH45)</f>
        <v>4877.3543345454555</v>
      </c>
      <c r="BJ46" s="227">
        <f ca="1">SUM(BJ20:BJ45)</f>
        <v>4519.9576800000032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0</v>
      </c>
      <c r="AS47" s="125">
        <f>AQ17-AS46</f>
        <v>800.12000000000035</v>
      </c>
      <c r="AT47" s="140"/>
      <c r="AU47" s="125">
        <f>AU5-AT46</f>
        <v>-800.11767999999211</v>
      </c>
      <c r="AV47" s="125">
        <f>AU17-AV46</f>
        <v>3.4106051316484809E-13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53597.389090909091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450.65</v>
      </c>
      <c r="AT50" s="119" t="s">
        <v>913</v>
      </c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6" t="s">
        <v>149</v>
      </c>
      <c r="D52" s="347"/>
      <c r="E52" s="347"/>
      <c r="F52" s="348"/>
      <c r="G52" s="346" t="s">
        <v>149</v>
      </c>
      <c r="H52" s="347"/>
      <c r="I52" s="347"/>
      <c r="J52" s="348"/>
      <c r="K52" s="346" t="s">
        <v>149</v>
      </c>
      <c r="L52" s="347"/>
      <c r="M52" s="347"/>
      <c r="N52" s="348"/>
      <c r="O52" s="346" t="s">
        <v>149</v>
      </c>
      <c r="P52" s="347"/>
      <c r="Q52" s="347"/>
      <c r="R52" s="348"/>
      <c r="S52" s="346" t="s">
        <v>149</v>
      </c>
      <c r="T52" s="347"/>
      <c r="U52" s="347"/>
      <c r="V52" s="348"/>
      <c r="W52" s="346" t="s">
        <v>149</v>
      </c>
      <c r="X52" s="347"/>
      <c r="Y52" s="347"/>
      <c r="Z52" s="348"/>
      <c r="AA52" s="346" t="s">
        <v>149</v>
      </c>
      <c r="AB52" s="347"/>
      <c r="AC52" s="347"/>
      <c r="AD52" s="348"/>
      <c r="AE52" s="346" t="s">
        <v>149</v>
      </c>
      <c r="AF52" s="347"/>
      <c r="AG52" s="347"/>
      <c r="AH52" s="348"/>
      <c r="AI52" s="346" t="s">
        <v>149</v>
      </c>
      <c r="AJ52" s="347"/>
      <c r="AK52" s="347"/>
      <c r="AL52" s="348"/>
      <c r="AM52" s="346" t="s">
        <v>149</v>
      </c>
      <c r="AN52" s="347"/>
      <c r="AO52" s="347"/>
      <c r="AP52" s="348"/>
      <c r="AQ52" s="346" t="s">
        <v>149</v>
      </c>
      <c r="AR52" s="347"/>
      <c r="AS52" s="347"/>
      <c r="AT52" s="348"/>
      <c r="AU52" s="346" t="s">
        <v>149</v>
      </c>
      <c r="AV52" s="347"/>
      <c r="AW52" s="347"/>
      <c r="AX52" s="348"/>
    </row>
    <row r="53" spans="1:62" ht="15.75" thickBot="1">
      <c r="C53" s="93" t="s">
        <v>150</v>
      </c>
      <c r="D53" s="349" t="s">
        <v>31</v>
      </c>
      <c r="E53" s="350"/>
      <c r="F53" s="94" t="s">
        <v>88</v>
      </c>
      <c r="G53" s="93" t="s">
        <v>150</v>
      </c>
      <c r="H53" s="349" t="s">
        <v>31</v>
      </c>
      <c r="I53" s="350"/>
      <c r="J53" s="94" t="s">
        <v>88</v>
      </c>
      <c r="K53" s="93" t="s">
        <v>150</v>
      </c>
      <c r="L53" s="349" t="s">
        <v>31</v>
      </c>
      <c r="M53" s="350"/>
      <c r="N53" s="94" t="s">
        <v>88</v>
      </c>
      <c r="O53" s="93" t="s">
        <v>150</v>
      </c>
      <c r="P53" s="349" t="s">
        <v>31</v>
      </c>
      <c r="Q53" s="350"/>
      <c r="R53" s="94" t="s">
        <v>88</v>
      </c>
      <c r="S53" s="93" t="s">
        <v>150</v>
      </c>
      <c r="T53" s="349" t="s">
        <v>31</v>
      </c>
      <c r="U53" s="350"/>
      <c r="V53" s="94" t="s">
        <v>88</v>
      </c>
      <c r="W53" s="93" t="s">
        <v>150</v>
      </c>
      <c r="X53" s="349" t="s">
        <v>31</v>
      </c>
      <c r="Y53" s="350"/>
      <c r="Z53" s="94" t="s">
        <v>88</v>
      </c>
      <c r="AA53" s="93" t="s">
        <v>150</v>
      </c>
      <c r="AB53" s="349" t="s">
        <v>31</v>
      </c>
      <c r="AC53" s="350"/>
      <c r="AD53" s="94" t="s">
        <v>88</v>
      </c>
      <c r="AE53" s="93" t="s">
        <v>150</v>
      </c>
      <c r="AF53" s="349" t="s">
        <v>31</v>
      </c>
      <c r="AG53" s="350"/>
      <c r="AH53" s="94" t="s">
        <v>88</v>
      </c>
      <c r="AI53" s="93" t="s">
        <v>150</v>
      </c>
      <c r="AJ53" s="349" t="s">
        <v>31</v>
      </c>
      <c r="AK53" s="350"/>
      <c r="AL53" s="94" t="s">
        <v>88</v>
      </c>
      <c r="AM53" s="93" t="s">
        <v>150</v>
      </c>
      <c r="AN53" s="349" t="s">
        <v>31</v>
      </c>
      <c r="AO53" s="350"/>
      <c r="AP53" s="94" t="s">
        <v>88</v>
      </c>
      <c r="AQ53" s="93" t="s">
        <v>150</v>
      </c>
      <c r="AR53" s="349" t="s">
        <v>31</v>
      </c>
      <c r="AS53" s="350"/>
      <c r="AT53" s="94" t="s">
        <v>88</v>
      </c>
      <c r="AU53" s="93" t="s">
        <v>150</v>
      </c>
      <c r="AV53" s="349" t="s">
        <v>31</v>
      </c>
      <c r="AW53" s="350"/>
      <c r="AX53" s="94" t="s">
        <v>88</v>
      </c>
    </row>
    <row r="54" spans="1:62">
      <c r="C54" s="95">
        <v>43495</v>
      </c>
      <c r="D54" s="351" t="s">
        <v>234</v>
      </c>
      <c r="E54" s="352"/>
      <c r="F54" s="98"/>
      <c r="G54" s="95">
        <v>43497</v>
      </c>
      <c r="H54" s="351" t="s">
        <v>269</v>
      </c>
      <c r="I54" s="352"/>
      <c r="J54" s="100">
        <v>500</v>
      </c>
      <c r="K54" s="95">
        <v>43539</v>
      </c>
      <c r="L54" s="367" t="s">
        <v>256</v>
      </c>
      <c r="M54" s="368"/>
      <c r="N54" s="100">
        <v>70</v>
      </c>
      <c r="O54" s="95"/>
      <c r="P54" s="369"/>
      <c r="Q54" s="370"/>
      <c r="R54" s="102"/>
      <c r="S54" s="95">
        <v>43594</v>
      </c>
      <c r="T54" s="367" t="s">
        <v>242</v>
      </c>
      <c r="U54" s="368"/>
      <c r="V54" s="103"/>
      <c r="W54" s="95">
        <v>43624</v>
      </c>
      <c r="X54" s="367" t="s">
        <v>153</v>
      </c>
      <c r="Y54" s="368"/>
      <c r="Z54" s="104">
        <v>10</v>
      </c>
      <c r="AA54" s="95"/>
      <c r="AB54" s="357" t="s">
        <v>475</v>
      </c>
      <c r="AC54" s="358"/>
      <c r="AD54" s="239">
        <v>15</v>
      </c>
      <c r="AE54" s="95"/>
      <c r="AF54" s="357" t="s">
        <v>475</v>
      </c>
      <c r="AG54" s="358"/>
      <c r="AH54" s="239">
        <v>14</v>
      </c>
      <c r="AI54" s="95"/>
      <c r="AJ54" s="357" t="s">
        <v>475</v>
      </c>
      <c r="AK54" s="358"/>
      <c r="AL54" s="239">
        <v>15</v>
      </c>
      <c r="AM54" s="95"/>
      <c r="AN54" s="357" t="s">
        <v>475</v>
      </c>
      <c r="AO54" s="358"/>
      <c r="AP54" s="239">
        <v>11</v>
      </c>
      <c r="AQ54" s="95"/>
      <c r="AR54" s="357" t="s">
        <v>475</v>
      </c>
      <c r="AS54" s="358"/>
      <c r="AT54" s="239">
        <v>7</v>
      </c>
      <c r="AU54" s="95"/>
      <c r="AV54" s="351"/>
      <c r="AW54" s="352"/>
      <c r="AX54" s="100"/>
    </row>
    <row r="55" spans="1:62">
      <c r="C55" s="96"/>
      <c r="D55" s="342" t="s">
        <v>235</v>
      </c>
      <c r="E55" s="343"/>
      <c r="F55" s="98">
        <v>121.4</v>
      </c>
      <c r="G55" s="96">
        <v>43516</v>
      </c>
      <c r="H55" s="342" t="s">
        <v>310</v>
      </c>
      <c r="I55" s="343"/>
      <c r="J55" s="100"/>
      <c r="K55" s="96">
        <v>43553</v>
      </c>
      <c r="L55" s="342" t="s">
        <v>296</v>
      </c>
      <c r="M55" s="343"/>
      <c r="N55" s="100">
        <v>4421.9399999999996</v>
      </c>
      <c r="O55" s="96">
        <v>43565</v>
      </c>
      <c r="P55" s="342" t="s">
        <v>322</v>
      </c>
      <c r="Q55" s="343"/>
      <c r="R55" s="100">
        <v>10</v>
      </c>
      <c r="S55" s="96">
        <v>43607</v>
      </c>
      <c r="T55" s="342" t="s">
        <v>310</v>
      </c>
      <c r="U55" s="343"/>
      <c r="V55" s="100"/>
      <c r="W55" s="96">
        <v>43637</v>
      </c>
      <c r="X55" s="342" t="s">
        <v>151</v>
      </c>
      <c r="Y55" s="343"/>
      <c r="Z55" s="100">
        <v>10</v>
      </c>
      <c r="AA55" s="96">
        <v>43666</v>
      </c>
      <c r="AB55" s="342" t="s">
        <v>234</v>
      </c>
      <c r="AC55" s="343"/>
      <c r="AD55" s="100"/>
      <c r="AE55" s="96">
        <v>43682</v>
      </c>
      <c r="AF55" s="342" t="s">
        <v>322</v>
      </c>
      <c r="AG55" s="343"/>
      <c r="AH55" s="100">
        <v>10</v>
      </c>
      <c r="AI55" s="96">
        <v>43711</v>
      </c>
      <c r="AJ55" s="342" t="s">
        <v>322</v>
      </c>
      <c r="AK55" s="343"/>
      <c r="AL55" s="100" t="s">
        <v>779</v>
      </c>
      <c r="AM55" s="96">
        <v>43740</v>
      </c>
      <c r="AN55" s="359" t="s">
        <v>153</v>
      </c>
      <c r="AO55" s="360"/>
      <c r="AP55" s="100">
        <v>10</v>
      </c>
      <c r="AQ55" s="96">
        <v>43798</v>
      </c>
      <c r="AR55" s="342" t="s">
        <v>153</v>
      </c>
      <c r="AS55" s="343"/>
      <c r="AT55" s="100">
        <v>10</v>
      </c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151</v>
      </c>
      <c r="E56" s="343"/>
      <c r="F56" s="98">
        <v>15</v>
      </c>
      <c r="G56" s="96">
        <v>43507</v>
      </c>
      <c r="H56" s="342" t="s">
        <v>322</v>
      </c>
      <c r="I56" s="343"/>
      <c r="J56" s="100">
        <v>10</v>
      </c>
      <c r="K56" s="96">
        <v>43529</v>
      </c>
      <c r="L56" s="342" t="s">
        <v>324</v>
      </c>
      <c r="M56" s="343"/>
      <c r="N56" s="100">
        <v>3362.6</v>
      </c>
      <c r="O56" s="96">
        <v>43576</v>
      </c>
      <c r="P56" s="357" t="s">
        <v>234</v>
      </c>
      <c r="Q56" s="358"/>
      <c r="R56" s="102"/>
      <c r="S56" s="96">
        <v>43615</v>
      </c>
      <c r="T56" s="342" t="s">
        <v>234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>
        <v>43703</v>
      </c>
      <c r="AF56" s="342" t="s">
        <v>151</v>
      </c>
      <c r="AG56" s="343"/>
      <c r="AH56" s="100">
        <v>10</v>
      </c>
      <c r="AI56" s="96">
        <v>43498</v>
      </c>
      <c r="AJ56" s="359" t="s">
        <v>234</v>
      </c>
      <c r="AK56" s="360"/>
      <c r="AL56" s="100"/>
      <c r="AM56" s="96">
        <v>43769</v>
      </c>
      <c r="AN56" s="359" t="s">
        <v>153</v>
      </c>
      <c r="AO56" s="360"/>
      <c r="AP56" s="100" t="s">
        <v>779</v>
      </c>
      <c r="AQ56" s="96">
        <v>43791</v>
      </c>
      <c r="AR56" s="342" t="s">
        <v>933</v>
      </c>
      <c r="AS56" s="343"/>
      <c r="AT56" s="100">
        <v>10</v>
      </c>
      <c r="AU56" s="96"/>
      <c r="AV56" s="342"/>
      <c r="AW56" s="343"/>
      <c r="AX56" s="100"/>
    </row>
    <row r="57" spans="1:62">
      <c r="C57" s="96">
        <v>43476</v>
      </c>
      <c r="D57" s="342" t="s">
        <v>153</v>
      </c>
      <c r="E57" s="343"/>
      <c r="F57" s="98">
        <v>10</v>
      </c>
      <c r="G57" s="96">
        <v>43516</v>
      </c>
      <c r="H57" s="342" t="s">
        <v>351</v>
      </c>
      <c r="I57" s="343"/>
      <c r="J57" s="100"/>
      <c r="K57" s="96">
        <v>43533</v>
      </c>
      <c r="L57" s="342" t="s">
        <v>234</v>
      </c>
      <c r="M57" s="343"/>
      <c r="N57" s="100"/>
      <c r="O57" s="96">
        <v>43578</v>
      </c>
      <c r="P57" s="371" t="s">
        <v>388</v>
      </c>
      <c r="Q57" s="372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65"/>
      <c r="AC57" s="366"/>
      <c r="AD57" s="100"/>
      <c r="AE57" s="96"/>
      <c r="AF57" s="342"/>
      <c r="AG57" s="343"/>
      <c r="AH57" s="100"/>
      <c r="AI57" s="96">
        <v>43733</v>
      </c>
      <c r="AJ57" s="359" t="s">
        <v>151</v>
      </c>
      <c r="AK57" s="360"/>
      <c r="AL57" s="100">
        <v>10</v>
      </c>
      <c r="AM57" s="96">
        <v>43762</v>
      </c>
      <c r="AN57" s="359" t="s">
        <v>151</v>
      </c>
      <c r="AO57" s="360"/>
      <c r="AP57" s="100" t="s">
        <v>779</v>
      </c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242</v>
      </c>
      <c r="E58" s="343"/>
      <c r="F58" s="98"/>
      <c r="G58" s="96"/>
      <c r="H58" s="342"/>
      <c r="I58" s="343"/>
      <c r="J58" s="100"/>
      <c r="K58" s="96">
        <v>43536</v>
      </c>
      <c r="L58" s="342" t="s">
        <v>242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65"/>
      <c r="AC58" s="366"/>
      <c r="AD58" s="100"/>
      <c r="AE58" s="96"/>
      <c r="AF58" s="342"/>
      <c r="AG58" s="343"/>
      <c r="AH58" s="100"/>
      <c r="AI58" s="96"/>
      <c r="AJ58" s="353"/>
      <c r="AK58" s="354"/>
      <c r="AL58" s="100"/>
      <c r="AM58" s="96">
        <v>43749</v>
      </c>
      <c r="AN58" s="359" t="s">
        <v>234</v>
      </c>
      <c r="AO58" s="360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270</v>
      </c>
      <c r="E59" s="343"/>
      <c r="F59" s="98">
        <v>50</v>
      </c>
      <c r="G59" s="96"/>
      <c r="H59" s="342"/>
      <c r="I59" s="343"/>
      <c r="J59" s="100"/>
      <c r="K59" s="96"/>
      <c r="L59" s="342" t="s">
        <v>384</v>
      </c>
      <c r="M59" s="343"/>
      <c r="N59" s="100">
        <f>3.1+10.5</f>
        <v>13.6</v>
      </c>
      <c r="O59" s="96"/>
      <c r="P59" s="342"/>
      <c r="Q59" s="343"/>
      <c r="R59" s="100"/>
      <c r="S59" s="96"/>
      <c r="T59" s="359"/>
      <c r="U59" s="360"/>
      <c r="V59" s="100"/>
      <c r="W59" s="96"/>
      <c r="X59" s="359"/>
      <c r="Y59" s="360"/>
      <c r="Z59" s="100"/>
      <c r="AA59" s="96"/>
      <c r="AB59" s="359"/>
      <c r="AC59" s="360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61" t="s">
        <v>875</v>
      </c>
      <c r="AO59" s="362"/>
      <c r="AP59" s="100">
        <v>3352.93</v>
      </c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289</v>
      </c>
      <c r="E60" s="343"/>
      <c r="F60" s="98"/>
      <c r="G60" s="96"/>
      <c r="H60" s="342"/>
      <c r="I60" s="343"/>
      <c r="J60" s="100"/>
      <c r="K60" s="235">
        <v>43549</v>
      </c>
      <c r="L60" s="371" t="s">
        <v>388</v>
      </c>
      <c r="M60" s="372"/>
      <c r="N60" s="236">
        <v>15</v>
      </c>
      <c r="O60" s="96"/>
      <c r="P60" s="342"/>
      <c r="Q60" s="343"/>
      <c r="R60" s="100"/>
      <c r="S60" s="96"/>
      <c r="T60" s="359"/>
      <c r="U60" s="360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59"/>
      <c r="AG60" s="360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291</v>
      </c>
      <c r="E61" s="343"/>
      <c r="F61" s="98">
        <v>40</v>
      </c>
      <c r="G61" s="96"/>
      <c r="H61" s="342"/>
      <c r="I61" s="343"/>
      <c r="J61" s="100"/>
      <c r="K61" s="96"/>
      <c r="L61" s="373"/>
      <c r="M61" s="343"/>
      <c r="N61" s="100"/>
      <c r="O61" s="96"/>
      <c r="P61" s="342"/>
      <c r="Q61" s="343"/>
      <c r="R61" s="100"/>
      <c r="S61" s="96"/>
      <c r="T61" s="359"/>
      <c r="U61" s="360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59"/>
      <c r="U62" s="360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59"/>
      <c r="U63" s="360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59"/>
      <c r="U64" s="360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59"/>
      <c r="U65" s="360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564</v>
      </c>
      <c r="U70" s="343"/>
      <c r="V70" s="100">
        <v>3742.92</v>
      </c>
      <c r="W70" s="96"/>
      <c r="X70" s="342" t="s">
        <v>562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.7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3" t="s">
        <v>565</v>
      </c>
      <c r="U71" s="364"/>
      <c r="V71" s="101">
        <v>1872.17</v>
      </c>
      <c r="W71" s="97"/>
      <c r="X71" s="363" t="s">
        <v>563</v>
      </c>
      <c r="Y71" s="364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71</v>
      </c>
      <c r="F73">
        <f>F72*20</f>
        <v>21.799999999999997</v>
      </c>
      <c r="L73" s="119"/>
    </row>
    <row r="74" spans="1:50">
      <c r="A74" t="s">
        <v>253</v>
      </c>
      <c r="C74">
        <v>30</v>
      </c>
      <c r="D74">
        <f>100/C74</f>
        <v>3.3333333333333335</v>
      </c>
    </row>
    <row r="75" spans="1:50">
      <c r="A75" t="s">
        <v>254</v>
      </c>
      <c r="C75">
        <v>25</v>
      </c>
      <c r="D75">
        <f>C75*D74</f>
        <v>83.333333333333343</v>
      </c>
      <c r="Z75" s="111"/>
    </row>
    <row r="76" spans="1:50">
      <c r="D76">
        <f>D75-D73</f>
        <v>12.333333333333343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3839.35</v>
      </c>
      <c r="L5" s="424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7236.18</v>
      </c>
      <c r="L7" s="426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105+50</f>
        <v>155</v>
      </c>
      <c r="L11" s="42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327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799</v>
      </c>
      <c r="K35" s="406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789</v>
      </c>
      <c r="K45" s="406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03"/>
      <c r="J46" s="407" t="s">
        <v>831</v>
      </c>
      <c r="K46" s="408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02" t="str">
        <f>AÑO!A13</f>
        <v>Gubernamental</v>
      </c>
      <c r="J50" s="405" t="s">
        <v>797</v>
      </c>
      <c r="K50" s="406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798</v>
      </c>
      <c r="K60" s="406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9" ht="15" customHeight="1" thickBot="1">
      <c r="B243" s="418"/>
      <c r="C243" s="419"/>
      <c r="D243" s="419"/>
      <c r="E243" s="419"/>
      <c r="F243" s="419"/>
      <c r="G243" s="420"/>
    </row>
    <row r="244" spans="1:9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9" ht="15" customHeight="1" thickBot="1">
      <c r="B323" s="435"/>
      <c r="C323" s="436"/>
      <c r="D323" s="436"/>
      <c r="E323" s="436"/>
      <c r="F323" s="436"/>
      <c r="G323" s="437"/>
    </row>
    <row r="324" spans="2:9">
      <c r="B324" s="428" t="s">
        <v>8</v>
      </c>
      <c r="C324" s="429"/>
      <c r="D324" s="428" t="s">
        <v>9</v>
      </c>
      <c r="E324" s="430"/>
      <c r="F324" s="430"/>
      <c r="G324" s="429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3984.38</v>
      </c>
      <c r="L5" s="426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8003.5599999999995</v>
      </c>
      <c r="L7" s="426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157.43</v>
      </c>
      <c r="L9" s="426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60+20</f>
        <v>80</v>
      </c>
      <c r="L11" s="426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30089.47</v>
      </c>
      <c r="L19" s="441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625</v>
      </c>
      <c r="K31" s="408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860</v>
      </c>
      <c r="K32" s="408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327</v>
      </c>
      <c r="K33" s="408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423</v>
      </c>
      <c r="K40" s="406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863</v>
      </c>
      <c r="K42" s="408"/>
      <c r="L42" s="229">
        <v>52.06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02" t="str">
        <f>AÑO!A13</f>
        <v>Gubernamental</v>
      </c>
      <c r="J50" s="405" t="s">
        <v>797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02" t="str">
        <f>AÑO!A14</f>
        <v>Mutualite/DKV</v>
      </c>
      <c r="J55" s="405" t="s">
        <v>465</v>
      </c>
      <c r="K55" s="406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9" ht="15" customHeight="1" thickBot="1">
      <c r="B263" s="418"/>
      <c r="C263" s="419"/>
      <c r="D263" s="419"/>
      <c r="E263" s="419"/>
      <c r="F263" s="419"/>
      <c r="G263" s="420"/>
    </row>
    <row r="264" spans="1:9">
      <c r="B264" s="428" t="s">
        <v>8</v>
      </c>
      <c r="C264" s="429"/>
      <c r="D264" s="428" t="s">
        <v>9</v>
      </c>
      <c r="E264" s="430"/>
      <c r="F264" s="430"/>
      <c r="G264" s="429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abSelected="1" topLeftCell="A362" workbookViewId="0">
      <selection activeCell="F367" sqref="F36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4501.8900000000003</v>
      </c>
      <c r="L5" s="424"/>
      <c r="M5" s="1"/>
      <c r="N5" s="1"/>
      <c r="R5" s="3"/>
    </row>
    <row r="6" spans="1:22" ht="15.75">
      <c r="A6" s="112">
        <f>'10'!A6+(B6-SUM(D6:F6))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620.14</v>
      </c>
      <c r="L6" s="426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7374.65</f>
        <v>7374.65</v>
      </c>
      <c r="L7" s="426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6307.51</v>
      </c>
      <c r="L8" s="42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f>4292.78+2.31</f>
        <v>4295.09</v>
      </c>
      <c r="L9" s="426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40+70</f>
        <v>110</v>
      </c>
      <c r="L11" s="426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</f>
        <v>5092.08</v>
      </c>
      <c r="L12" s="426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776.79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431.49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687</v>
      </c>
      <c r="K31" s="408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899</v>
      </c>
      <c r="K40" s="406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905</v>
      </c>
      <c r="K45" s="406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03"/>
      <c r="J46" s="407" t="s">
        <v>920</v>
      </c>
      <c r="K46" s="408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03"/>
      <c r="J47" s="407" t="s">
        <v>921</v>
      </c>
      <c r="K47" s="408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02" t="str">
        <f>AÑO!A13</f>
        <v>Gubernamental</v>
      </c>
      <c r="J50" s="405" t="s">
        <v>910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54.45</v>
      </c>
      <c r="E54" s="138"/>
      <c r="F54" s="138"/>
      <c r="G54" s="16" t="s">
        <v>944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909</v>
      </c>
      <c r="K55" s="406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688</v>
      </c>
      <c r="K56" s="408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450.65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902</v>
      </c>
      <c r="K60" s="406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288.52999999999992</v>
      </c>
      <c r="B108" s="134">
        <v>50</v>
      </c>
      <c r="C108" s="18" t="s">
        <v>187</v>
      </c>
      <c r="D108" s="137">
        <v>394.57</v>
      </c>
      <c r="E108" s="138"/>
      <c r="F108" s="138"/>
      <c r="G108" s="34" t="s">
        <v>943</v>
      </c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290.90999999999997</v>
      </c>
      <c r="B120" s="135">
        <f>SUM(B106:B119)</f>
        <v>457.47</v>
      </c>
      <c r="C120" s="17" t="s">
        <v>53</v>
      </c>
      <c r="D120" s="135">
        <f>SUM(D106:D119)</f>
        <v>721.95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160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865</v>
      </c>
      <c r="D257" s="137"/>
      <c r="E257" s="138"/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9" ht="15" customHeight="1" thickBot="1">
      <c r="B263" s="418"/>
      <c r="C263" s="419"/>
      <c r="D263" s="419"/>
      <c r="E263" s="419"/>
      <c r="F263" s="419"/>
      <c r="G263" s="420"/>
    </row>
    <row r="264" spans="1:9">
      <c r="B264" s="428" t="s">
        <v>8</v>
      </c>
      <c r="C264" s="429"/>
      <c r="D264" s="428" t="s">
        <v>9</v>
      </c>
      <c r="E264" s="430"/>
      <c r="F264" s="430"/>
      <c r="G264" s="429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93.02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4.5+3.5</f>
        <v>8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AÑO!AQ17</f>
        <v>4500.4000000000005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516" workbookViewId="0">
      <selection activeCell="J472" sqref="J47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4501.8900000000003</v>
      </c>
      <c r="L5" s="424"/>
      <c r="M5" s="1"/>
      <c r="N5" s="1"/>
      <c r="R5" s="3"/>
    </row>
    <row r="6" spans="1:22" ht="15.75">
      <c r="A6" s="112">
        <f>'11'!A6+(B6-SUM(D6:F6))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5">
        <v>620.14</v>
      </c>
      <c r="L6" s="426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7374.65</f>
        <v>7374.65</v>
      </c>
      <c r="L7" s="426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6307.51</v>
      </c>
      <c r="L8" s="42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f>4292.78+2.31</f>
        <v>4295.09</v>
      </c>
      <c r="L9" s="426"/>
      <c r="M9" s="1"/>
      <c r="N9" s="1"/>
      <c r="R9" s="3"/>
    </row>
    <row r="10" spans="1:22" ht="15.75">
      <c r="A10" s="112">
        <f>'11'!A10+(B10-SUM(D10:F10))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5">
        <f>40+70</f>
        <v>110</v>
      </c>
      <c r="L11" s="426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</f>
        <v>5092.08</v>
      </c>
      <c r="L12" s="426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1018.9300000000001</v>
      </c>
      <c r="B20" s="135">
        <f>SUM(B6:B19)</f>
        <v>242.14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/>
      <c r="M25" s="1"/>
      <c r="R25" s="3"/>
    </row>
    <row r="26" spans="1:18" ht="15.75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'11'!A30+(B30-SUM(D30:F30))</f>
        <v>191.27999999999997</v>
      </c>
      <c r="B30" s="134">
        <v>5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1500.34</v>
      </c>
      <c r="B40" s="135">
        <f>SUM(B26:B39)</f>
        <v>1153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2" t="str">
        <f>AÑO!A13</f>
        <v>Gubernamental</v>
      </c>
      <c r="J50" s="405" t="s">
        <v>910</v>
      </c>
      <c r="K50" s="40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'11'!A66+(B66-SUM(D66:F78))+B67</f>
        <v>279.53000000000009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343.35000000000008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71.380000000000052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338.52999999999992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668.38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160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942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128.45999999999981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313.45999999999981</v>
      </c>
      <c r="B300" s="135">
        <f>SUM(B286:B299)</f>
        <v>95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233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F27" sqref="F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E16" workbookViewId="0">
      <selection activeCell="L28" sqref="L2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1589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43798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193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43798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644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43798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3.5962877030162411E-2</v>
      </c>
      <c r="Y13" s="119">
        <f ca="1">X13*E13</f>
        <v>144.54447500000001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3.1902552204176336E-2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8.1206496519721574E-3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0.50406032482598606</v>
      </c>
      <c r="Y19" s="119">
        <f t="shared" ca="1" si="3"/>
        <v>2229.6604005104409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0.36658932714617171</v>
      </c>
      <c r="Y20" s="119">
        <f t="shared" ca="1" si="3"/>
        <v>220.17354988399075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0.16705336426914152</v>
      </c>
      <c r="Y25" s="119">
        <f t="shared" ca="1" si="3"/>
        <v>101.5623022552204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644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43798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0.37354988399071926</v>
      </c>
      <c r="Y28" s="119">
        <f t="shared" ca="1" si="3"/>
        <v>1923.0694980974479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1.2761020881670533E-2</v>
      </c>
      <c r="Y33" s="119">
        <f t="shared" ca="1" si="3"/>
        <v>52.691865661252898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8.642691415313225E-2</v>
      </c>
      <c r="Y35" s="119">
        <f t="shared" ca="1" si="3"/>
        <v>353.37777386310904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2735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1.5864269141531322</v>
      </c>
      <c r="Y42" s="328">
        <f ca="1">SUM(Y13:Y41)</f>
        <v>5025.0798652714611</v>
      </c>
      <c r="Z42" s="329">
        <f ca="1">P42/Y42</f>
        <v>0.83854379153680747</v>
      </c>
      <c r="AA42" s="329">
        <f ca="1">Z42/(D$43/365)</f>
        <v>0.17753392338221274</v>
      </c>
    </row>
    <row r="43" spans="1:27">
      <c r="C43" s="119" t="s">
        <v>567</v>
      </c>
      <c r="D43" s="46">
        <f ca="1">_xlfn.DAYS(TODAY(),F13)</f>
        <v>1724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D33" sqref="D33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43"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>
        <v>2018</v>
      </c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3">
        <v>2901.68</v>
      </c>
      <c r="L5" s="424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5">
        <v>620.05999999999995</v>
      </c>
      <c r="L6" s="426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5">
        <v>8035.29</v>
      </c>
      <c r="L7" s="42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5">
        <v>7000</v>
      </c>
      <c r="L8" s="42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5">
        <v>659.39</v>
      </c>
      <c r="L9" s="42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5">
        <v>1800.04</v>
      </c>
      <c r="L10" s="42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5">
        <f>240+35</f>
        <v>275</v>
      </c>
      <c r="L11" s="42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1">
        <f>SUM(K5:K18)</f>
        <v>26383.54</v>
      </c>
      <c r="L19" s="432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12"/>
      <c r="I22" s="415" t="s">
        <v>6</v>
      </c>
      <c r="J22" s="416"/>
      <c r="K22" s="416"/>
      <c r="L22" s="417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12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12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2" t="str">
        <f>AÑO!A8</f>
        <v>Manolo Salario</v>
      </c>
      <c r="J25" s="405" t="s">
        <v>290</v>
      </c>
      <c r="K25" s="406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3"/>
      <c r="J26" s="407"/>
      <c r="K26" s="408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3"/>
      <c r="J27" s="407"/>
      <c r="K27" s="40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3"/>
      <c r="J28" s="407"/>
      <c r="K28" s="408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1"/>
      <c r="J29" s="412"/>
      <c r="K29" s="413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02" t="str">
        <f>AÑO!A9</f>
        <v>Rocío Salario</v>
      </c>
      <c r="J30" s="405" t="s">
        <v>237</v>
      </c>
      <c r="K30" s="406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3"/>
      <c r="J31" s="407" t="s">
        <v>255</v>
      </c>
      <c r="K31" s="408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3"/>
      <c r="J32" s="414" t="s">
        <v>266</v>
      </c>
      <c r="K32" s="408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2" t="s">
        <v>217</v>
      </c>
      <c r="J35" s="405" t="s">
        <v>305</v>
      </c>
      <c r="K35" s="406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2" t="str">
        <f>AÑO!A11</f>
        <v>Finanazas</v>
      </c>
      <c r="J40" s="405" t="s">
        <v>238</v>
      </c>
      <c r="K40" s="406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3"/>
      <c r="J41" s="407" t="s">
        <v>239</v>
      </c>
      <c r="K41" s="408"/>
      <c r="L41" s="229">
        <v>1.87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12"/>
      <c r="I42" s="403"/>
      <c r="J42" s="407" t="s">
        <v>268</v>
      </c>
      <c r="K42" s="408"/>
      <c r="L42" s="229">
        <v>0.02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12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12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2" t="str">
        <f>AÑO!A12</f>
        <v>Regalos</v>
      </c>
      <c r="J45" s="405" t="s">
        <v>298</v>
      </c>
      <c r="K45" s="406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03"/>
      <c r="J46" s="407"/>
      <c r="K46" s="40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11"/>
      <c r="J49" s="412"/>
      <c r="K49" s="413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02" t="str">
        <f>AÑO!A13</f>
        <v>Gubernamental</v>
      </c>
      <c r="J50" s="405" t="s">
        <v>258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11"/>
      <c r="J54" s="412"/>
      <c r="K54" s="413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1"/>
      <c r="J59" s="412"/>
      <c r="K59" s="413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2" t="str">
        <f>AÑO!A15</f>
        <v>Alquiler Cartama</v>
      </c>
      <c r="J60" s="405"/>
      <c r="K60" s="4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12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12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12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2" t="str">
        <f>AÑO!A16</f>
        <v>Otros</v>
      </c>
      <c r="J65" s="405" t="s">
        <v>295</v>
      </c>
      <c r="K65" s="406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03"/>
      <c r="J66" s="407"/>
      <c r="K66" s="40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3"/>
      <c r="J67" s="407"/>
      <c r="K67" s="408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03"/>
      <c r="J68" s="407"/>
      <c r="K68" s="40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04"/>
      <c r="J69" s="409"/>
      <c r="K69" s="410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12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12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12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12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12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12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12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12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  <c r="H202" s="112"/>
    </row>
    <row r="203" spans="2:12" ht="15" customHeight="1" thickBot="1">
      <c r="B203" s="418"/>
      <c r="C203" s="419"/>
      <c r="D203" s="419"/>
      <c r="E203" s="419"/>
      <c r="F203" s="419"/>
      <c r="G203" s="420"/>
      <c r="H203" s="112"/>
    </row>
    <row r="204" spans="2:12" ht="15.75">
      <c r="B204" s="428" t="s">
        <v>8</v>
      </c>
      <c r="C204" s="429"/>
      <c r="D204" s="430" t="s">
        <v>9</v>
      </c>
      <c r="E204" s="430"/>
      <c r="F204" s="430"/>
      <c r="G204" s="429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7" t="str">
        <f>AÑO!A31</f>
        <v>Deportes</v>
      </c>
      <c r="C222" s="416"/>
      <c r="D222" s="416"/>
      <c r="E222" s="416"/>
      <c r="F222" s="416"/>
      <c r="G222" s="417"/>
      <c r="H222" s="112"/>
    </row>
    <row r="223" spans="2:8" ht="15" customHeight="1" thickBot="1">
      <c r="B223" s="418"/>
      <c r="C223" s="419"/>
      <c r="D223" s="419"/>
      <c r="E223" s="419"/>
      <c r="F223" s="419"/>
      <c r="G223" s="420"/>
      <c r="H223" s="112"/>
    </row>
    <row r="224" spans="2:8" ht="15.75">
      <c r="B224" s="428" t="s">
        <v>8</v>
      </c>
      <c r="C224" s="429"/>
      <c r="D224" s="430" t="s">
        <v>9</v>
      </c>
      <c r="E224" s="430"/>
      <c r="F224" s="430"/>
      <c r="G224" s="429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7" t="str">
        <f>AÑO!A32</f>
        <v>Hogar</v>
      </c>
      <c r="C242" s="416"/>
      <c r="D242" s="416"/>
      <c r="E242" s="416"/>
      <c r="F242" s="416"/>
      <c r="G242" s="417"/>
      <c r="H242" s="112"/>
    </row>
    <row r="243" spans="2:8" ht="15" customHeight="1" thickBot="1">
      <c r="B243" s="418"/>
      <c r="C243" s="419"/>
      <c r="D243" s="419"/>
      <c r="E243" s="419"/>
      <c r="F243" s="419"/>
      <c r="G243" s="420"/>
      <c r="H243" s="112"/>
    </row>
    <row r="244" spans="2:8" ht="15" customHeight="1">
      <c r="B244" s="428" t="s">
        <v>8</v>
      </c>
      <c r="C244" s="429"/>
      <c r="D244" s="430" t="s">
        <v>9</v>
      </c>
      <c r="E244" s="430"/>
      <c r="F244" s="430"/>
      <c r="G244" s="429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7" t="str">
        <f>AÑO!A33</f>
        <v>Formación</v>
      </c>
      <c r="C262" s="416"/>
      <c r="D262" s="416"/>
      <c r="E262" s="416"/>
      <c r="F262" s="416"/>
      <c r="G262" s="417"/>
      <c r="H262" s="112"/>
    </row>
    <row r="263" spans="2:8" ht="15" customHeight="1" thickBot="1">
      <c r="B263" s="418"/>
      <c r="C263" s="419"/>
      <c r="D263" s="419"/>
      <c r="E263" s="419"/>
      <c r="F263" s="419"/>
      <c r="G263" s="420"/>
      <c r="H263" s="112"/>
    </row>
    <row r="264" spans="2:8" ht="15.75">
      <c r="B264" s="428" t="s">
        <v>8</v>
      </c>
      <c r="C264" s="429"/>
      <c r="D264" s="430" t="s">
        <v>9</v>
      </c>
      <c r="E264" s="430"/>
      <c r="F264" s="430"/>
      <c r="G264" s="429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  <c r="H282" s="112"/>
    </row>
    <row r="283" spans="2:8" ht="15" customHeight="1" thickBot="1">
      <c r="B283" s="418"/>
      <c r="C283" s="419"/>
      <c r="D283" s="419"/>
      <c r="E283" s="419"/>
      <c r="F283" s="419"/>
      <c r="G283" s="420"/>
      <c r="H283" s="112"/>
    </row>
    <row r="284" spans="2:8" ht="15.75">
      <c r="B284" s="428" t="s">
        <v>8</v>
      </c>
      <c r="C284" s="429"/>
      <c r="D284" s="430" t="s">
        <v>9</v>
      </c>
      <c r="E284" s="430"/>
      <c r="F284" s="430"/>
      <c r="G284" s="429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  <c r="H302" s="112"/>
    </row>
    <row r="303" spans="2:8" ht="15" customHeight="1" thickBot="1">
      <c r="B303" s="418"/>
      <c r="C303" s="419"/>
      <c r="D303" s="419"/>
      <c r="E303" s="419"/>
      <c r="F303" s="419"/>
      <c r="G303" s="420"/>
      <c r="H303" s="112"/>
    </row>
    <row r="304" spans="2:8" ht="15.75">
      <c r="B304" s="428" t="s">
        <v>8</v>
      </c>
      <c r="C304" s="429"/>
      <c r="D304" s="430" t="s">
        <v>9</v>
      </c>
      <c r="E304" s="430"/>
      <c r="F304" s="430"/>
      <c r="G304" s="429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7" t="str">
        <f>AÑO!A36</f>
        <v>Nenas</v>
      </c>
      <c r="C322" s="416"/>
      <c r="D322" s="416"/>
      <c r="E322" s="416"/>
      <c r="F322" s="416"/>
      <c r="G322" s="417"/>
      <c r="H322" s="112"/>
    </row>
    <row r="323" spans="2:8" ht="15" customHeight="1" thickBot="1">
      <c r="B323" s="418"/>
      <c r="C323" s="419"/>
      <c r="D323" s="419"/>
      <c r="E323" s="419"/>
      <c r="F323" s="419"/>
      <c r="G323" s="420"/>
      <c r="H323" s="112"/>
    </row>
    <row r="324" spans="2:8" ht="15.75">
      <c r="B324" s="428" t="s">
        <v>8</v>
      </c>
      <c r="C324" s="429"/>
      <c r="D324" s="430" t="s">
        <v>9</v>
      </c>
      <c r="E324" s="430"/>
      <c r="F324" s="430"/>
      <c r="G324" s="429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7" t="str">
        <f>AÑO!A37</f>
        <v>Impuestos</v>
      </c>
      <c r="C342" s="416"/>
      <c r="D342" s="416"/>
      <c r="E342" s="416"/>
      <c r="F342" s="416"/>
      <c r="G342" s="417"/>
      <c r="H342" s="112"/>
    </row>
    <row r="343" spans="2:8" ht="15" customHeight="1" thickBot="1">
      <c r="B343" s="418"/>
      <c r="C343" s="419"/>
      <c r="D343" s="419"/>
      <c r="E343" s="419"/>
      <c r="F343" s="419"/>
      <c r="G343" s="420"/>
      <c r="H343" s="112"/>
    </row>
    <row r="344" spans="2:8" ht="15.75">
      <c r="B344" s="428" t="s">
        <v>8</v>
      </c>
      <c r="C344" s="429"/>
      <c r="D344" s="430" t="s">
        <v>9</v>
      </c>
      <c r="E344" s="430"/>
      <c r="F344" s="430"/>
      <c r="G344" s="429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7" t="str">
        <f>AÑO!A38</f>
        <v>Gastos Curros</v>
      </c>
      <c r="C362" s="416"/>
      <c r="D362" s="416"/>
      <c r="E362" s="416"/>
      <c r="F362" s="416"/>
      <c r="G362" s="417"/>
      <c r="H362" s="112"/>
    </row>
    <row r="363" spans="2:8" ht="15" customHeight="1" thickBot="1">
      <c r="B363" s="418"/>
      <c r="C363" s="419"/>
      <c r="D363" s="419"/>
      <c r="E363" s="419"/>
      <c r="F363" s="419"/>
      <c r="G363" s="420"/>
      <c r="H363" s="112"/>
    </row>
    <row r="364" spans="2:8" ht="15.75">
      <c r="B364" s="428" t="s">
        <v>8</v>
      </c>
      <c r="C364" s="429"/>
      <c r="D364" s="430" t="s">
        <v>9</v>
      </c>
      <c r="E364" s="430"/>
      <c r="F364" s="430"/>
      <c r="G364" s="429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7" t="str">
        <f>AÑO!A39</f>
        <v>Dreamed Holidays</v>
      </c>
      <c r="C382" s="416"/>
      <c r="D382" s="416"/>
      <c r="E382" s="416"/>
      <c r="F382" s="416"/>
      <c r="G382" s="417"/>
      <c r="H382" s="112"/>
    </row>
    <row r="383" spans="2:8" ht="15" customHeight="1" thickBot="1">
      <c r="B383" s="418"/>
      <c r="C383" s="419"/>
      <c r="D383" s="419"/>
      <c r="E383" s="419"/>
      <c r="F383" s="419"/>
      <c r="G383" s="420"/>
      <c r="H383" s="112"/>
    </row>
    <row r="384" spans="2:8" ht="15.75">
      <c r="B384" s="428" t="s">
        <v>8</v>
      </c>
      <c r="C384" s="429"/>
      <c r="D384" s="430" t="s">
        <v>9</v>
      </c>
      <c r="E384" s="430"/>
      <c r="F384" s="430"/>
      <c r="G384" s="429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7" t="str">
        <f>AÑO!A40</f>
        <v>Financieros</v>
      </c>
      <c r="C402" s="416"/>
      <c r="D402" s="416"/>
      <c r="E402" s="416"/>
      <c r="F402" s="416"/>
      <c r="G402" s="417"/>
      <c r="H402" s="112"/>
    </row>
    <row r="403" spans="2:8" ht="15" customHeight="1" thickBot="1">
      <c r="B403" s="418"/>
      <c r="C403" s="419"/>
      <c r="D403" s="419"/>
      <c r="E403" s="419"/>
      <c r="F403" s="419"/>
      <c r="G403" s="420"/>
      <c r="H403" s="112"/>
    </row>
    <row r="404" spans="2:8" ht="15.75">
      <c r="B404" s="428" t="s">
        <v>8</v>
      </c>
      <c r="C404" s="429"/>
      <c r="D404" s="430" t="s">
        <v>9</v>
      </c>
      <c r="E404" s="430"/>
      <c r="F404" s="430"/>
      <c r="G404" s="429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  <c r="H422" s="112"/>
    </row>
    <row r="423" spans="1:8" ht="15" customHeight="1" thickBot="1">
      <c r="B423" s="435"/>
      <c r="C423" s="436"/>
      <c r="D423" s="436"/>
      <c r="E423" s="436"/>
      <c r="F423" s="436"/>
      <c r="G423" s="437"/>
      <c r="H423" s="112"/>
    </row>
    <row r="424" spans="1:8" ht="15.75">
      <c r="B424" s="428" t="s">
        <v>8</v>
      </c>
      <c r="C424" s="429"/>
      <c r="D424" s="430" t="s">
        <v>9</v>
      </c>
      <c r="E424" s="430"/>
      <c r="F424" s="430"/>
      <c r="G424" s="429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7" t="str">
        <f>AÑO!A42</f>
        <v>Dinero Bloqueado</v>
      </c>
      <c r="C442" s="433"/>
      <c r="D442" s="433"/>
      <c r="E442" s="433"/>
      <c r="F442" s="433"/>
      <c r="G442" s="434"/>
      <c r="H442" s="112"/>
    </row>
    <row r="443" spans="2:8" ht="15" customHeight="1" thickBot="1">
      <c r="B443" s="435"/>
      <c r="C443" s="436"/>
      <c r="D443" s="436"/>
      <c r="E443" s="436"/>
      <c r="F443" s="436"/>
      <c r="G443" s="437"/>
      <c r="H443" s="112"/>
    </row>
    <row r="444" spans="2:8" ht="15.75">
      <c r="B444" s="428" t="s">
        <v>8</v>
      </c>
      <c r="C444" s="429"/>
      <c r="D444" s="430" t="s">
        <v>9</v>
      </c>
      <c r="E444" s="430"/>
      <c r="F444" s="430"/>
      <c r="G444" s="429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7" t="str">
        <f>AÑO!A43</f>
        <v>Cartama Finanazas</v>
      </c>
      <c r="C462" s="433"/>
      <c r="D462" s="433"/>
      <c r="E462" s="433"/>
      <c r="F462" s="433"/>
      <c r="G462" s="434"/>
      <c r="H462" s="112"/>
    </row>
    <row r="463" spans="2:8" ht="15" customHeight="1" thickBot="1">
      <c r="B463" s="435"/>
      <c r="C463" s="436"/>
      <c r="D463" s="436"/>
      <c r="E463" s="436"/>
      <c r="F463" s="436"/>
      <c r="G463" s="437"/>
      <c r="H463" s="112"/>
    </row>
    <row r="464" spans="2:8" ht="15.75">
      <c r="B464" s="428" t="s">
        <v>8</v>
      </c>
      <c r="C464" s="429"/>
      <c r="D464" s="430" t="s">
        <v>9</v>
      </c>
      <c r="E464" s="430"/>
      <c r="F464" s="430"/>
      <c r="G464" s="429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7" t="str">
        <f>AÑO!A44</f>
        <v>NULO</v>
      </c>
      <c r="C482" s="433"/>
      <c r="D482" s="433"/>
      <c r="E482" s="433"/>
      <c r="F482" s="433"/>
      <c r="G482" s="434"/>
      <c r="H482" s="112"/>
    </row>
    <row r="483" spans="2:8" ht="15" customHeight="1" thickBot="1">
      <c r="B483" s="435"/>
      <c r="C483" s="436"/>
      <c r="D483" s="436"/>
      <c r="E483" s="436"/>
      <c r="F483" s="436"/>
      <c r="G483" s="437"/>
      <c r="H483" s="112"/>
    </row>
    <row r="484" spans="2:8" ht="15.75">
      <c r="B484" s="428" t="s">
        <v>8</v>
      </c>
      <c r="C484" s="429"/>
      <c r="D484" s="430" t="s">
        <v>9</v>
      </c>
      <c r="E484" s="430"/>
      <c r="F484" s="430"/>
      <c r="G484" s="429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7" t="str">
        <f>AÑO!A45</f>
        <v>OTROS</v>
      </c>
      <c r="C502" s="433"/>
      <c r="D502" s="433"/>
      <c r="E502" s="433"/>
      <c r="F502" s="433"/>
      <c r="G502" s="434"/>
      <c r="H502" s="112"/>
    </row>
    <row r="503" spans="2:8" ht="15" customHeight="1" thickBot="1">
      <c r="B503" s="435"/>
      <c r="C503" s="436"/>
      <c r="D503" s="436"/>
      <c r="E503" s="436"/>
      <c r="F503" s="436"/>
      <c r="G503" s="437"/>
      <c r="H503" s="112"/>
    </row>
    <row r="504" spans="2:8" ht="15.75">
      <c r="B504" s="428" t="s">
        <v>8</v>
      </c>
      <c r="C504" s="429"/>
      <c r="D504" s="430" t="s">
        <v>9</v>
      </c>
      <c r="E504" s="430"/>
      <c r="F504" s="430"/>
      <c r="G504" s="429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2397.48-4.45</f>
        <v>2393.0300000000002</v>
      </c>
      <c r="L5" s="424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5">
        <f>7340.23-4.45</f>
        <v>7335.78</v>
      </c>
      <c r="L7" s="42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7001.87</v>
      </c>
      <c r="L8" s="42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5">
        <v>669.52</v>
      </c>
      <c r="L9" s="42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160+155</f>
        <v>315</v>
      </c>
      <c r="L11" s="42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25229.379999999997</v>
      </c>
      <c r="L19" s="432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313</v>
      </c>
      <c r="K30" s="40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318</v>
      </c>
      <c r="K31" s="40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313</v>
      </c>
      <c r="K33" s="40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358</v>
      </c>
      <c r="K35" s="40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03"/>
      <c r="J46" s="407"/>
      <c r="K46" s="40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02" t="str">
        <f>AÑO!A13</f>
        <v>Gubernamental</v>
      </c>
      <c r="J50" s="405" t="s">
        <v>258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03"/>
      <c r="J51" s="407"/>
      <c r="K51" s="40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02" t="str">
        <f>AÑO!A14</f>
        <v>Mutualite/DKV</v>
      </c>
      <c r="J55" s="405"/>
      <c r="K55" s="4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2" t="str">
        <f>AÑO!A15</f>
        <v>Alquiler Cartama</v>
      </c>
      <c r="J60" s="405" t="s">
        <v>314</v>
      </c>
      <c r="K60" s="40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03"/>
      <c r="J66" s="407"/>
      <c r="K66" s="40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03"/>
      <c r="J67" s="407"/>
      <c r="K67" s="40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04"/>
      <c r="J69" s="409"/>
      <c r="K69" s="41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2:7" ht="15" customHeight="1" thickBot="1">
      <c r="B243" s="418"/>
      <c r="C243" s="419"/>
      <c r="D243" s="419"/>
      <c r="E243" s="419"/>
      <c r="F243" s="419"/>
      <c r="G243" s="420"/>
    </row>
    <row r="244" spans="2:7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2:7" ht="15" customHeight="1" thickBot="1">
      <c r="B263" s="418"/>
      <c r="C263" s="419"/>
      <c r="D263" s="419"/>
      <c r="E263" s="419"/>
      <c r="F263" s="419"/>
      <c r="G263" s="420"/>
    </row>
    <row r="264" spans="2:7">
      <c r="B264" s="428" t="s">
        <v>8</v>
      </c>
      <c r="C264" s="429"/>
      <c r="D264" s="430" t="s">
        <v>9</v>
      </c>
      <c r="E264" s="430"/>
      <c r="F264" s="430"/>
      <c r="G264" s="4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30" t="s">
        <v>9</v>
      </c>
      <c r="E424" s="430"/>
      <c r="F424" s="430"/>
      <c r="G424" s="429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1559.34</v>
      </c>
      <c r="L5" s="424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5">
        <v>8577.0300000000007</v>
      </c>
      <c r="L7" s="42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5">
        <v>4167.34</v>
      </c>
      <c r="L9" s="42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255</v>
      </c>
      <c r="L11" s="42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25574.760000000002</v>
      </c>
      <c r="L19" s="432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361</v>
      </c>
      <c r="K30" s="40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237</v>
      </c>
      <c r="K31" s="40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378</v>
      </c>
      <c r="K45" s="40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03"/>
      <c r="J46" s="407" t="s">
        <v>160</v>
      </c>
      <c r="K46" s="408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02" t="str">
        <f>AÑO!A13</f>
        <v>Gubernamental</v>
      </c>
      <c r="J50" s="405" t="s">
        <v>258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03"/>
      <c r="J51" s="407" t="s">
        <v>416</v>
      </c>
      <c r="K51" s="408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02" t="str">
        <f>AÑO!A14</f>
        <v>Mutualite/DKV</v>
      </c>
      <c r="J55" s="438" t="str">
        <f>G306</f>
        <v>12/03 Chirec</v>
      </c>
      <c r="K55" s="406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365</v>
      </c>
      <c r="K60" s="40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03"/>
      <c r="J66" s="407"/>
      <c r="K66" s="408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03"/>
      <c r="J67" s="407"/>
      <c r="K67" s="4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04"/>
      <c r="J69" s="409"/>
      <c r="K69" s="410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8" ht="15" customHeight="1" thickBot="1">
      <c r="B243" s="418"/>
      <c r="C243" s="419"/>
      <c r="D243" s="419"/>
      <c r="E243" s="419"/>
      <c r="F243" s="419"/>
      <c r="G243" s="420"/>
    </row>
    <row r="244" spans="1:8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30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30" t="s">
        <v>9</v>
      </c>
      <c r="E424" s="430"/>
      <c r="F424" s="430"/>
      <c r="G424" s="429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861.84</v>
      </c>
      <c r="L5" s="424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10075.709999999999</v>
      </c>
      <c r="L7" s="426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35.96</v>
      </c>
      <c r="L9" s="426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370</v>
      </c>
      <c r="L11" s="42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5092.08+4084.2</f>
        <v>9176.2799999999988</v>
      </c>
      <c r="L12" s="42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361</v>
      </c>
      <c r="K30" s="406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429</v>
      </c>
      <c r="K31" s="408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423</v>
      </c>
      <c r="K40" s="406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443</v>
      </c>
      <c r="K41" s="408"/>
      <c r="L41" s="229">
        <v>352.82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60</v>
      </c>
      <c r="K42" s="408"/>
      <c r="L42" s="229">
        <v>0.02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02" t="str">
        <f>AÑO!A13</f>
        <v>Gubernamental</v>
      </c>
      <c r="J50" s="405" t="s">
        <v>432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38" t="str">
        <f>'03'!G307</f>
        <v>22/03 Chirec</v>
      </c>
      <c r="K55" s="406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39" t="str">
        <f>'03'!G309</f>
        <v>26/03 Ginecologa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447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28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1773.93</v>
      </c>
      <c r="L5" s="424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7144.52</v>
      </c>
      <c r="L7" s="426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10005.620000000001</v>
      </c>
      <c r="L8" s="42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514.82000000000005</v>
      </c>
      <c r="L9" s="426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210</f>
        <v>210</v>
      </c>
      <c r="L11" s="42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361</v>
      </c>
      <c r="K31" s="408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471</v>
      </c>
      <c r="K40" s="406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02" t="str">
        <f>AÑO!A13</f>
        <v>Gubernamental</v>
      </c>
      <c r="J50" s="405" t="s">
        <v>482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02" t="str">
        <f>AÑO!A14</f>
        <v>Mutualite/DKV</v>
      </c>
      <c r="J55" s="405" t="s">
        <v>476</v>
      </c>
      <c r="K55" s="406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28" t="s">
        <v>9</v>
      </c>
      <c r="E424" s="430"/>
      <c r="F424" s="430"/>
      <c r="G424" s="429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M5+2156.93</f>
        <v>1614.1099999999997</v>
      </c>
      <c r="L5" s="424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9234.42-58.2</f>
        <v>9176.2199999999993</v>
      </c>
      <c r="L7" s="426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190</v>
      </c>
      <c r="L11" s="42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625</v>
      </c>
      <c r="K30" s="406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429</v>
      </c>
      <c r="K31" s="408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358</v>
      </c>
      <c r="K35" s="406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02" t="str">
        <f>AÑO!A13</f>
        <v>Gubernamental</v>
      </c>
      <c r="J50" s="405" t="s">
        <v>638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626</v>
      </c>
      <c r="K60" s="406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9" ht="15" customHeight="1" thickBot="1">
      <c r="B283" s="418"/>
      <c r="C283" s="419"/>
      <c r="D283" s="419"/>
      <c r="E283" s="419"/>
      <c r="F283" s="419"/>
      <c r="G283" s="420"/>
    </row>
    <row r="284" spans="2:9">
      <c r="B284" s="428" t="s">
        <v>8</v>
      </c>
      <c r="C284" s="429"/>
      <c r="D284" s="428" t="s">
        <v>9</v>
      </c>
      <c r="E284" s="430"/>
      <c r="F284" s="430"/>
      <c r="G284" s="429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2939.95</f>
        <v>2939.95</v>
      </c>
      <c r="L5" s="424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8049.26</v>
      </c>
      <c r="L7" s="426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260</v>
      </c>
      <c r="L11" s="42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625</v>
      </c>
      <c r="K31" s="408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687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674</v>
      </c>
      <c r="K40" s="406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02" t="str">
        <f>AÑO!A13</f>
        <v>Gubernamental</v>
      </c>
      <c r="J50" s="405" t="s">
        <v>638</v>
      </c>
      <c r="K50" s="406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688</v>
      </c>
      <c r="K55" s="406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688</v>
      </c>
      <c r="K56" s="408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688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703</v>
      </c>
      <c r="K60" s="406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3508.76</v>
      </c>
      <c r="L5" s="424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7490.36</v>
      </c>
      <c r="L7" s="426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20+120</f>
        <v>140</v>
      </c>
      <c r="L11" s="42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327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396</v>
      </c>
      <c r="K35" s="406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775</v>
      </c>
      <c r="K45" s="406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03"/>
      <c r="J46" s="407" t="s">
        <v>776</v>
      </c>
      <c r="K46" s="408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03"/>
      <c r="J48" s="407"/>
      <c r="K48" s="408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02" t="str">
        <f>AÑO!A13</f>
        <v>Gubernamental</v>
      </c>
      <c r="J50" s="405" t="s">
        <v>638</v>
      </c>
      <c r="K50" s="406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42">
        <v>43692</v>
      </c>
      <c r="K55" s="406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43">
        <v>43696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2019-11-29T13:22:45Z</dcterms:modified>
</cp:coreProperties>
</file>