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24226"/>
  <xr:revisionPtr revIDLastSave="0" documentId="13_ncr:1_{0E126B86-D366-49EC-B498-47AA8A6E61A1}" xr6:coauthVersionLast="41" xr6:coauthVersionMax="41" xr10:uidLastSave="{00000000-0000-0000-0000-000000000000}"/>
  <bookViews>
    <workbookView xWindow="-108" yWindow="12852" windowWidth="22164" windowHeight="13176" activeTab="1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Coche" sheetId="17" r:id="rId14"/>
    <sheet name="Hipoteca" sheetId="14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1" i="2" l="1"/>
  <c r="A119" i="2"/>
  <c r="A299" i="2"/>
  <c r="A286" i="2"/>
  <c r="B299" i="2"/>
  <c r="B257" i="2"/>
  <c r="B256" i="2"/>
  <c r="A257" i="2"/>
  <c r="A256" i="2"/>
  <c r="A246" i="2"/>
  <c r="I257" i="2"/>
  <c r="A127" i="2"/>
  <c r="B130" i="2"/>
  <c r="A130" i="2" s="1"/>
  <c r="A129" i="2"/>
  <c r="A126" i="2"/>
  <c r="A300" i="2" l="1"/>
  <c r="A260" i="2"/>
  <c r="A140" i="2"/>
  <c r="A14" i="2"/>
  <c r="A15" i="2"/>
  <c r="B299" i="13" l="1"/>
  <c r="B130" i="13"/>
  <c r="B467" i="13"/>
  <c r="B256" i="13"/>
  <c r="B257" i="13"/>
  <c r="A257" i="13"/>
  <c r="A359" i="13" l="1"/>
  <c r="A358" i="13"/>
  <c r="A346" i="13"/>
  <c r="A299" i="13"/>
  <c r="A256" i="13"/>
  <c r="A246" i="13"/>
  <c r="A130" i="13"/>
  <c r="A129" i="13"/>
  <c r="A127" i="13"/>
  <c r="A126" i="13"/>
  <c r="F366" i="12"/>
  <c r="A360" i="13" l="1"/>
  <c r="A260" i="13"/>
  <c r="A140" i="13"/>
  <c r="B308" i="12"/>
  <c r="L56" i="12"/>
  <c r="L55" i="11"/>
  <c r="H310" i="12"/>
  <c r="H309" i="12"/>
  <c r="A431" i="12" l="1"/>
  <c r="A430" i="12"/>
  <c r="H257" i="13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F20" i="13"/>
  <c r="E20" i="13"/>
  <c r="D20" i="13"/>
  <c r="B20" i="13"/>
  <c r="K12" i="13"/>
  <c r="K19" i="13" s="1"/>
  <c r="L20" i="13" s="1"/>
  <c r="K11" i="13"/>
  <c r="K9" i="13"/>
  <c r="K7" i="13"/>
  <c r="B2" i="13"/>
  <c r="N36" i="18" l="1"/>
  <c r="Q36" i="18" s="1"/>
  <c r="L36" i="18"/>
  <c r="D36" i="18"/>
  <c r="L40" i="12"/>
  <c r="P36" i="18" l="1"/>
  <c r="R36" i="18" s="1"/>
  <c r="K9" i="12"/>
  <c r="K7" i="12"/>
  <c r="K11" i="12"/>
  <c r="D316" i="11"/>
  <c r="D315" i="11"/>
  <c r="A130" i="11" l="1"/>
  <c r="A130" i="12" s="1"/>
  <c r="A430" i="11"/>
  <c r="B307" i="11"/>
  <c r="D79" i="11"/>
  <c r="I127" i="2" l="1"/>
  <c r="I127" i="3" s="1"/>
  <c r="I127" i="4" s="1"/>
  <c r="I127" i="5" s="1"/>
  <c r="I127" i="6" s="1"/>
  <c r="I127" i="7" s="1"/>
  <c r="I127" i="8" s="1"/>
  <c r="I127" i="9" s="1"/>
  <c r="I127" i="10" s="1"/>
  <c r="I127" i="11" s="1"/>
  <c r="I127" i="12" s="1"/>
  <c r="I127" i="13" s="1"/>
  <c r="F366" i="11"/>
  <c r="K12" i="12" l="1"/>
  <c r="B3" i="19"/>
  <c r="B12" i="19"/>
  <c r="Q29" i="18" l="1"/>
  <c r="Q30" i="18"/>
  <c r="Q34" i="18"/>
  <c r="Q9" i="18"/>
  <c r="Q6" i="18"/>
  <c r="Q7" i="18"/>
  <c r="Q8" i="18"/>
  <c r="L32" i="11" l="1"/>
  <c r="D247" i="11"/>
  <c r="D366" i="11"/>
  <c r="D306" i="11" l="1"/>
  <c r="D186" i="11" l="1"/>
  <c r="F26" i="17" l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G62" i="17" s="1"/>
  <c r="D246" i="11"/>
  <c r="D146" i="11"/>
  <c r="D46" i="11" s="1"/>
  <c r="I271" i="11" l="1"/>
  <c r="H257" i="12" l="1"/>
  <c r="P32" i="18"/>
  <c r="F520" i="12" l="1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8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F20" i="12"/>
  <c r="E20" i="12"/>
  <c r="D20" i="12"/>
  <c r="B20" i="12"/>
  <c r="K19" i="12"/>
  <c r="L20" i="12" s="1"/>
  <c r="B2" i="12"/>
  <c r="K11" i="11"/>
  <c r="B79" i="10"/>
  <c r="E192" i="10"/>
  <c r="E257" i="10"/>
  <c r="D190" i="10"/>
  <c r="F366" i="10" l="1"/>
  <c r="H248" i="10" l="1"/>
  <c r="H328" i="10"/>
  <c r="H189" i="10"/>
  <c r="A428" i="10" l="1"/>
  <c r="M60" i="10"/>
  <c r="H257" i="11" l="1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68" i="11"/>
  <c r="B480" i="11" s="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E380" i="11"/>
  <c r="D380" i="11"/>
  <c r="B380" i="11"/>
  <c r="F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D260" i="11"/>
  <c r="B260" i="11"/>
  <c r="E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D200" i="11"/>
  <c r="B200" i="11"/>
  <c r="E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E80" i="11"/>
  <c r="D80" i="11"/>
  <c r="B80" i="11"/>
  <c r="F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2" i="11"/>
  <c r="K19" i="11" s="1"/>
  <c r="L20" i="11" s="1"/>
  <c r="B2" i="11"/>
  <c r="D326" i="10"/>
  <c r="E186" i="10"/>
  <c r="F66" i="10"/>
  <c r="K11" i="10" l="1"/>
  <c r="G25" i="15"/>
  <c r="B26" i="15"/>
  <c r="U28" i="18"/>
  <c r="F366" i="9"/>
  <c r="H48" i="10" l="1"/>
  <c r="M5" i="9" l="1"/>
  <c r="H48" i="9" l="1"/>
  <c r="A299" i="9" l="1"/>
  <c r="A299" i="10" s="1"/>
  <c r="A299" i="11" s="1"/>
  <c r="A299" i="12" s="1"/>
  <c r="A427" i="9" l="1"/>
  <c r="D67" i="9" l="1"/>
  <c r="D246" i="9" l="1"/>
  <c r="D366" i="8" l="1"/>
  <c r="H257" i="10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68" i="10"/>
  <c r="B480" i="10" s="1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2" i="10"/>
  <c r="K19" i="10" s="1"/>
  <c r="L20" i="10" s="1"/>
  <c r="B2" i="10"/>
  <c r="A359" i="9"/>
  <c r="A359" i="10" s="1"/>
  <c r="A359" i="11" s="1"/>
  <c r="A359" i="12" s="1"/>
  <c r="B359" i="8"/>
  <c r="K11" i="9"/>
  <c r="B258" i="8"/>
  <c r="F366" i="8" l="1"/>
  <c r="B49" i="8"/>
  <c r="A346" i="7" l="1"/>
  <c r="A346" i="8" s="1"/>
  <c r="A346" i="9" s="1"/>
  <c r="A358" i="7"/>
  <c r="A358" i="8" s="1"/>
  <c r="A358" i="9" s="1"/>
  <c r="A358" i="10" s="1"/>
  <c r="A358" i="11" s="1"/>
  <c r="A358" i="12" s="1"/>
  <c r="A346" i="10" l="1"/>
  <c r="A360" i="9"/>
  <c r="A360" i="8"/>
  <c r="A360" i="7"/>
  <c r="A346" i="11" l="1"/>
  <c r="A360" i="10"/>
  <c r="H257" i="9"/>
  <c r="H257" i="8"/>
  <c r="B308" i="8"/>
  <c r="D308" i="8"/>
  <c r="B8" i="8"/>
  <c r="D207" i="8"/>
  <c r="A346" i="12" l="1"/>
  <c r="A360" i="12" s="1"/>
  <c r="A360" i="11"/>
  <c r="L55" i="8"/>
  <c r="D47" i="8" l="1"/>
  <c r="D206" i="8" l="1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B2" i="9"/>
  <c r="BC17" i="1"/>
  <c r="B247" i="7"/>
  <c r="W10" i="1"/>
  <c r="K5" i="8"/>
  <c r="F366" i="7" l="1"/>
  <c r="E268" i="7"/>
  <c r="D248" i="7"/>
  <c r="D368" i="7"/>
  <c r="F267" i="7" l="1"/>
  <c r="D51" i="7" l="1"/>
  <c r="D367" i="7"/>
  <c r="D366" i="7"/>
  <c r="D89" i="7"/>
  <c r="E287" i="7" l="1"/>
  <c r="E257" i="6" l="1"/>
  <c r="D87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68" i="8"/>
  <c r="B480" i="8" s="1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D226" i="6"/>
  <c r="M5" i="7"/>
  <c r="H289" i="7" s="1"/>
  <c r="K5" i="7" l="1"/>
  <c r="D308" i="6"/>
  <c r="B7" i="19" l="1"/>
  <c r="C4" i="19" l="1"/>
  <c r="C5" i="19"/>
  <c r="C6" i="19"/>
  <c r="C3" i="19"/>
  <c r="C7" i="19" l="1"/>
  <c r="E366" i="6" l="1"/>
  <c r="D22" i="18"/>
  <c r="D23" i="18"/>
  <c r="D24" i="18"/>
  <c r="D25" i="18"/>
  <c r="D26" i="18"/>
  <c r="D27" i="18"/>
  <c r="D29" i="18"/>
  <c r="D30" i="18"/>
  <c r="D31" i="18"/>
  <c r="D32" i="18"/>
  <c r="D33" i="18"/>
  <c r="D34" i="18"/>
  <c r="D14" i="18"/>
  <c r="D15" i="18"/>
  <c r="D16" i="18"/>
  <c r="D17" i="18"/>
  <c r="D18" i="18"/>
  <c r="D19" i="18"/>
  <c r="D20" i="18"/>
  <c r="D21" i="18"/>
  <c r="D13" i="18"/>
  <c r="D43" i="18"/>
  <c r="X36" i="18" l="1"/>
  <c r="Y36" i="18" s="1"/>
  <c r="X27" i="18"/>
  <c r="Y27" i="18" s="1"/>
  <c r="X19" i="18"/>
  <c r="X39" i="18"/>
  <c r="Y39" i="18" s="1"/>
  <c r="X31" i="18"/>
  <c r="Y31" i="18" s="1"/>
  <c r="X23" i="18"/>
  <c r="Y23" i="18" s="1"/>
  <c r="X15" i="18"/>
  <c r="Y15" i="18" s="1"/>
  <c r="X38" i="18"/>
  <c r="Y38" i="18" s="1"/>
  <c r="X30" i="18"/>
  <c r="Y30" i="18" s="1"/>
  <c r="X22" i="18"/>
  <c r="Y22" i="18" s="1"/>
  <c r="X14" i="18"/>
  <c r="Y14" i="18" s="1"/>
  <c r="X37" i="18"/>
  <c r="Y37" i="18" s="1"/>
  <c r="X29" i="18"/>
  <c r="Y29" i="18" s="1"/>
  <c r="X21" i="18"/>
  <c r="Y21" i="18" s="1"/>
  <c r="X20" i="18"/>
  <c r="X34" i="18"/>
  <c r="Y34" i="18" s="1"/>
  <c r="X26" i="18"/>
  <c r="Y26" i="18" s="1"/>
  <c r="X18" i="18"/>
  <c r="Y18" i="18" s="1"/>
  <c r="X41" i="18"/>
  <c r="Y41" i="18" s="1"/>
  <c r="X33" i="18"/>
  <c r="X25" i="18"/>
  <c r="X17" i="18"/>
  <c r="Y17" i="18" s="1"/>
  <c r="X40" i="18"/>
  <c r="Y40" i="18" s="1"/>
  <c r="X32" i="18"/>
  <c r="Y32" i="18" s="1"/>
  <c r="X24" i="18"/>
  <c r="Y24" i="18" s="1"/>
  <c r="X16" i="18"/>
  <c r="Y16" i="18" s="1"/>
  <c r="X13" i="18"/>
  <c r="H431" i="6"/>
  <c r="S8" i="1"/>
  <c r="B467" i="6"/>
  <c r="B468" i="6"/>
  <c r="A426" i="6"/>
  <c r="B257" i="6"/>
  <c r="K5" i="18"/>
  <c r="D5" i="18" s="1"/>
  <c r="K4" i="18"/>
  <c r="D4" i="18" s="1"/>
  <c r="K3" i="18"/>
  <c r="D3" i="18" s="1"/>
  <c r="H20" i="18"/>
  <c r="I20" i="18" s="1"/>
  <c r="M20" i="18" l="1"/>
  <c r="Q20" i="18" s="1"/>
  <c r="O20" i="18" l="1"/>
  <c r="E20" i="18"/>
  <c r="Y20" i="18" s="1"/>
  <c r="U71" i="18"/>
  <c r="U68" i="18"/>
  <c r="U69" i="18" s="1"/>
  <c r="U70" i="18" s="1"/>
  <c r="U60" i="18"/>
  <c r="U61" i="18" s="1"/>
  <c r="H59" i="18"/>
  <c r="H58" i="18"/>
  <c r="H57" i="18"/>
  <c r="H56" i="18"/>
  <c r="H35" i="18"/>
  <c r="M35" i="18" s="1"/>
  <c r="P34" i="18"/>
  <c r="R34" i="18" s="1"/>
  <c r="H33" i="18"/>
  <c r="M33" i="18" s="1"/>
  <c r="P30" i="18"/>
  <c r="R30" i="18" s="1"/>
  <c r="P29" i="18"/>
  <c r="R29" i="18" s="1"/>
  <c r="K28" i="18"/>
  <c r="H28" i="18"/>
  <c r="M28" i="18" s="1"/>
  <c r="H25" i="18"/>
  <c r="M25" i="18" s="1"/>
  <c r="R24" i="18"/>
  <c r="R21" i="18"/>
  <c r="H19" i="18"/>
  <c r="M19" i="18" s="1"/>
  <c r="R14" i="18"/>
  <c r="T13" i="18" s="1"/>
  <c r="H13" i="18"/>
  <c r="I13" i="18" s="1"/>
  <c r="J13" i="18" s="1"/>
  <c r="H5" i="18"/>
  <c r="M5" i="18" s="1"/>
  <c r="H4" i="18"/>
  <c r="M4" i="18" s="1"/>
  <c r="H3" i="18"/>
  <c r="I3" i="18" s="1"/>
  <c r="J3" i="18" s="1"/>
  <c r="N19" i="18" l="1"/>
  <c r="Q19" i="18"/>
  <c r="N35" i="18"/>
  <c r="Q35" i="18" s="1"/>
  <c r="N25" i="18"/>
  <c r="O25" i="18" s="1"/>
  <c r="Q25" i="18"/>
  <c r="T19" i="18"/>
  <c r="I4" i="18"/>
  <c r="J4" i="18" s="1"/>
  <c r="I25" i="18"/>
  <c r="J25" i="18" s="1"/>
  <c r="M3" i="18"/>
  <c r="P20" i="18"/>
  <c r="R20" i="18" s="1"/>
  <c r="D35" i="18"/>
  <c r="X35" i="18" s="1"/>
  <c r="D28" i="18"/>
  <c r="X28" i="18" s="1"/>
  <c r="M13" i="18"/>
  <c r="I33" i="18"/>
  <c r="I19" i="18"/>
  <c r="J19" i="18" s="1"/>
  <c r="O19" i="18" s="1"/>
  <c r="I28" i="18"/>
  <c r="J28" i="18" s="1"/>
  <c r="I35" i="18"/>
  <c r="J35" i="18" s="1"/>
  <c r="N28" i="18"/>
  <c r="Q28" i="18" s="1"/>
  <c r="N5" i="18"/>
  <c r="Q5" i="18" s="1"/>
  <c r="N33" i="18"/>
  <c r="Q33" i="18" s="1"/>
  <c r="N4" i="18"/>
  <c r="Q4" i="18" s="1"/>
  <c r="I5" i="18"/>
  <c r="E13" i="18"/>
  <c r="Y13" i="18" s="1"/>
  <c r="E3" i="18"/>
  <c r="E25" i="18"/>
  <c r="Y25" i="18" s="1"/>
  <c r="B46" i="7"/>
  <c r="N3" i="18" l="1"/>
  <c r="Q3" i="18" s="1"/>
  <c r="O35" i="18"/>
  <c r="N13" i="18"/>
  <c r="N42" i="18" s="1"/>
  <c r="P25" i="18"/>
  <c r="R25" i="18" s="1"/>
  <c r="J33" i="18"/>
  <c r="O33" i="18" s="1"/>
  <c r="O28" i="18"/>
  <c r="X42" i="18"/>
  <c r="D42" i="18"/>
  <c r="E35" i="18"/>
  <c r="P35" i="18" s="1"/>
  <c r="E19" i="18"/>
  <c r="Y19" i="18" s="1"/>
  <c r="O4" i="18"/>
  <c r="E4" i="18"/>
  <c r="E28" i="18"/>
  <c r="Y28" i="18" s="1"/>
  <c r="J5" i="18"/>
  <c r="O5" i="18" s="1"/>
  <c r="D51" i="6"/>
  <c r="Q13" i="18" l="1"/>
  <c r="O42" i="18"/>
  <c r="O3" i="18"/>
  <c r="P3" i="18"/>
  <c r="R3" i="18" s="1"/>
  <c r="Y35" i="18"/>
  <c r="E33" i="18"/>
  <c r="E42" i="18" s="1"/>
  <c r="J42" i="18"/>
  <c r="R35" i="18"/>
  <c r="P4" i="18"/>
  <c r="R4" i="18" s="1"/>
  <c r="E5" i="18"/>
  <c r="P28" i="18"/>
  <c r="D7" i="19" s="1"/>
  <c r="A429" i="6"/>
  <c r="Y33" i="18" l="1"/>
  <c r="Y42" i="18" s="1"/>
  <c r="P33" i="18"/>
  <c r="R33" i="18" s="1"/>
  <c r="D6" i="19"/>
  <c r="D5" i="19"/>
  <c r="D4" i="19"/>
  <c r="D3" i="19"/>
  <c r="R28" i="18"/>
  <c r="T28" i="18" s="1"/>
  <c r="P42" i="18"/>
  <c r="P5" i="18"/>
  <c r="R5" i="18" s="1"/>
  <c r="R42" i="18" l="1"/>
  <c r="Z42" i="18"/>
  <c r="AA42" i="18" s="1"/>
  <c r="D146" i="6"/>
  <c r="D47" i="6" s="1"/>
  <c r="B257" i="5" l="1"/>
  <c r="B468" i="5"/>
  <c r="K11" i="6"/>
  <c r="B308" i="5" l="1"/>
  <c r="A430" i="5" s="1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68" i="7"/>
  <c r="B480" i="7" s="1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366" i="5" l="1"/>
  <c r="M25" i="5" l="1"/>
  <c r="E407" i="5" l="1"/>
  <c r="D167" i="5" l="1"/>
  <c r="D186" i="5"/>
  <c r="D306" i="5"/>
  <c r="J56" i="5" l="1"/>
  <c r="J55" i="5"/>
  <c r="B109" i="4" l="1"/>
  <c r="K10" i="1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7" i="8" s="1"/>
  <c r="A127" i="9" s="1"/>
  <c r="A127" i="10" s="1"/>
  <c r="A127" i="11" s="1"/>
  <c r="A127" i="12" s="1"/>
  <c r="A129" i="5"/>
  <c r="A129" i="6" s="1"/>
  <c r="A129" i="7" s="1"/>
  <c r="A129" i="8" s="1"/>
  <c r="A129" i="9" s="1"/>
  <c r="A129" i="10" s="1"/>
  <c r="A129" i="11" s="1"/>
  <c r="A129" i="12" s="1"/>
  <c r="A126" i="5"/>
  <c r="A126" i="6" s="1"/>
  <c r="A126" i="7" s="1"/>
  <c r="A126" i="8" s="1"/>
  <c r="A140" i="8" l="1"/>
  <c r="A126" i="9"/>
  <c r="A140" i="7"/>
  <c r="A140" i="6"/>
  <c r="A140" i="5"/>
  <c r="A140" i="9" l="1"/>
  <c r="A126" i="10"/>
  <c r="B308" i="4"/>
  <c r="J55" i="4"/>
  <c r="E7" i="4"/>
  <c r="A140" i="10" l="1"/>
  <c r="A126" i="11"/>
  <c r="B502" i="5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A140" i="11" l="1"/>
  <c r="A126" i="12"/>
  <c r="A140" i="12" s="1"/>
  <c r="K19" i="5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N59" i="1" l="1"/>
  <c r="D247" i="4" l="1"/>
  <c r="D51" i="4" s="1"/>
  <c r="F68" i="4"/>
  <c r="D49" i="4"/>
  <c r="D67" i="4"/>
  <c r="D74" i="1" l="1"/>
  <c r="A78" i="4" l="1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D326" i="3" l="1"/>
  <c r="D187" i="3" s="1"/>
  <c r="D367" i="3" l="1"/>
  <c r="B468" i="3" l="1"/>
  <c r="D146" i="3" l="1"/>
  <c r="D47" i="3" s="1"/>
  <c r="K7" i="3" l="1"/>
  <c r="K5" i="3"/>
  <c r="K11" i="3"/>
  <c r="A66" i="2" l="1"/>
  <c r="A66" i="3" s="1"/>
  <c r="A66" i="4" l="1"/>
  <c r="A66" i="5" s="1"/>
  <c r="A66" i="6" s="1"/>
  <c r="A66" i="7" l="1"/>
  <c r="A66" i="8" l="1"/>
  <c r="A66" i="9" s="1"/>
  <c r="A66" i="10" s="1"/>
  <c r="A66" i="11" l="1"/>
  <c r="A66" i="12" s="1"/>
  <c r="A66" i="13" s="1"/>
  <c r="A79" i="2"/>
  <c r="A79" i="3" s="1"/>
  <c r="A79" i="4" s="1"/>
  <c r="A79" i="5" s="1"/>
  <c r="A80" i="5" l="1"/>
  <c r="A79" i="6"/>
  <c r="A80" i="2"/>
  <c r="F72" i="1"/>
  <c r="F73" i="1" s="1"/>
  <c r="D75" i="1"/>
  <c r="D76" i="1" s="1"/>
  <c r="A79" i="7" l="1"/>
  <c r="A80" i="6"/>
  <c r="A79" i="8" l="1"/>
  <c r="A80" i="7"/>
  <c r="A80" i="3"/>
  <c r="A80" i="4"/>
  <c r="AZ18" i="1"/>
  <c r="A79" i="9" l="1"/>
  <c r="A80" i="8"/>
  <c r="K16" i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80" i="9" l="1"/>
  <c r="A79" i="10"/>
  <c r="A120" i="2"/>
  <c r="A20" i="2"/>
  <c r="A26" i="2"/>
  <c r="A40" i="2" s="1"/>
  <c r="AZ48" i="1"/>
  <c r="A79" i="11" l="1"/>
  <c r="A80" i="10"/>
  <c r="A467" i="3"/>
  <c r="A467" i="4" s="1"/>
  <c r="A467" i="5" s="1"/>
  <c r="A467" i="6" s="1"/>
  <c r="A467" i="7" s="1"/>
  <c r="A467" i="8" s="1"/>
  <c r="A468" i="3"/>
  <c r="A468" i="4" s="1"/>
  <c r="A466" i="3"/>
  <c r="A466" i="4" s="1"/>
  <c r="A107" i="3"/>
  <c r="A107" i="4" s="1"/>
  <c r="A107" i="5" s="1"/>
  <c r="A107" i="6" s="1"/>
  <c r="A107" i="7" s="1"/>
  <c r="A107" i="8" s="1"/>
  <c r="A107" i="9" s="1"/>
  <c r="A107" i="10" s="1"/>
  <c r="A108" i="3"/>
  <c r="A108" i="4" s="1"/>
  <c r="A109" i="3"/>
  <c r="A109" i="4" s="1"/>
  <c r="A106" i="3"/>
  <c r="A27" i="3"/>
  <c r="A27" i="4" s="1"/>
  <c r="A27" i="5" s="1"/>
  <c r="A27" i="6" s="1"/>
  <c r="A27" i="7" s="1"/>
  <c r="A27" i="8" s="1"/>
  <c r="A27" i="9" s="1"/>
  <c r="A27" i="10" s="1"/>
  <c r="A28" i="3"/>
  <c r="A28" i="4" s="1"/>
  <c r="A28" i="5" s="1"/>
  <c r="A28" i="6" s="1"/>
  <c r="A28" i="7" s="1"/>
  <c r="A28" i="8" s="1"/>
  <c r="A28" i="9" s="1"/>
  <c r="A28" i="10" s="1"/>
  <c r="A29" i="3"/>
  <c r="A29" i="4" s="1"/>
  <c r="A29" i="5" s="1"/>
  <c r="A29" i="6" s="1"/>
  <c r="A29" i="7" s="1"/>
  <c r="A29" i="8" s="1"/>
  <c r="A29" i="9" s="1"/>
  <c r="A29" i="10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9" i="3"/>
  <c r="A9" i="4" s="1"/>
  <c r="A9" i="5" s="1"/>
  <c r="A9" i="6" s="1"/>
  <c r="A9" i="7" s="1"/>
  <c r="A9" i="8" s="1"/>
  <c r="A9" i="9" s="1"/>
  <c r="A9" i="10" s="1"/>
  <c r="A10" i="3"/>
  <c r="A10" i="4" s="1"/>
  <c r="A10" i="5" s="1"/>
  <c r="A10" i="6" s="1"/>
  <c r="A10" i="7" s="1"/>
  <c r="A10" i="8" s="1"/>
  <c r="A10" i="9" s="1"/>
  <c r="A10" i="10" s="1"/>
  <c r="A11" i="3"/>
  <c r="A11" i="4" s="1"/>
  <c r="A11" i="5" s="1"/>
  <c r="A11" i="6" s="1"/>
  <c r="A11" i="7" s="1"/>
  <c r="A11" i="8" s="1"/>
  <c r="A11" i="9" s="1"/>
  <c r="A11" i="10" s="1"/>
  <c r="A12" i="3"/>
  <c r="A12" i="4" s="1"/>
  <c r="A12" i="5" s="1"/>
  <c r="A12" i="6" s="1"/>
  <c r="A12" i="7" s="1"/>
  <c r="A12" i="8" s="1"/>
  <c r="A12" i="9" s="1"/>
  <c r="A12" i="10" s="1"/>
  <c r="A13" i="3"/>
  <c r="A13" i="4" s="1"/>
  <c r="A13" i="5" s="1"/>
  <c r="A13" i="6" s="1"/>
  <c r="A13" i="7" s="1"/>
  <c r="A13" i="8" s="1"/>
  <c r="A13" i="9" s="1"/>
  <c r="A13" i="10" s="1"/>
  <c r="A7" i="3"/>
  <c r="A7" i="4" s="1"/>
  <c r="A7" i="5" s="1"/>
  <c r="A7" i="6" s="1"/>
  <c r="A7" i="7" s="1"/>
  <c r="A7" i="8" s="1"/>
  <c r="A7" i="9" s="1"/>
  <c r="A7" i="10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V72" i="1" s="1"/>
  <c r="O9" i="1"/>
  <c r="O10" i="1"/>
  <c r="O11" i="1"/>
  <c r="A7" i="11" l="1"/>
  <c r="A7" i="12" s="1"/>
  <c r="A7" i="13" s="1"/>
  <c r="A13" i="11"/>
  <c r="A13" i="12" s="1"/>
  <c r="A13" i="13" s="1"/>
  <c r="A12" i="11"/>
  <c r="A12" i="12" s="1"/>
  <c r="A12" i="13" s="1"/>
  <c r="A28" i="11"/>
  <c r="A28" i="12" s="1"/>
  <c r="A28" i="13" s="1"/>
  <c r="A467" i="9"/>
  <c r="A467" i="10" s="1"/>
  <c r="A79" i="12"/>
  <c r="A80" i="11"/>
  <c r="A27" i="11"/>
  <c r="A27" i="12" s="1"/>
  <c r="A27" i="13" s="1"/>
  <c r="A29" i="11"/>
  <c r="A29" i="12" s="1"/>
  <c r="A29" i="13" s="1"/>
  <c r="A10" i="11"/>
  <c r="A10" i="12" s="1"/>
  <c r="A10" i="13" s="1"/>
  <c r="A11" i="11"/>
  <c r="A11" i="12" s="1"/>
  <c r="A11" i="13" s="1"/>
  <c r="A107" i="11"/>
  <c r="A107" i="12" s="1"/>
  <c r="A107" i="13" s="1"/>
  <c r="A9" i="11"/>
  <c r="A9" i="12" s="1"/>
  <c r="A9" i="13" s="1"/>
  <c r="A8" i="11"/>
  <c r="A8" i="12" s="1"/>
  <c r="A8" i="13" s="1"/>
  <c r="A109" i="5"/>
  <c r="A109" i="6" s="1"/>
  <c r="A109" i="7" s="1"/>
  <c r="A109" i="8" s="1"/>
  <c r="A108" i="5"/>
  <c r="A108" i="6" s="1"/>
  <c r="A108" i="7" s="1"/>
  <c r="A108" i="8" s="1"/>
  <c r="A466" i="5"/>
  <c r="A468" i="5"/>
  <c r="A468" i="6" s="1"/>
  <c r="A120" i="3"/>
  <c r="A480" i="3"/>
  <c r="A106" i="4"/>
  <c r="A40" i="3"/>
  <c r="A30" i="4"/>
  <c r="A30" i="5" s="1"/>
  <c r="A30" i="6" s="1"/>
  <c r="A30" i="7" s="1"/>
  <c r="A30" i="8" s="1"/>
  <c r="A30" i="9" s="1"/>
  <c r="A30" i="10" s="1"/>
  <c r="A26" i="7"/>
  <c r="A20" i="6"/>
  <c r="A6" i="7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480" i="5" l="1"/>
  <c r="A80" i="12"/>
  <c r="A79" i="13"/>
  <c r="A80" i="13" s="1"/>
  <c r="A467" i="11"/>
  <c r="A467" i="12" s="1"/>
  <c r="A467" i="13" s="1"/>
  <c r="A466" i="6"/>
  <c r="A466" i="7" s="1"/>
  <c r="A466" i="8" s="1"/>
  <c r="A30" i="11"/>
  <c r="A30" i="12" s="1"/>
  <c r="A30" i="13" s="1"/>
  <c r="A108" i="9"/>
  <c r="A108" i="10" s="1"/>
  <c r="A109" i="10"/>
  <c r="A109" i="9"/>
  <c r="A468" i="7"/>
  <c r="A468" i="8" s="1"/>
  <c r="A468" i="9" s="1"/>
  <c r="A468" i="10" s="1"/>
  <c r="L20" i="2"/>
  <c r="A40" i="4"/>
  <c r="A40" i="5"/>
  <c r="A40" i="6"/>
  <c r="A120" i="4"/>
  <c r="A106" i="5"/>
  <c r="A26" i="8"/>
  <c r="A26" i="9" s="1"/>
  <c r="A40" i="7"/>
  <c r="A6" i="8"/>
  <c r="A20" i="7"/>
  <c r="T20" i="1"/>
  <c r="U20" i="1"/>
  <c r="T21" i="1"/>
  <c r="U21" i="1"/>
  <c r="T22" i="1"/>
  <c r="U22" i="1"/>
  <c r="U50" i="1" s="1"/>
  <c r="A480" i="7" l="1"/>
  <c r="A480" i="6"/>
  <c r="A108" i="11"/>
  <c r="A108" i="12" s="1"/>
  <c r="A108" i="13" s="1"/>
  <c r="A109" i="11"/>
  <c r="A109" i="12" s="1"/>
  <c r="A109" i="13" s="1"/>
  <c r="A468" i="11"/>
  <c r="A468" i="12" s="1"/>
  <c r="A468" i="13" s="1"/>
  <c r="A466" i="9"/>
  <c r="A480" i="8"/>
  <c r="A106" i="6"/>
  <c r="A120" i="5"/>
  <c r="A40" i="8"/>
  <c r="A6" i="9"/>
  <c r="A20" i="8"/>
  <c r="A466" i="10" l="1"/>
  <c r="A466" i="11" s="1"/>
  <c r="A480" i="11" s="1"/>
  <c r="A480" i="9"/>
  <c r="A106" i="7"/>
  <c r="A120" i="6"/>
  <c r="A6" i="10"/>
  <c r="A6" i="11" s="1"/>
  <c r="A20" i="11" s="1"/>
  <c r="A20" i="9"/>
  <c r="A480" i="10" l="1"/>
  <c r="A106" i="8"/>
  <c r="A120" i="7"/>
  <c r="A20" i="10"/>
  <c r="A466" i="12" l="1"/>
  <c r="A106" i="9"/>
  <c r="A120" i="8"/>
  <c r="A6" i="12"/>
  <c r="A466" i="13" l="1"/>
  <c r="A480" i="13" s="1"/>
  <c r="A480" i="12"/>
  <c r="A106" i="10"/>
  <c r="A106" i="11" s="1"/>
  <c r="A120" i="11" s="1"/>
  <c r="A120" i="9"/>
  <c r="A6" i="13"/>
  <c r="A20" i="13" s="1"/>
  <c r="A20" i="12"/>
  <c r="A120" i="10" l="1"/>
  <c r="G43" i="14"/>
  <c r="A106" i="12" l="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K25" i="15" s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C23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F15" i="16"/>
  <c r="G6" i="16"/>
  <c r="I16" i="15"/>
  <c r="A17" i="15"/>
  <c r="E3" i="15"/>
  <c r="E11" i="15"/>
  <c r="E14" i="15"/>
  <c r="E15" i="15"/>
  <c r="E17" i="15"/>
  <c r="E19" i="14" l="1"/>
  <c r="B6" i="14" s="1"/>
  <c r="D19" i="17"/>
  <c r="D20" i="17" s="1"/>
  <c r="D21" i="17" s="1"/>
  <c r="D22" i="17" s="1"/>
  <c r="D23" i="17" s="1"/>
  <c r="D24" i="17" s="1"/>
  <c r="J24" i="15"/>
  <c r="L24" i="15" s="1"/>
  <c r="M24" i="15" s="1"/>
  <c r="M21" i="15"/>
  <c r="M20" i="15"/>
  <c r="M19" i="15"/>
  <c r="M18" i="15"/>
  <c r="M22" i="15"/>
  <c r="I17" i="15"/>
  <c r="A18" i="15"/>
  <c r="C26" i="15" l="1"/>
  <c r="C83" i="15" s="1"/>
  <c r="E8" i="14"/>
  <c r="L6" i="14" s="1"/>
  <c r="D25" i="17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H62" i="17" s="1"/>
  <c r="J25" i="15"/>
  <c r="L25" i="15" s="1"/>
  <c r="M25" i="15" s="1"/>
  <c r="M83" i="15" s="1"/>
  <c r="C5" i="1"/>
  <c r="B14" i="14"/>
  <c r="I18" i="15"/>
  <c r="A19" i="15"/>
  <c r="D63" i="17" l="1"/>
  <c r="E9" i="14"/>
  <c r="G23" i="15"/>
  <c r="E23" i="15"/>
  <c r="G22" i="15"/>
  <c r="A20" i="15"/>
  <c r="I19" i="15"/>
  <c r="E22" i="15" l="1"/>
  <c r="I20" i="15"/>
  <c r="A21" i="15"/>
  <c r="I21" i="15" l="1"/>
  <c r="A22" i="15"/>
  <c r="A23" i="15" l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I82" i="15" s="1"/>
  <c r="I22" i="15"/>
  <c r="I23" i="15" l="1"/>
  <c r="I24" i="15" l="1"/>
  <c r="I25" i="15" l="1"/>
  <c r="B3" i="14" s="1"/>
  <c r="I26" i="15" l="1"/>
  <c r="I27" i="15" l="1"/>
  <c r="AV22" i="1"/>
  <c r="H26" i="15" l="1"/>
  <c r="O26" i="15"/>
  <c r="I28" i="15"/>
  <c r="H27" i="15" l="1"/>
  <c r="O27" i="15"/>
  <c r="I29" i="15"/>
  <c r="H28" i="15" l="1"/>
  <c r="O28" i="15"/>
  <c r="I30" i="15"/>
  <c r="O29" i="15" l="1"/>
  <c r="H29" i="15"/>
  <c r="I31" i="15"/>
  <c r="H30" i="15" s="1"/>
  <c r="I32" i="15" l="1"/>
  <c r="H31" i="15" s="1"/>
  <c r="I33" i="15" l="1"/>
  <c r="H32" i="15" s="1"/>
  <c r="I34" i="15" l="1"/>
  <c r="H33" i="15" s="1"/>
  <c r="I35" i="15" l="1"/>
  <c r="H34" i="15" s="1"/>
  <c r="I36" i="15" l="1"/>
  <c r="H35" i="15" s="1"/>
  <c r="I37" i="15" l="1"/>
  <c r="H36" i="15" s="1"/>
  <c r="I38" i="15" l="1"/>
  <c r="H37" i="15" s="1"/>
  <c r="I39" i="15" l="1"/>
  <c r="H38" i="15" s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H39" i="15" s="1"/>
  <c r="AW21" i="1"/>
  <c r="AW40" i="1"/>
  <c r="AW26" i="1"/>
  <c r="AW34" i="1"/>
  <c r="AW43" i="1"/>
  <c r="AW22" i="1"/>
  <c r="AW50" i="1" s="1"/>
  <c r="AW23" i="1"/>
  <c r="AW46" i="1" l="1"/>
  <c r="AW47" i="1" s="1"/>
  <c r="I41" i="15"/>
  <c r="H40" i="15" s="1"/>
  <c r="I42" i="15" l="1"/>
  <c r="H41" i="15" s="1"/>
  <c r="I43" i="15" l="1"/>
  <c r="H42" i="15" s="1"/>
  <c r="I44" i="15" l="1"/>
  <c r="H43" i="15" s="1"/>
  <c r="I45" i="15" l="1"/>
  <c r="H44" i="15" s="1"/>
  <c r="I46" i="15" l="1"/>
  <c r="H45" i="15" s="1"/>
  <c r="I47" i="15" l="1"/>
  <c r="H46" i="15" s="1"/>
  <c r="I48" i="15" l="1"/>
  <c r="H47" i="15" s="1"/>
  <c r="I49" i="15" l="1"/>
  <c r="H48" i="15" s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H49" i="15" s="1"/>
  <c r="AS24" i="1"/>
  <c r="AS22" i="1"/>
  <c r="AS50" i="1" s="1"/>
  <c r="AS31" i="1"/>
  <c r="AS34" i="1"/>
  <c r="AS23" i="1"/>
  <c r="AS21" i="1"/>
  <c r="AS46" i="1" l="1"/>
  <c r="I51" i="15"/>
  <c r="H50" i="15" s="1"/>
  <c r="I52" i="15" l="1"/>
  <c r="H51" i="15" s="1"/>
  <c r="I53" i="15" l="1"/>
  <c r="H52" i="15" s="1"/>
  <c r="I54" i="15" l="1"/>
  <c r="H53" i="15" s="1"/>
  <c r="I55" i="15" l="1"/>
  <c r="H54" i="15" s="1"/>
  <c r="I56" i="15" l="1"/>
  <c r="H55" i="15" s="1"/>
  <c r="I57" i="15" l="1"/>
  <c r="H56" i="15" s="1"/>
  <c r="I58" i="15" l="1"/>
  <c r="H57" i="15" s="1"/>
  <c r="I59" i="15" l="1"/>
  <c r="H58" i="15" s="1"/>
  <c r="I60" i="15" l="1"/>
  <c r="H59" i="15" s="1"/>
  <c r="I61" i="15" l="1"/>
  <c r="H60" i="15" s="1"/>
  <c r="I62" i="15" l="1"/>
  <c r="H61" i="15" s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H62" i="15" s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A425" i="2" l="1"/>
  <c r="B426" i="2" s="1"/>
  <c r="B440" i="2" s="1"/>
  <c r="A425" i="11"/>
  <c r="B426" i="11" s="1"/>
  <c r="B440" i="11" s="1"/>
  <c r="B426" i="3"/>
  <c r="B440" i="3" s="1"/>
  <c r="I64" i="15"/>
  <c r="H63" i="15" s="1"/>
  <c r="AF41" i="1"/>
  <c r="AO21" i="1"/>
  <c r="AO22" i="1"/>
  <c r="AO50" i="1" s="1"/>
  <c r="AO42" i="1"/>
  <c r="AO23" i="1"/>
  <c r="AO46" i="1" l="1"/>
  <c r="I65" i="15"/>
  <c r="H64" i="15" s="1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H65" i="15" s="1"/>
  <c r="AK31" i="1"/>
  <c r="AK34" i="1"/>
  <c r="AK42" i="1"/>
  <c r="AK43" i="1"/>
  <c r="AK27" i="1"/>
  <c r="AK21" i="1"/>
  <c r="I67" i="15" l="1"/>
  <c r="H66" i="15" s="1"/>
  <c r="AK46" i="1"/>
  <c r="AK47" i="1" s="1"/>
  <c r="I68" i="15" l="1"/>
  <c r="H67" i="15" s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H68" i="15" s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H69" i="15" s="1"/>
  <c r="AG28" i="1"/>
  <c r="AG22" i="1"/>
  <c r="AG50" i="1" s="1"/>
  <c r="AG43" i="1"/>
  <c r="AG31" i="1"/>
  <c r="AG34" i="1"/>
  <c r="AG32" i="1"/>
  <c r="AG21" i="1"/>
  <c r="I71" i="15" l="1"/>
  <c r="H70" i="15" s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H71" i="15" s="1"/>
  <c r="AC31" i="1"/>
  <c r="AC23" i="1"/>
  <c r="AC24" i="1"/>
  <c r="AC20" i="1"/>
  <c r="AC32" i="1"/>
  <c r="AC34" i="1"/>
  <c r="I73" i="15" l="1"/>
  <c r="H72" i="15" s="1"/>
  <c r="AC46" i="1"/>
  <c r="AC47" i="1" s="1"/>
  <c r="AS47" i="1"/>
  <c r="AO47" i="1"/>
  <c r="AF46" i="1"/>
  <c r="AF47" i="1" s="1"/>
  <c r="AB46" i="1"/>
  <c r="AB47" i="1" s="1"/>
  <c r="I74" i="15" l="1"/>
  <c r="H73" i="15" s="1"/>
  <c r="AJ46" i="1"/>
  <c r="AJ47" i="1" s="1"/>
  <c r="I75" i="15" l="1"/>
  <c r="H74" i="15" s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H75" i="15" s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H76" i="15" s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H77" i="15" s="1"/>
  <c r="Y46" i="1"/>
  <c r="Y47" i="1" s="1"/>
  <c r="M46" i="1"/>
  <c r="M47" i="1" s="1"/>
  <c r="Q46" i="1"/>
  <c r="Q47" i="1" s="1"/>
  <c r="I46" i="1"/>
  <c r="I47" i="1" s="1"/>
  <c r="I79" i="15" l="1"/>
  <c r="H78" i="15" s="1"/>
  <c r="D45" i="1"/>
  <c r="BE45" i="1" s="1"/>
  <c r="BH45" i="1" s="1"/>
  <c r="E45" i="1"/>
  <c r="I80" i="15" l="1"/>
  <c r="H79" i="15" s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H80" i="15" l="1"/>
  <c r="H81" i="15"/>
  <c r="H83" i="15" s="1"/>
  <c r="B5" i="14" s="1"/>
  <c r="E10" i="14" s="1"/>
  <c r="E11" i="14" s="1"/>
  <c r="B13" i="14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AD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E25" i="15" l="1"/>
  <c r="D26" i="15"/>
  <c r="E26" i="15" s="1"/>
  <c r="N41" i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N6" i="14" s="1"/>
  <c r="B15" i="14"/>
  <c r="K6" i="14" s="1"/>
  <c r="L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H34" i="1" l="1"/>
  <c r="AL34" i="1" s="1"/>
  <c r="AP34" i="1" s="1"/>
  <c r="AT34" i="1" s="1"/>
  <c r="A286" i="9"/>
  <c r="M7" i="14"/>
  <c r="N7" i="14" s="1"/>
  <c r="R32" i="1"/>
  <c r="V32" i="1" s="1"/>
  <c r="Z32" i="1" s="1"/>
  <c r="AD32" i="1" s="1"/>
  <c r="AH32" i="1" s="1"/>
  <c r="AL32" i="1" s="1"/>
  <c r="AP32" i="1" s="1"/>
  <c r="AT32" i="1" s="1"/>
  <c r="AX32" i="1" s="1"/>
  <c r="D83" i="15"/>
  <c r="E24" i="15"/>
  <c r="E83" i="15" s="1"/>
  <c r="K7" i="14"/>
  <c r="L8" i="14" s="1"/>
  <c r="AX23" i="1"/>
  <c r="BJ23" i="1"/>
  <c r="AX38" i="1"/>
  <c r="BJ38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BJ32" i="1" l="1"/>
  <c r="A300" i="9"/>
  <c r="A286" i="10"/>
  <c r="K8" i="14"/>
  <c r="L9" i="14" s="1"/>
  <c r="A246" i="5"/>
  <c r="A246" i="6" s="1"/>
  <c r="AX21" i="1"/>
  <c r="BJ21" i="1"/>
  <c r="AX22" i="1"/>
  <c r="BJ22" i="1"/>
  <c r="M8" i="14"/>
  <c r="N8" i="14" s="1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A286" i="11" l="1"/>
  <c r="A300" i="10"/>
  <c r="M9" i="14"/>
  <c r="N9" i="14" s="1"/>
  <c r="A246" i="7"/>
  <c r="A246" i="8" s="1"/>
  <c r="A246" i="9" s="1"/>
  <c r="A246" i="10" s="1"/>
  <c r="A246" i="11" s="1"/>
  <c r="K9" i="14"/>
  <c r="L10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A246" i="12" l="1"/>
  <c r="A300" i="11"/>
  <c r="A286" i="12"/>
  <c r="K10" i="14"/>
  <c r="L11" i="14" s="1"/>
  <c r="B22" i="14" s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M10" i="14"/>
  <c r="N10" i="14" s="1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A300" i="12" l="1"/>
  <c r="A286" i="13"/>
  <c r="A300" i="13" s="1"/>
  <c r="M11" i="14"/>
  <c r="N11" i="14" s="1"/>
  <c r="L13" i="14"/>
  <c r="K11" i="14"/>
  <c r="B23" i="14" s="1"/>
  <c r="AX20" i="1"/>
  <c r="BJ20" i="1"/>
  <c r="AX40" i="1"/>
  <c r="BJ40" i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M13" i="14" l="1"/>
  <c r="N13" i="14" s="1"/>
  <c r="BC48" i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66" i="3"/>
  <c r="A173" i="3"/>
  <c r="A173" i="4" s="1"/>
  <c r="A180" i="3" l="1"/>
  <c r="A166" i="4"/>
  <c r="A180" i="4" s="1"/>
  <c r="A256" i="5"/>
  <c r="A256" i="6" s="1"/>
  <c r="A258" i="5"/>
  <c r="A258" i="6" s="1"/>
  <c r="A259" i="5"/>
  <c r="A259" i="6" s="1"/>
  <c r="A257" i="5"/>
  <c r="A257" i="6" s="1"/>
  <c r="A257" i="7" s="1"/>
  <c r="A257" i="8" s="1"/>
  <c r="A257" i="9" s="1"/>
  <c r="A257" i="10" l="1"/>
  <c r="A257" i="11" s="1"/>
  <c r="A257" i="12" s="1"/>
  <c r="A256" i="7"/>
  <c r="A260" i="6"/>
  <c r="A258" i="7"/>
  <c r="A258" i="8" s="1"/>
  <c r="A260" i="5"/>
  <c r="A40" i="9"/>
  <c r="A26" i="10"/>
  <c r="A26" i="11" s="1"/>
  <c r="A40" i="11" s="1"/>
  <c r="A26" i="12" l="1"/>
  <c r="A40" i="12" s="1"/>
  <c r="A40" i="10"/>
  <c r="A256" i="8"/>
  <c r="A260" i="7"/>
  <c r="A260" i="8" l="1"/>
  <c r="A256" i="9"/>
  <c r="A26" i="13"/>
  <c r="A40" i="13" s="1"/>
  <c r="A256" i="10" l="1"/>
  <c r="A260" i="9"/>
  <c r="A256" i="11" l="1"/>
  <c r="A260" i="10"/>
  <c r="A256" i="12" l="1"/>
  <c r="A260" i="12" s="1"/>
  <c r="A260" i="11"/>
</calcChain>
</file>

<file path=xl/sharedStrings.xml><?xml version="1.0" encoding="utf-8"?>
<sst xmlns="http://schemas.openxmlformats.org/spreadsheetml/2006/main" count="5820" uniqueCount="889">
  <si>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</si>
  <si>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</si>
  <si>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</si>
  <si>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</si>
  <si>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</si>
  <si>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</si>
  <si>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</si>
  <si>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</si>
  <si>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</si>
  <si>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</si>
  <si>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</si>
  <si>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</si>
  <si>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</si>
  <si>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</si>
  <si>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</si>
  <si>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</si>
  <si>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</si>
  <si>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</si>
  <si>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</si>
  <si>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</si>
  <si>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</si>
  <si>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</si>
  <si>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</si>
  <si>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</si>
  <si>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</si>
  <si>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</si>
  <si>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</si>
  <si>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</si>
  <si>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</si>
  <si>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</si>
  <si>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</si>
  <si>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</si>
  <si>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</si>
  <si>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</si>
  <si>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</si>
  <si>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</si>
  <si>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</si>
  <si>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</si>
  <si>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</si>
  <si>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</si>
  <si>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</si>
  <si>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</si>
  <si>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</si>
  <si>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</si>
  <si>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</si>
  <si>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</si>
  <si>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</si>
  <si>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</si>
  <si>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</si>
  <si>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</si>
  <si>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</si>
  <si>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</si>
  <si>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</si>
  <si>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</si>
  <si>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</si>
  <si>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</si>
  <si>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</si>
  <si>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</si>
  <si>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</si>
  <si>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</si>
  <si>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</si>
  <si>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</si>
  <si>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</si>
  <si>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</si>
  <si>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</si>
  <si>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</si>
  <si>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</si>
  <si>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</si>
  <si>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</si>
  <si>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</si>
  <si>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</si>
  <si>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</si>
  <si>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</si>
  <si>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</si>
  <si>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</si>
  <si>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</si>
  <si>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</si>
  <si>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</si>
  <si>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</si>
  <si>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</si>
  <si>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</si>
  <si>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</si>
  <si>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</si>
  <si>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</si>
  <si>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</si>
  <si>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</si>
  <si>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</si>
  <si>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</si>
  <si>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</si>
  <si>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</si>
  <si>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</si>
  <si>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</si>
  <si>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</si>
  <si>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</si>
  <si>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</si>
  <si>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</si>
  <si>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</si>
  <si>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</si>
  <si>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</si>
  <si>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</si>
  <si>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</si>
  <si>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</si>
  <si>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</si>
  <si>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</si>
  <si>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</si>
  <si>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</si>
  <si>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</si>
  <si>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</si>
  <si>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</si>
  <si>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</si>
  <si>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</si>
  <si>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</si>
  <si>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</si>
  <si>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</si>
  <si>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</si>
  <si>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</si>
  <si>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</si>
  <si>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</si>
  <si>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</si>
  <si>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</si>
  <si>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</si>
  <si>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</si>
  <si>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</si>
  <si>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</si>
  <si>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</si>
  <si>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</si>
  <si>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</si>
  <si>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</si>
  <si>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</si>
  <si>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</si>
  <si>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</si>
  <si>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</si>
  <si>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</si>
  <si>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</si>
  <si>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</si>
  <si>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</si>
  <si>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</si>
  <si>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</si>
  <si>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</si>
  <si>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</si>
  <si>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</si>
  <si>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</si>
  <si>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</si>
  <si>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</si>
  <si>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</si>
  <si>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</si>
  <si>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</si>
  <si>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</si>
  <si>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</si>
  <si>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</si>
  <si>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</si>
  <si>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</si>
  <si>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</si>
  <si>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</si>
  <si>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</si>
  <si>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</si>
  <si>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</si>
  <si>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</si>
  <si>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</si>
  <si>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</si>
  <si>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</si>
  <si>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</si>
  <si>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</si>
  <si>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</si>
  <si>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</si>
  <si>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</si>
  <si>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</si>
  <si>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</si>
  <si>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</si>
  <si>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</si>
  <si>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</si>
  <si>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</si>
  <si>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</si>
  <si>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</si>
  <si>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</si>
  <si>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</si>
  <si>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</si>
  <si>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</si>
  <si>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</si>
  <si>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</si>
  <si>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</si>
  <si>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</si>
  <si>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</si>
  <si>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</si>
  <si>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</si>
  <si>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</si>
  <si>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</si>
  <si>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</si>
  <si>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</si>
  <si>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</si>
  <si>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</si>
  <si>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</si>
  <si>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</si>
  <si>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</si>
  <si>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</si>
  <si>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Fija al més (45€)</t>
  </si>
  <si>
    <t>Seguro (Hasta 720€)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</si>
  <si>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</si>
  <si>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</si>
  <si>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</si>
  <si>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</si>
  <si>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</si>
  <si>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</si>
  <si>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</si>
  <si>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</si>
  <si>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</si>
  <si>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</si>
  <si>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</si>
  <si>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</si>
  <si>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</si>
  <si>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</si>
  <si>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</si>
  <si>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</si>
  <si>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</si>
  <si>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</si>
  <si>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</si>
  <si>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</si>
  <si>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</si>
  <si>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</si>
  <si>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</si>
  <si>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</si>
  <si>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</si>
  <si>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</si>
  <si>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</si>
  <si>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</si>
  <si>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</si>
  <si>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</si>
  <si>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</si>
  <si>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</si>
  <si>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</si>
  <si>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</si>
  <si>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</si>
  <si>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Base Manolo SURF10</t>
  </si>
  <si>
    <t>Gb/dia</t>
  </si>
  <si>
    <t>dias</t>
  </si>
  <si>
    <t>Nespresso gastar bonos</t>
  </si>
  <si>
    <t>allocations familier</t>
  </si>
  <si>
    <t>Amortizar Hipoteca</t>
  </si>
  <si>
    <t xml:space="preserve">Pagar Regalo Marina </t>
  </si>
  <si>
    <t>363-1450507-09-0 Custodia</t>
  </si>
  <si>
    <t>18/01 Tom &amp; Co</t>
  </si>
  <si>
    <t>Reglote</t>
  </si>
  <si>
    <t>Pagar Master</t>
  </si>
  <si>
    <t>Fontanero</t>
  </si>
  <si>
    <t xml:space="preserve">Hacienda 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</si>
  <si>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</si>
  <si>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</si>
  <si>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</si>
  <si>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</si>
  <si>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</si>
  <si>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</si>
  <si>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</si>
  <si>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</si>
  <si>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</si>
  <si>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</si>
  <si>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</si>
  <si>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</si>
  <si>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</si>
  <si>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</si>
  <si>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</si>
  <si>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</si>
  <si>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</si>
  <si>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</si>
  <si>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</si>
  <si>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</si>
  <si>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</si>
  <si>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</si>
  <si>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</si>
  <si>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</si>
  <si>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</si>
  <si>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</si>
  <si>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</si>
  <si>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</si>
  <si>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</si>
  <si>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</si>
  <si>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</si>
  <si>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</si>
  <si>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</si>
  <si>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</si>
  <si>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</si>
  <si>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</si>
  <si>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</si>
  <si>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</si>
  <si>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</si>
  <si>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</si>
  <si>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</si>
  <si>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</si>
  <si>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</si>
  <si>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</si>
  <si>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</si>
  <si>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</si>
  <si>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</si>
  <si>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</si>
  <si>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</si>
  <si>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</si>
  <si>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</si>
  <si>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</si>
  <si>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</si>
  <si>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</si>
  <si>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</si>
  <si>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</si>
  <si>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</si>
  <si>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</si>
  <si>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</si>
  <si>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</si>
  <si>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</si>
  <si>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</si>
  <si>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</si>
  <si>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</si>
  <si>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</si>
  <si>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</si>
  <si>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</si>
  <si>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</si>
  <si>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</si>
  <si>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</si>
  <si>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</si>
  <si>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</si>
  <si>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</si>
  <si>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</si>
  <si>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</si>
  <si>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</si>
  <si>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</si>
  <si>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</si>
  <si>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</si>
  <si>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</si>
  <si>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</si>
  <si>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</si>
  <si>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</si>
  <si>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</si>
  <si>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</si>
  <si>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</si>
  <si>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</si>
  <si>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</si>
  <si>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</si>
  <si>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</si>
  <si>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</si>
  <si>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</si>
  <si>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</si>
  <si>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</si>
  <si>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</si>
  <si>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</si>
  <si>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</si>
  <si>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</si>
  <si>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</si>
  <si>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</si>
  <si>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</si>
  <si>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</si>
  <si>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</si>
  <si>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</si>
  <si>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</si>
  <si>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</si>
  <si>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</si>
  <si>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</si>
  <si>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</si>
  <si>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</si>
  <si>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</si>
  <si>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</si>
  <si>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</si>
  <si>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</si>
  <si>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</si>
  <si>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</si>
  <si>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</si>
  <si>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</si>
  <si>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</si>
  <si>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</si>
  <si>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</si>
  <si>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</si>
  <si>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</si>
  <si>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</si>
  <si>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</si>
  <si>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</si>
  <si>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</si>
  <si>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</si>
  <si>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</si>
  <si>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</si>
  <si>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</si>
  <si>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</si>
  <si>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</si>
  <si>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</si>
  <si>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</si>
  <si>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</si>
  <si>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</si>
  <si>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</si>
  <si>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</si>
  <si>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</si>
  <si>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</si>
  <si>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</si>
  <si>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</si>
  <si>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</si>
  <si>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</si>
  <si>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</si>
  <si>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</si>
  <si>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</si>
  <si>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</si>
  <si>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</si>
  <si>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</si>
  <si>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</si>
  <si>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</si>
  <si>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</si>
  <si>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</si>
  <si>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</si>
  <si>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</si>
  <si>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</si>
  <si>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</si>
  <si>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</si>
  <si>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</si>
  <si>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</si>
  <si>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</si>
  <si>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</si>
  <si>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</si>
  <si>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</si>
  <si>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</si>
  <si>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</si>
  <si>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</si>
  <si>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Vacaciones Restantes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</si>
  <si>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</si>
  <si>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</si>
  <si>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</si>
  <si>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</si>
  <si>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</si>
  <si>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</si>
  <si>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</si>
  <si>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</si>
  <si>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</si>
  <si>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</si>
  <si>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</si>
  <si>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</si>
  <si>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</si>
  <si>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</si>
  <si>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</si>
  <si>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</si>
  <si>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</si>
  <si>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</si>
  <si>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</si>
  <si>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</si>
  <si>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</si>
  <si>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</si>
  <si>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</si>
  <si>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</si>
  <si>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</si>
  <si>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</si>
  <si>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</si>
  <si>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</si>
  <si>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</si>
  <si>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</si>
  <si>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</si>
  <si>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</si>
  <si>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</si>
  <si>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</si>
  <si>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</si>
  <si>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</si>
  <si>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</si>
  <si>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</si>
  <si>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</si>
  <si>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</si>
  <si>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</si>
  <si>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</si>
  <si>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</si>
  <si>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</si>
  <si>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</si>
  <si>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</si>
  <si>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</si>
  <si>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</si>
  <si>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</si>
  <si>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</si>
  <si>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</si>
  <si>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</si>
  <si>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</si>
  <si>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</si>
  <si>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</si>
  <si>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</si>
  <si>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</si>
  <si>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</si>
  <si>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</si>
  <si>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</si>
  <si>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</si>
  <si>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</si>
  <si>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</si>
  <si>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</si>
  <si>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</si>
  <si>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</si>
  <si>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</si>
  <si>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</si>
  <si>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</si>
  <si>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</si>
  <si>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Interim dividend payment</t>
  </si>
  <si>
    <t>71.28-76.50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</si>
  <si>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</si>
  <si>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</si>
  <si>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</si>
  <si>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</si>
  <si>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</si>
  <si>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</si>
  <si>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</si>
  <si>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</si>
  <si>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</si>
  <si>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</si>
  <si>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</si>
  <si>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</si>
  <si>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DIAS</t>
  </si>
  <si>
    <t>Ampliacion de Capital MT.AS</t>
  </si>
  <si>
    <t>Paga Extra bruto 2018</t>
  </si>
  <si>
    <t>Paga Extra neto 2018</t>
  </si>
  <si>
    <t>Paga Extra bruto 2019</t>
  </si>
  <si>
    <t>Paga Extra neto 2019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</si>
  <si>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</si>
  <si>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</si>
  <si>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</si>
  <si>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</si>
  <si>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</si>
  <si>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</si>
  <si>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</si>
  <si>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</si>
  <si>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</si>
  <si>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</si>
  <si>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</si>
  <si>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</si>
  <si>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</si>
  <si>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</si>
  <si>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</si>
  <si>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</si>
  <si>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</si>
  <si>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</si>
  <si>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</si>
  <si>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</si>
  <si>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</si>
  <si>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</si>
  <si>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</si>
  <si>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</si>
  <si>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</si>
  <si>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</si>
  <si>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</si>
  <si>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</si>
  <si>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</si>
  <si>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</si>
  <si>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</si>
  <si>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</si>
  <si>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</si>
  <si>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</si>
  <si>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</si>
  <si>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</si>
  <si>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</si>
  <si>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</si>
  <si>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</si>
  <si>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</si>
  <si>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</si>
  <si>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</si>
  <si>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</si>
  <si>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&lt;300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</si>
  <si>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</si>
  <si>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</si>
  <si>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</si>
  <si>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</si>
  <si>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</si>
  <si>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</si>
  <si>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</si>
  <si>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</si>
  <si>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</si>
  <si>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</si>
  <si>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</si>
  <si>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</si>
  <si>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</si>
  <si>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</si>
  <si>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</si>
  <si>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</si>
  <si>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</si>
  <si>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</si>
  <si>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</si>
  <si>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</si>
  <si>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</si>
  <si>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</si>
  <si>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</si>
  <si>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</si>
  <si>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</si>
  <si>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</si>
  <si>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</si>
  <si>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</si>
  <si>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</si>
  <si>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</si>
  <si>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</si>
  <si>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</si>
  <si>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</si>
  <si>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</si>
  <si>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</si>
  <si>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</si>
  <si>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</si>
  <si>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</si>
  <si>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</si>
  <si>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</si>
  <si>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</si>
  <si>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&lt;330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</si>
  <si>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</si>
  <si>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</si>
  <si>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</si>
  <si>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</si>
  <si>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</si>
  <si>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</si>
  <si>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</si>
  <si>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</si>
  <si>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</si>
  <si>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</si>
  <si>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</si>
  <si>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</si>
  <si>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</si>
  <si>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</si>
  <si>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</si>
  <si>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</si>
  <si>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</si>
  <si>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</si>
  <si>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</si>
  <si>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</si>
  <si>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</si>
  <si>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</si>
  <si>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</si>
  <si>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</si>
  <si>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</si>
  <si>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</si>
  <si>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</si>
  <si>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</si>
  <si>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</si>
  <si>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</si>
  <si>
    <t>EcoCheques</t>
  </si>
  <si>
    <t>08/07 Media Markt</t>
  </si>
  <si>
    <t>08/07 MediMarket</t>
  </si>
  <si>
    <t>06/07 Carrefour</t>
  </si>
  <si>
    <t>06/07 HM</t>
  </si>
  <si>
    <t>Capac</t>
  </si>
  <si>
    <t>Mutualite</t>
  </si>
  <si>
    <t>05/07 Apero</t>
  </si>
  <si>
    <t>44€ El corte ingles</t>
  </si>
  <si>
    <t>12.50€ El corte ingles</t>
  </si>
  <si>
    <t>Malaga Aproximado</t>
  </si>
  <si>
    <t>tita Mari</t>
  </si>
  <si>
    <t>Eva</t>
  </si>
  <si>
    <t>Pablillo</t>
  </si>
  <si>
    <t>09/07 Decathlon guadalmar</t>
  </si>
  <si>
    <t>12/07 Primor</t>
  </si>
  <si>
    <t>12/07 Mercadona</t>
  </si>
  <si>
    <t>13/07 Selwo</t>
  </si>
  <si>
    <t>08-17/07 Parking</t>
  </si>
  <si>
    <t>17/07 Hotel</t>
  </si>
  <si>
    <t>12/07 Gafas de sol</t>
  </si>
  <si>
    <t>Alquiler + endesa</t>
  </si>
  <si>
    <t>08/07 Delhaize</t>
  </si>
  <si>
    <t>08/07 Mutualite</t>
  </si>
  <si>
    <t>13/07 Benalmadena</t>
  </si>
  <si>
    <t>PC (hasta 1006.66€)</t>
  </si>
  <si>
    <t>PC (hasta 905.99€)</t>
  </si>
  <si>
    <t>Aldi Cheques</t>
  </si>
  <si>
    <t>21/07 Feria</t>
  </si>
  <si>
    <t>19/07 Joliboit</t>
  </si>
  <si>
    <t>19/07 Esso</t>
  </si>
  <si>
    <t>21/07 Delhaize</t>
  </si>
  <si>
    <t>20/07 Aldi</t>
  </si>
  <si>
    <t>19/07 Malaga Dutty free</t>
  </si>
  <si>
    <t>Aspiradora (hasta 0€)</t>
  </si>
  <si>
    <t>24/07 Multa Domburgo</t>
  </si>
  <si>
    <t>25/07 Tren</t>
  </si>
  <si>
    <t>Hasta 0€</t>
  </si>
  <si>
    <t>176€ Cheques</t>
  </si>
  <si>
    <t>Fijo Mensual (130€)</t>
  </si>
  <si>
    <t>28/07 Brico</t>
  </si>
  <si>
    <t>27/07 Cresccendo</t>
  </si>
  <si>
    <t>&lt;240</t>
  </si>
  <si>
    <t>27/07 Carrefour</t>
  </si>
  <si>
    <t>30/07 DreamBaby</t>
  </si>
  <si>
    <t>30/07 Delhaize</t>
  </si>
  <si>
    <t>Ajuste</t>
  </si>
  <si>
    <t>Fondo de Inversion --&gt; A Coche</t>
  </si>
  <si>
    <t>Fondo de Inversion --&gt; De Financiareos</t>
  </si>
  <si>
    <t>Basura W  (hasta 70€)</t>
  </si>
  <si>
    <t>Circulacion BE (hasta 300€)</t>
  </si>
  <si>
    <t>Fondo de Inversion --&gt; De Dreamed Holidays</t>
  </si>
  <si>
    <t>El corte ingles</t>
  </si>
  <si>
    <t>PC (hasta 805.32€)</t>
  </si>
  <si>
    <t>Hipoteca (hasta 130769.68€)</t>
  </si>
  <si>
    <t>01/08 Clases de Frances</t>
  </si>
  <si>
    <t>02/08 Custodia</t>
  </si>
  <si>
    <t>04/08 Tutete</t>
  </si>
  <si>
    <t>03/08 Delhaize</t>
  </si>
  <si>
    <t>03/08 Action</t>
  </si>
  <si>
    <t>Fondo de Inversion --&gt; De Cartama Finanzas</t>
  </si>
  <si>
    <t>03/08 Aldi</t>
  </si>
  <si>
    <t>07/08 Delhaize</t>
  </si>
  <si>
    <t>08/08 Pay-Pal - Miriam</t>
  </si>
  <si>
    <t>02/08 Shell</t>
  </si>
  <si>
    <t>09/08 Esso</t>
  </si>
  <si>
    <t>11/08 Cine</t>
  </si>
  <si>
    <t>10/08 Mifa</t>
  </si>
  <si>
    <t>10/08 Delhaize</t>
  </si>
  <si>
    <t>12/08 Chirec</t>
  </si>
  <si>
    <t>10/08 Carrefour</t>
  </si>
  <si>
    <t>19/08 Gine</t>
  </si>
  <si>
    <t>15/08 Cine</t>
  </si>
  <si>
    <t>16/08 Burselas</t>
  </si>
  <si>
    <t>18/08 Trafic</t>
  </si>
  <si>
    <t>17/08 Alid</t>
  </si>
  <si>
    <t>17/08 Delhaize</t>
  </si>
  <si>
    <t>15/08 Mutua</t>
  </si>
  <si>
    <t>16/08 Parking</t>
  </si>
  <si>
    <t>16/08 Lush</t>
  </si>
  <si>
    <t>16/08 Zara</t>
  </si>
  <si>
    <t>% Interes</t>
  </si>
  <si>
    <t>21/08 Shein- PayPal</t>
  </si>
  <si>
    <t>Cumple Rocío</t>
  </si>
  <si>
    <t>22/08 Analisis</t>
  </si>
  <si>
    <t>23/08 Quick</t>
  </si>
  <si>
    <t>25/08 Dlehaize Proxy</t>
  </si>
  <si>
    <t>24/08 Medi-Market</t>
  </si>
  <si>
    <t>24/08 Aquatre</t>
  </si>
  <si>
    <t>19/08 Mutua</t>
  </si>
  <si>
    <t>23/08 Shell</t>
  </si>
  <si>
    <t>26/08 Amazon Miriam</t>
  </si>
  <si>
    <t>27/08 Amazon Miriam</t>
  </si>
  <si>
    <t>Papa Amazon Miriam</t>
  </si>
  <si>
    <t>Papa LaVane</t>
  </si>
  <si>
    <t>27/08 Mifa</t>
  </si>
  <si>
    <t>Papa Amazon</t>
  </si>
  <si>
    <t>SURF10</t>
  </si>
  <si>
    <t>Cuanto falta %</t>
  </si>
  <si>
    <t>30/08 Tom &amp; Co</t>
  </si>
  <si>
    <t>02/09 Frances</t>
  </si>
  <si>
    <t>01/02 Braderie</t>
  </si>
  <si>
    <t>02/09 La Brioche</t>
  </si>
  <si>
    <t>151.38€ El corte ingles</t>
  </si>
  <si>
    <t>168€ Cheques</t>
  </si>
  <si>
    <t>31/08 IKEA</t>
  </si>
  <si>
    <t>01/09 Hema</t>
  </si>
  <si>
    <t>Familia Palomino</t>
  </si>
  <si>
    <t>01/09 Oisho</t>
  </si>
  <si>
    <t>03/09 Custodia Agosto</t>
  </si>
  <si>
    <t xml:space="preserve"> </t>
  </si>
  <si>
    <t>03/09 Sushi Shop</t>
  </si>
  <si>
    <t>02/09 Shell</t>
  </si>
  <si>
    <t>03/09 Nespresso</t>
  </si>
  <si>
    <t>PC (hasta704.65€)</t>
  </si>
  <si>
    <t xml:space="preserve">INFINO </t>
  </si>
  <si>
    <t>550+103.67+22.59</t>
  </si>
  <si>
    <t>Rocio Skype</t>
  </si>
  <si>
    <t>05/09 Carrefour</t>
  </si>
  <si>
    <t>10/09 Shell</t>
  </si>
  <si>
    <t>11/09 Gine</t>
  </si>
  <si>
    <t>12/09 Hospital</t>
  </si>
  <si>
    <t>13/09 Delhaize</t>
  </si>
  <si>
    <t>15/09 Proxy</t>
  </si>
  <si>
    <t>14/09 Aldi</t>
  </si>
  <si>
    <t>13/09 Quick</t>
  </si>
  <si>
    <t>14/09 Farmacia</t>
  </si>
  <si>
    <t>Copa Maredosus</t>
  </si>
  <si>
    <t>15/09 Waterloo</t>
  </si>
  <si>
    <t>14/09 IKEA</t>
  </si>
  <si>
    <t>17/09 Amazon Zapatos</t>
  </si>
  <si>
    <t xml:space="preserve">Estudiante </t>
  </si>
  <si>
    <t>22/09 Proxy</t>
  </si>
  <si>
    <t>21/09 Sequoia</t>
  </si>
  <si>
    <t>20/09 Ecole</t>
  </si>
  <si>
    <t>f5</t>
  </si>
  <si>
    <t>mrs8</t>
  </si>
  <si>
    <t>Lidl</t>
  </si>
  <si>
    <t>25/09 Esso</t>
  </si>
  <si>
    <t>27/09 H y M</t>
  </si>
  <si>
    <t>27/09 Mifa</t>
  </si>
  <si>
    <t>28/09 Aldi</t>
  </si>
  <si>
    <t>30/09 Indio</t>
  </si>
  <si>
    <t>27/09 Zara</t>
  </si>
  <si>
    <t>27/09 Carrefour</t>
  </si>
  <si>
    <t>27/09 Action</t>
  </si>
  <si>
    <t>27/09 Carrefour (Beatriz)</t>
  </si>
  <si>
    <t>27/09 Lidl OnLine</t>
  </si>
  <si>
    <t>Visitas + Regalo Papa</t>
  </si>
  <si>
    <t>Papa a Rocio</t>
  </si>
  <si>
    <t>30/09 Gine</t>
  </si>
  <si>
    <t>Hipoteca Reseva Mensual (389.26€)</t>
  </si>
  <si>
    <t>&lt;400</t>
  </si>
  <si>
    <t>02/10 Custodia Septiembre</t>
  </si>
  <si>
    <t>02/10 Clases de Frances</t>
  </si>
  <si>
    <t>03/10 Parking</t>
  </si>
  <si>
    <t>03/10 Colruyt</t>
  </si>
  <si>
    <t>04/10 ErCole</t>
  </si>
  <si>
    <t>04/10 Desayuno W</t>
  </si>
  <si>
    <t>05/10 Delhaize</t>
  </si>
  <si>
    <t>05/10 Medi-Market</t>
  </si>
  <si>
    <t>05/10 Woman Secret</t>
  </si>
  <si>
    <t>05/10 Rituals Yasmina</t>
  </si>
  <si>
    <t>05/10 Zara Yasmina</t>
  </si>
  <si>
    <t>04/10 Shell</t>
  </si>
  <si>
    <t>08/10 Mutualite</t>
  </si>
  <si>
    <t>08/10 Parking</t>
  </si>
  <si>
    <t>08/10 Delhaize</t>
  </si>
  <si>
    <t>09/10 Wataro</t>
  </si>
  <si>
    <t>09/10 Zara</t>
  </si>
  <si>
    <t>07/10 Gine</t>
  </si>
  <si>
    <t>11/10 Hospital</t>
  </si>
  <si>
    <t>12/10 H&amp;M</t>
  </si>
  <si>
    <t>12/10 Indio</t>
  </si>
  <si>
    <t>11/10 Sequoia</t>
  </si>
  <si>
    <t>11/10 Colruyt</t>
  </si>
  <si>
    <t>12/10 Aldi</t>
  </si>
  <si>
    <t>12/10 Action</t>
  </si>
  <si>
    <t>CAPAC 18/12</t>
  </si>
  <si>
    <t>14/10 Lidl</t>
  </si>
  <si>
    <t>RESULTADO</t>
  </si>
  <si>
    <t>BMW.DE Beneficios</t>
  </si>
  <si>
    <t>Basura W  (hasta 75€)</t>
  </si>
  <si>
    <t>PC (hasta603.98€)</t>
  </si>
  <si>
    <t>18/10 Action</t>
  </si>
  <si>
    <t>18/10 Shell</t>
  </si>
  <si>
    <t>20/10 Parking</t>
  </si>
  <si>
    <t>20/10 Delhaize</t>
  </si>
  <si>
    <t>19/10 Delhaize</t>
  </si>
  <si>
    <t>17/10 Shell</t>
  </si>
  <si>
    <t>21/10 Pediatra</t>
  </si>
  <si>
    <t>19/10 Farmacia</t>
  </si>
  <si>
    <t>22/10 Farmacia</t>
  </si>
  <si>
    <t xml:space="preserve">Hacienda 2018 </t>
  </si>
  <si>
    <t>23/10 Gine</t>
  </si>
  <si>
    <t>BASE</t>
  </si>
  <si>
    <t>23/10 Medi-Market</t>
  </si>
  <si>
    <t>24/10 W</t>
  </si>
  <si>
    <t>24/10 Hema</t>
  </si>
  <si>
    <t>25/10 Brico</t>
  </si>
  <si>
    <t>24/10 Bpost</t>
  </si>
  <si>
    <t>26,27/10 Pain Quotidien</t>
  </si>
  <si>
    <t>26/10 Lush</t>
  </si>
  <si>
    <t>25/10 Hema</t>
  </si>
  <si>
    <t>Movil Reparaciones</t>
  </si>
  <si>
    <t>25/10 Waterloo</t>
  </si>
  <si>
    <t>02/11 Sushi</t>
  </si>
  <si>
    <t>02/11 Farmacia</t>
  </si>
  <si>
    <t>29/10-02/11 Parking</t>
  </si>
  <si>
    <t>31/10 Farmacia</t>
  </si>
  <si>
    <t>28/10 Shell</t>
  </si>
  <si>
    <t>31/10 Ryanair Antonio</t>
  </si>
  <si>
    <t xml:space="preserve">31/10 InterParking </t>
  </si>
  <si>
    <t>31/10 Gastos Hospital</t>
  </si>
  <si>
    <t>Gine</t>
  </si>
  <si>
    <t>04/11 Custodia Octubre</t>
  </si>
  <si>
    <t>04/11 Basura 2019</t>
  </si>
  <si>
    <t>Dividendos INDITEX</t>
  </si>
  <si>
    <t xml:space="preserve">Chasis Toyota </t>
  </si>
  <si>
    <t>NMTDM26R00R056717</t>
  </si>
  <si>
    <t>Alquiler + Endesa</t>
  </si>
  <si>
    <t>05/11 Quick</t>
  </si>
  <si>
    <t>05/11 Carrefour</t>
  </si>
  <si>
    <t>Vecina para Miriam</t>
  </si>
  <si>
    <t>Vecina</t>
  </si>
  <si>
    <t>05/11 Foto Cole</t>
  </si>
  <si>
    <t>05/11 Gine</t>
  </si>
  <si>
    <t>Mutua Prima de nacimiento</t>
  </si>
  <si>
    <t>INFINO</t>
  </si>
  <si>
    <t>07/11 Matrona</t>
  </si>
  <si>
    <t>Mutua Prima de Nacimiento</t>
  </si>
  <si>
    <t>&lt;350</t>
  </si>
  <si>
    <t>PC (hasta 503.31€)</t>
  </si>
  <si>
    <t>08/11 Bella Vita</t>
  </si>
  <si>
    <t>08/11 Delhaize</t>
  </si>
  <si>
    <t>08/11 Farmacia</t>
  </si>
  <si>
    <t>09/11 Sequoia</t>
  </si>
  <si>
    <t>10/11 Griego</t>
  </si>
  <si>
    <t>Tita Mari</t>
  </si>
  <si>
    <t>David</t>
  </si>
  <si>
    <t>12/11 Gine</t>
  </si>
  <si>
    <t>08/11 Wolly</t>
  </si>
  <si>
    <t>12/11 Aldi</t>
  </si>
  <si>
    <t>13/11 Bella Vita</t>
  </si>
  <si>
    <t>13/11 Tom&amp;Co</t>
  </si>
  <si>
    <t>14/11 Media Markt</t>
  </si>
  <si>
    <t>16/11 Matrona</t>
  </si>
  <si>
    <t>15/11 Colruyt</t>
  </si>
  <si>
    <t>15/11 Pain Quotidiain</t>
  </si>
  <si>
    <t>15/11 Sushi</t>
  </si>
  <si>
    <t>16/11 Tape a loeil W</t>
  </si>
  <si>
    <t>Basse Rocio</t>
  </si>
  <si>
    <t>19/11 Delhaize</t>
  </si>
  <si>
    <t>21/11 Mifa</t>
  </si>
  <si>
    <t>23/11 Aldi</t>
  </si>
  <si>
    <t>23/11 Caridad</t>
  </si>
  <si>
    <t>23/11 Carrefour</t>
  </si>
  <si>
    <t>24/11 Pain Quotidiain</t>
  </si>
  <si>
    <t>21/11 Shell</t>
  </si>
  <si>
    <t>Caridad</t>
  </si>
  <si>
    <t>Mensual (75€)</t>
  </si>
  <si>
    <t>Cártama</t>
  </si>
  <si>
    <t>Supermercado</t>
  </si>
  <si>
    <t>Imprevistos</t>
  </si>
  <si>
    <t>Mensual (80€)</t>
  </si>
  <si>
    <t>PC (hasta 402.64€)</t>
  </si>
  <si>
    <t>Rocío</t>
  </si>
  <si>
    <t>Michel Kors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</si>
</sst>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</numFmts>
  <fonts count="26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8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8" fontId="0" fillId="17" borderId="0" xfId="0" applyNumberFormat="1" applyFill="1" applyBorder="1"/>
    <xf numFmtId="8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8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7" fontId="0" fillId="0" borderId="0" xfId="0" applyNumberFormat="1" applyAlignment="1">
      <alignment horizontal="right"/>
    </xf>
    <xf numFmtId="177" fontId="0" fillId="18" borderId="95" xfId="0" applyNumberFormat="1" applyFill="1" applyBorder="1" applyAlignment="1">
      <alignment horizontal="right"/>
    </xf>
    <xf numFmtId="8" fontId="0" fillId="18" borderId="0" xfId="0" applyNumberFormat="1" applyFill="1"/>
    <xf numFmtId="178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16" fontId="0" fillId="0" borderId="0" xfId="0" applyNumberFormat="1"/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8" fontId="1" fillId="0" borderId="6" xfId="0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0" fontId="1" fillId="0" borderId="125" xfId="0" applyFont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5" xfId="0" applyNumberFormat="1" applyBorder="1" applyAlignment="1">
      <alignment horizontal="left" vertical="top"/>
    </xf>
    <xf numFmtId="0" fontId="0" fillId="0" borderId="96" xfId="0" applyNumberFormat="1" applyBorder="1" applyAlignment="1">
      <alignment horizontal="left" vertical="top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49" fontId="5" fillId="0" borderId="29" xfId="1" quotePrefix="1" applyNumberFormat="1" applyFont="1" applyBorder="1" applyAlignment="1">
      <alignment horizontal="center" vertical="center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29" xfId="1" applyNumberFormat="1" applyFont="1" applyBorder="1" applyAlignment="1">
      <alignment horizontal="center" vertic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55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49" fontId="2" fillId="0" borderId="12" xfId="0" applyNumberFormat="1" applyFont="1" applyBorder="1" applyAlignment="1">
      <alignment horizontal="left"/>
    </xf>
    <xf numFmtId="16" fontId="2" fillId="0" borderId="55" xfId="0" applyNumberFormat="1" applyFont="1" applyBorder="1" applyAlignment="1">
      <alignment horizontal="left"/>
    </xf>
    <xf numFmtId="16" fontId="2" fillId="0" borderId="12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opLeftCell="A31" zoomScaleNormal="100" workbookViewId="0">
      <pane xSplit="1" topLeftCell="B1" activePane="topRight" state="frozen"/>
      <selection pane="topRight" activeCell="C40" sqref="C40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10.140625" customWidth="1"/>
    <col min="26" max="26" width="11.42578125" customWidth="1"/>
    <col min="27" max="28" width="11" customWidth="1"/>
    <col min="29" max="29" width="10.285156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1.140625" customWidth="1"/>
    <col min="41" max="41" width="10.570312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2019</v>
      </c>
      <c r="C4" s="353" t="s">
        <v>0</v>
      </c>
      <c r="D4" s="354"/>
      <c r="E4" s="354"/>
      <c r="F4" s="355"/>
      <c r="G4" s="353" t="s">
        <v>1</v>
      </c>
      <c r="H4" s="354"/>
      <c r="I4" s="354"/>
      <c r="J4" s="355"/>
      <c r="K4" s="353" t="s">
        <v>2</v>
      </c>
      <c r="L4" s="354"/>
      <c r="M4" s="354"/>
      <c r="N4" s="355"/>
      <c r="O4" s="353" t="s">
        <v>3</v>
      </c>
      <c r="P4" s="354"/>
      <c r="Q4" s="354"/>
      <c r="R4" s="355"/>
      <c r="S4" s="353" t="s">
        <v>69</v>
      </c>
      <c r="T4" s="354"/>
      <c r="U4" s="354"/>
      <c r="V4" s="355"/>
      <c r="W4" s="353" t="s">
        <v>68</v>
      </c>
      <c r="X4" s="354"/>
      <c r="Y4" s="354"/>
      <c r="Z4" s="355"/>
      <c r="AA4" s="353" t="s">
        <v>70</v>
      </c>
      <c r="AB4" s="354"/>
      <c r="AC4" s="354"/>
      <c r="AD4" s="355"/>
      <c r="AE4" s="353" t="s">
        <v>71</v>
      </c>
      <c r="AF4" s="354"/>
      <c r="AG4" s="354"/>
      <c r="AH4" s="355"/>
      <c r="AI4" s="353" t="s">
        <v>73</v>
      </c>
      <c r="AJ4" s="354"/>
      <c r="AK4" s="354"/>
      <c r="AL4" s="355"/>
      <c r="AM4" s="353" t="s">
        <v>75</v>
      </c>
      <c r="AN4" s="354"/>
      <c r="AO4" s="354"/>
      <c r="AP4" s="355"/>
      <c r="AQ4" s="353" t="s">
        <v>77</v>
      </c>
      <c r="AR4" s="354"/>
      <c r="AS4" s="354"/>
      <c r="AT4" s="355"/>
      <c r="AU4" s="353" t="s">
        <v>82</v>
      </c>
      <c r="AV4" s="354"/>
      <c r="AW4" s="354"/>
      <c r="AX4" s="355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356">
        <f>'01'!K19</f>
        <v>0</v>
      </c>
      <c r="D5" s="357"/>
      <c r="E5" s="357"/>
      <c r="F5" s="358"/>
      <c r="G5" s="356">
        <f>'02'!K19</f>
        <v>25229.379999999997</v>
      </c>
      <c r="H5" s="357"/>
      <c r="I5" s="357"/>
      <c r="J5" s="358"/>
      <c r="K5" s="363">
        <f>'03'!K19</f>
        <v>25574.760000000002</v>
      </c>
      <c r="L5" s="357"/>
      <c r="M5" s="357"/>
      <c r="N5" s="358"/>
      <c r="O5" s="363">
        <f>'04'!K19</f>
        <v>26443.759999999998</v>
      </c>
      <c r="P5" s="357"/>
      <c r="Q5" s="357"/>
      <c r="R5" s="358"/>
      <c r="S5" s="363">
        <f>'05'!K19</f>
        <v>27163.090000000004</v>
      </c>
      <c r="T5" s="357"/>
      <c r="U5" s="357"/>
      <c r="V5" s="358"/>
      <c r="W5" s="363">
        <f>'06'!K19</f>
        <v>29014.079999999998</v>
      </c>
      <c r="X5" s="357"/>
      <c r="Y5" s="357"/>
      <c r="Z5" s="358"/>
      <c r="AA5" s="363">
        <f>'07'!K19</f>
        <v>29282.959999999999</v>
      </c>
      <c r="AB5" s="357"/>
      <c r="AC5" s="357"/>
      <c r="AD5" s="358"/>
      <c r="AE5" s="363">
        <f>'08'!K19</f>
        <v>29166.850000000002</v>
      </c>
      <c r="AF5" s="357"/>
      <c r="AG5" s="357"/>
      <c r="AH5" s="358"/>
      <c r="AI5" s="363">
        <f>'09'!K19</f>
        <v>29258.260000000002</v>
      </c>
      <c r="AJ5" s="357"/>
      <c r="AK5" s="357"/>
      <c r="AL5" s="358"/>
      <c r="AM5" s="363">
        <f>'10'!K19</f>
        <v>30089.47</v>
      </c>
      <c r="AN5" s="357"/>
      <c r="AO5" s="357"/>
      <c r="AP5" s="358"/>
      <c r="AQ5" s="363">
        <f>'11'!K19</f>
        <v>30103.380000000005</v>
      </c>
      <c r="AR5" s="357"/>
      <c r="AS5" s="357"/>
      <c r="AT5" s="358"/>
      <c r="AU5" s="363">
        <f>'12'!K19</f>
        <v>30103.380000000005</v>
      </c>
      <c r="AV5" s="357"/>
      <c r="AW5" s="357"/>
      <c r="AX5" s="358"/>
      <c r="AZ5" s="6"/>
      <c r="BA5" s="7"/>
      <c r="BB5" s="1"/>
      <c r="BC5" s="1"/>
    </row>
    <row r="6" spans="1:55" ht="17.25" thickTop="1" thickBot="1">
      <c r="A6" s="205"/>
      <c r="B6" s="8"/>
      <c r="C6" s="362"/>
      <c r="D6" s="362"/>
      <c r="E6" s="362"/>
      <c r="F6" s="362"/>
      <c r="G6" s="362"/>
      <c r="H6" s="362"/>
      <c r="I6" s="362"/>
      <c r="J6" s="362"/>
      <c r="K6" s="362"/>
      <c r="L6" s="362"/>
      <c r="M6" s="362"/>
      <c r="N6" s="362"/>
      <c r="O6" s="362"/>
      <c r="P6" s="362"/>
      <c r="Q6" s="362"/>
      <c r="R6" s="362"/>
      <c r="S6" s="362"/>
      <c r="T6" s="362"/>
      <c r="U6" s="362"/>
      <c r="V6" s="362"/>
      <c r="W6" s="362"/>
      <c r="X6" s="362"/>
      <c r="Y6" s="362"/>
      <c r="Z6" s="362"/>
      <c r="AA6" s="362"/>
      <c r="AB6" s="362"/>
      <c r="AC6" s="362"/>
      <c r="AD6" s="362"/>
      <c r="AE6" s="362"/>
      <c r="AF6" s="362"/>
      <c r="AG6" s="362"/>
      <c r="AH6" s="362"/>
      <c r="AI6" s="362"/>
      <c r="AJ6" s="362"/>
      <c r="AK6" s="362"/>
      <c r="AL6" s="362"/>
      <c r="AM6" s="362"/>
      <c r="AN6" s="362"/>
      <c r="AO6" s="362"/>
      <c r="AP6" s="362"/>
      <c r="AQ6" s="362"/>
      <c r="AR6" s="362"/>
      <c r="AS6" s="362"/>
      <c r="AT6" s="362"/>
      <c r="AU6" s="362"/>
      <c r="AV6" s="362"/>
      <c r="AW6" s="362"/>
      <c r="AX6" s="362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51</v>
      </c>
      <c r="C7" s="359" t="s">
        <v>223</v>
      </c>
      <c r="D7" s="360"/>
      <c r="E7" s="360"/>
      <c r="F7" s="361"/>
      <c r="G7" s="359" t="s">
        <v>223</v>
      </c>
      <c r="H7" s="360"/>
      <c r="I7" s="360"/>
      <c r="J7" s="361"/>
      <c r="K7" s="359" t="s">
        <v>223</v>
      </c>
      <c r="L7" s="360"/>
      <c r="M7" s="360"/>
      <c r="N7" s="361"/>
      <c r="O7" s="359" t="s">
        <v>223</v>
      </c>
      <c r="P7" s="360"/>
      <c r="Q7" s="360"/>
      <c r="R7" s="361"/>
      <c r="S7" s="359" t="s">
        <v>223</v>
      </c>
      <c r="T7" s="360"/>
      <c r="U7" s="360"/>
      <c r="V7" s="361"/>
      <c r="W7" s="359" t="s">
        <v>223</v>
      </c>
      <c r="X7" s="360"/>
      <c r="Y7" s="360"/>
      <c r="Z7" s="361"/>
      <c r="AA7" s="359" t="s">
        <v>223</v>
      </c>
      <c r="AB7" s="360"/>
      <c r="AC7" s="360"/>
      <c r="AD7" s="361"/>
      <c r="AE7" s="359" t="s">
        <v>223</v>
      </c>
      <c r="AF7" s="360"/>
      <c r="AG7" s="360"/>
      <c r="AH7" s="361"/>
      <c r="AI7" s="359" t="s">
        <v>223</v>
      </c>
      <c r="AJ7" s="360"/>
      <c r="AK7" s="360"/>
      <c r="AL7" s="361"/>
      <c r="AM7" s="359" t="s">
        <v>223</v>
      </c>
      <c r="AN7" s="360"/>
      <c r="AO7" s="360"/>
      <c r="AP7" s="361"/>
      <c r="AQ7" s="359" t="s">
        <v>223</v>
      </c>
      <c r="AR7" s="360"/>
      <c r="AS7" s="360"/>
      <c r="AT7" s="361"/>
      <c r="AU7" s="359" t="s">
        <v>223</v>
      </c>
      <c r="AV7" s="360"/>
      <c r="AW7" s="360"/>
      <c r="AX7" s="361"/>
      <c r="AZ7" s="9" t="s">
        <v>225</v>
      </c>
      <c r="BA7" s="13" t="s">
        <v>185</v>
      </c>
      <c r="BB7" s="1"/>
      <c r="BC7" s="1"/>
    </row>
    <row r="8" spans="1:55" ht="15.75">
      <c r="A8" s="206" t="s">
        <v>206</v>
      </c>
      <c r="B8" s="192">
        <v>33389.54</v>
      </c>
      <c r="C8" s="341">
        <f>SUM('01'!L25:'01'!L29)</f>
        <v>0</v>
      </c>
      <c r="D8" s="342"/>
      <c r="E8" s="342"/>
      <c r="F8" s="343"/>
      <c r="G8" s="341">
        <f>SUM('02'!L25:'02'!L29)</f>
        <v>2592.42</v>
      </c>
      <c r="H8" s="342"/>
      <c r="I8" s="342"/>
      <c r="J8" s="343"/>
      <c r="K8" s="341">
        <f>SUM('03'!L25:'03'!L29)</f>
        <v>2526.87</v>
      </c>
      <c r="L8" s="342"/>
      <c r="M8" s="342"/>
      <c r="N8" s="343"/>
      <c r="O8" s="341">
        <f>SUM('04'!L25:'04'!L29)</f>
        <v>2570.56</v>
      </c>
      <c r="P8" s="342"/>
      <c r="Q8" s="342"/>
      <c r="R8" s="343"/>
      <c r="S8" s="341">
        <f>SUM('05'!L25:'05'!L29)</f>
        <v>4448.8500000000004</v>
      </c>
      <c r="T8" s="342"/>
      <c r="U8" s="342"/>
      <c r="V8" s="343"/>
      <c r="W8" s="341">
        <f>SUM('06'!L25:'06'!L29)</f>
        <v>2574.61</v>
      </c>
      <c r="X8" s="342"/>
      <c r="Y8" s="342"/>
      <c r="Z8" s="343"/>
      <c r="AA8" s="341">
        <f>SUM('07'!L25:'07'!L29)</f>
        <v>2568.54</v>
      </c>
      <c r="AB8" s="342"/>
      <c r="AC8" s="342"/>
      <c r="AD8" s="343"/>
      <c r="AE8" s="341">
        <f>SUM('08'!L25:'08'!L29)</f>
        <v>2571.5500000000002</v>
      </c>
      <c r="AF8" s="342"/>
      <c r="AG8" s="342"/>
      <c r="AH8" s="343"/>
      <c r="AI8" s="341">
        <f>SUM('09'!L25:'09'!L29)</f>
        <v>2573.7399999999998</v>
      </c>
      <c r="AJ8" s="342"/>
      <c r="AK8" s="342"/>
      <c r="AL8" s="343"/>
      <c r="AM8" s="341">
        <f>SUM('10'!L25:'10'!L29)</f>
        <v>2617.69</v>
      </c>
      <c r="AN8" s="342"/>
      <c r="AO8" s="342"/>
      <c r="AP8" s="343"/>
      <c r="AQ8" s="341">
        <f>SUM('11'!L25:'11'!L29)</f>
        <v>2588.0700000000002</v>
      </c>
      <c r="AR8" s="342"/>
      <c r="AS8" s="342"/>
      <c r="AT8" s="343"/>
      <c r="AU8" s="341">
        <f>SUM('12'!L25:'12'!L29)</f>
        <v>0</v>
      </c>
      <c r="AV8" s="342"/>
      <c r="AW8" s="342"/>
      <c r="AX8" s="343"/>
      <c r="AZ8" s="209">
        <f>SUM(C8:AU8)</f>
        <v>27632.899999999998</v>
      </c>
      <c r="BA8" s="112">
        <f t="shared" ref="BA8:BA16" ca="1" si="0">AZ8/BC$17</f>
        <v>2512.0818181818181</v>
      </c>
      <c r="BB8" s="1"/>
      <c r="BC8" s="1"/>
    </row>
    <row r="9" spans="1:55" ht="15.75">
      <c r="A9" s="189" t="s">
        <v>207</v>
      </c>
      <c r="B9" s="193">
        <v>5835.74</v>
      </c>
      <c r="C9" s="344">
        <f>SUM('01'!L30:'01'!L34)</f>
        <v>0</v>
      </c>
      <c r="D9" s="345"/>
      <c r="E9" s="345"/>
      <c r="F9" s="346"/>
      <c r="G9" s="344">
        <f>SUM('02'!L30:'02'!L34)</f>
        <v>760.26</v>
      </c>
      <c r="H9" s="345"/>
      <c r="I9" s="345"/>
      <c r="J9" s="346"/>
      <c r="K9" s="344">
        <f>SUM('03'!L30:'03'!L34)</f>
        <v>516.44000000000005</v>
      </c>
      <c r="L9" s="345"/>
      <c r="M9" s="345"/>
      <c r="N9" s="346"/>
      <c r="O9" s="344">
        <f>SUM('04'!L30:'04'!L34)</f>
        <v>507.54</v>
      </c>
      <c r="P9" s="345"/>
      <c r="Q9" s="345"/>
      <c r="R9" s="346"/>
      <c r="S9" s="344">
        <f>SUM('05'!L30:'05'!L34)</f>
        <v>578.16999999999996</v>
      </c>
      <c r="T9" s="345"/>
      <c r="U9" s="345"/>
      <c r="V9" s="346"/>
      <c r="W9" s="344">
        <f>SUM('06'!L30:'06'!L34)</f>
        <v>613.67000000000007</v>
      </c>
      <c r="X9" s="345"/>
      <c r="Y9" s="345"/>
      <c r="Z9" s="346"/>
      <c r="AA9" s="344">
        <f>SUM('07'!L30:'07'!L34)</f>
        <v>1147.52</v>
      </c>
      <c r="AB9" s="345"/>
      <c r="AC9" s="345"/>
      <c r="AD9" s="346"/>
      <c r="AE9" s="344">
        <f>SUM('08'!L30:'08'!L34)</f>
        <v>291.60000000000002</v>
      </c>
      <c r="AF9" s="345"/>
      <c r="AG9" s="345"/>
      <c r="AH9" s="346"/>
      <c r="AI9" s="344">
        <f>SUM('09'!L30:'09'!L34)</f>
        <v>291.60000000000002</v>
      </c>
      <c r="AJ9" s="345"/>
      <c r="AK9" s="345"/>
      <c r="AL9" s="346"/>
      <c r="AM9" s="344">
        <f>SUM('10'!L30:'10'!L34)</f>
        <v>599.04999999999995</v>
      </c>
      <c r="AN9" s="345"/>
      <c r="AO9" s="345"/>
      <c r="AP9" s="346"/>
      <c r="AQ9" s="344">
        <f>SUM('11'!L30:'11'!L34)</f>
        <v>302.78999999999996</v>
      </c>
      <c r="AR9" s="345"/>
      <c r="AS9" s="345"/>
      <c r="AT9" s="346"/>
      <c r="AU9" s="344">
        <f>SUM('12'!L30:'12'!L34)</f>
        <v>0</v>
      </c>
      <c r="AV9" s="345"/>
      <c r="AW9" s="345"/>
      <c r="AX9" s="346"/>
      <c r="AZ9" s="210">
        <f t="shared" ref="AZ9:AZ16" si="1">SUM(C9:AW9)</f>
        <v>5608.6400000000012</v>
      </c>
      <c r="BA9" s="112">
        <f t="shared" ca="1" si="0"/>
        <v>509.87636363636375</v>
      </c>
      <c r="BB9" s="1"/>
      <c r="BC9" s="1"/>
    </row>
    <row r="10" spans="1:55" ht="15.75">
      <c r="A10" s="190" t="s">
        <v>212</v>
      </c>
      <c r="B10" s="194">
        <v>2731.18</v>
      </c>
      <c r="C10" s="344">
        <f>SUM('01'!L35:'01'!L39)</f>
        <v>0</v>
      </c>
      <c r="D10" s="345"/>
      <c r="E10" s="345"/>
      <c r="F10" s="346"/>
      <c r="G10" s="344">
        <f>SUM('02'!L35:'02'!L39)</f>
        <v>107.38</v>
      </c>
      <c r="H10" s="345"/>
      <c r="I10" s="345"/>
      <c r="J10" s="346"/>
      <c r="K10" s="344">
        <f>SUM('03'!L35:'03'!L39)</f>
        <v>91.73</v>
      </c>
      <c r="L10" s="345"/>
      <c r="M10" s="345"/>
      <c r="N10" s="346"/>
      <c r="O10" s="344">
        <f>SUM('04'!L35:'04'!L39)</f>
        <v>204.23</v>
      </c>
      <c r="P10" s="345"/>
      <c r="Q10" s="345"/>
      <c r="R10" s="346"/>
      <c r="S10" s="344">
        <f>SUM('05'!L35:'05'!L39)</f>
        <v>119.85</v>
      </c>
      <c r="T10" s="345"/>
      <c r="U10" s="345"/>
      <c r="V10" s="346"/>
      <c r="W10" s="347">
        <f>SUM('06'!L35:'06'!L39)</f>
        <v>55.09</v>
      </c>
      <c r="X10" s="348"/>
      <c r="Y10" s="348"/>
      <c r="Z10" s="349"/>
      <c r="AA10" s="347">
        <f>SUM('07'!L35:'07'!L39)</f>
        <v>124.52</v>
      </c>
      <c r="AB10" s="348"/>
      <c r="AC10" s="348"/>
      <c r="AD10" s="349"/>
      <c r="AE10" s="347">
        <f>SUM('08'!L35:'08'!L39)</f>
        <v>164.91</v>
      </c>
      <c r="AF10" s="348"/>
      <c r="AG10" s="348"/>
      <c r="AH10" s="349"/>
      <c r="AI10" s="347">
        <f>SUM('09'!L35:'09'!L39)</f>
        <v>167.95</v>
      </c>
      <c r="AJ10" s="348"/>
      <c r="AK10" s="348"/>
      <c r="AL10" s="349"/>
      <c r="AM10" s="347">
        <f>SUM('10'!L35:'10'!L39)</f>
        <v>0</v>
      </c>
      <c r="AN10" s="348"/>
      <c r="AO10" s="348"/>
      <c r="AP10" s="349"/>
      <c r="AQ10" s="347">
        <f>SUM('11'!L35:'11'!L39)</f>
        <v>0</v>
      </c>
      <c r="AR10" s="348"/>
      <c r="AS10" s="348"/>
      <c r="AT10" s="349"/>
      <c r="AU10" s="347">
        <f>SUM('12'!L35:'12'!L39)</f>
        <v>0</v>
      </c>
      <c r="AV10" s="348"/>
      <c r="AW10" s="348"/>
      <c r="AX10" s="349"/>
      <c r="AZ10" s="211">
        <f t="shared" si="1"/>
        <v>1035.6600000000001</v>
      </c>
      <c r="BA10" s="112">
        <f t="shared" ca="1" si="0"/>
        <v>94.150909090909096</v>
      </c>
      <c r="BB10" s="1"/>
      <c r="BC10" s="1"/>
    </row>
    <row r="11" spans="1:55" ht="15.75">
      <c r="A11" s="189" t="s">
        <v>208</v>
      </c>
      <c r="B11" s="193">
        <v>2906.88</v>
      </c>
      <c r="C11" s="344">
        <f>SUM('01'!L40:'01'!L44)</f>
        <v>0</v>
      </c>
      <c r="D11" s="345"/>
      <c r="E11" s="345"/>
      <c r="F11" s="346"/>
      <c r="G11" s="344">
        <f>SUM('02'!L40:'02'!L44)</f>
        <v>0</v>
      </c>
      <c r="H11" s="345"/>
      <c r="I11" s="345"/>
      <c r="J11" s="346"/>
      <c r="K11" s="344">
        <f>SUM('03'!L40:'03'!L44)</f>
        <v>0</v>
      </c>
      <c r="L11" s="345"/>
      <c r="M11" s="345"/>
      <c r="N11" s="346"/>
      <c r="O11" s="344">
        <f>SUM('04'!L40:'04'!L44)</f>
        <v>356.59</v>
      </c>
      <c r="P11" s="345"/>
      <c r="Q11" s="345"/>
      <c r="R11" s="346"/>
      <c r="S11" s="344">
        <f>SUM('05'!L40:'05'!L44)</f>
        <v>45.86</v>
      </c>
      <c r="T11" s="345"/>
      <c r="U11" s="345"/>
      <c r="V11" s="346"/>
      <c r="W11" s="344">
        <f>SUM('06'!L40:'06'!L44)</f>
        <v>0</v>
      </c>
      <c r="X11" s="345"/>
      <c r="Y11" s="345"/>
      <c r="Z11" s="346"/>
      <c r="AA11" s="344">
        <f>SUM('07'!L40:'07'!L44)</f>
        <v>1.02</v>
      </c>
      <c r="AB11" s="345"/>
      <c r="AC11" s="345"/>
      <c r="AD11" s="346"/>
      <c r="AE11" s="344">
        <f>SUM('08'!L40:'08'!L44)</f>
        <v>0</v>
      </c>
      <c r="AF11" s="345"/>
      <c r="AG11" s="345"/>
      <c r="AH11" s="346"/>
      <c r="AI11" s="344">
        <f>SUM('09'!L40:'09'!L44)</f>
        <v>0</v>
      </c>
      <c r="AJ11" s="345"/>
      <c r="AK11" s="345"/>
      <c r="AL11" s="346"/>
      <c r="AM11" s="344">
        <f>SUM('10'!L40:'10'!L44)</f>
        <v>52.97</v>
      </c>
      <c r="AN11" s="345"/>
      <c r="AO11" s="345"/>
      <c r="AP11" s="346"/>
      <c r="AQ11" s="344">
        <f>SUM('11'!L40:'11'!L44)</f>
        <v>42.84</v>
      </c>
      <c r="AR11" s="345"/>
      <c r="AS11" s="345"/>
      <c r="AT11" s="346"/>
      <c r="AU11" s="344">
        <f>SUM('12'!L40:'12'!L44)</f>
        <v>0</v>
      </c>
      <c r="AV11" s="345"/>
      <c r="AW11" s="345"/>
      <c r="AX11" s="346"/>
      <c r="AZ11" s="210">
        <f t="shared" si="1"/>
        <v>499.28</v>
      </c>
      <c r="BA11" s="112">
        <f t="shared" ca="1" si="0"/>
        <v>45.389090909090903</v>
      </c>
      <c r="BB11" s="1"/>
      <c r="BC11" s="1"/>
    </row>
    <row r="12" spans="1:55" ht="15.75">
      <c r="A12" s="190" t="s">
        <v>22</v>
      </c>
      <c r="B12" s="194">
        <v>3325.31</v>
      </c>
      <c r="C12" s="344">
        <f>SUM('01'!L45:'01'!L49)</f>
        <v>0</v>
      </c>
      <c r="D12" s="345"/>
      <c r="E12" s="345"/>
      <c r="F12" s="346"/>
      <c r="G12" s="344">
        <f>SUM('02'!L45:'02'!L49)</f>
        <v>600.04</v>
      </c>
      <c r="H12" s="345"/>
      <c r="I12" s="345"/>
      <c r="J12" s="346"/>
      <c r="K12" s="344">
        <f>SUM('03'!L45:'03'!L49)</f>
        <v>380</v>
      </c>
      <c r="L12" s="345"/>
      <c r="M12" s="345"/>
      <c r="N12" s="346"/>
      <c r="O12" s="344">
        <f>SUM('04'!L45:'04'!L49)</f>
        <v>0</v>
      </c>
      <c r="P12" s="345"/>
      <c r="Q12" s="345"/>
      <c r="R12" s="346"/>
      <c r="S12" s="344">
        <f>SUM('05'!L45:'05'!L49)</f>
        <v>0</v>
      </c>
      <c r="T12" s="345"/>
      <c r="U12" s="345"/>
      <c r="V12" s="346"/>
      <c r="W12" s="347">
        <f>SUM('06'!L45:'06'!L49)</f>
        <v>242.41</v>
      </c>
      <c r="X12" s="348"/>
      <c r="Y12" s="348"/>
      <c r="Z12" s="349"/>
      <c r="AA12" s="347">
        <f>SUM('07'!L45:'07'!L49)</f>
        <v>0</v>
      </c>
      <c r="AB12" s="348"/>
      <c r="AC12" s="348"/>
      <c r="AD12" s="349"/>
      <c r="AE12" s="347">
        <f>SUM('08'!L45:'08'!L49)</f>
        <v>222.98</v>
      </c>
      <c r="AF12" s="348"/>
      <c r="AG12" s="348"/>
      <c r="AH12" s="349"/>
      <c r="AI12" s="347">
        <f>SUM('09'!L45:'09'!L49)</f>
        <v>200</v>
      </c>
      <c r="AJ12" s="348"/>
      <c r="AK12" s="348"/>
      <c r="AL12" s="349"/>
      <c r="AM12" s="347">
        <f>SUM('10'!L45:'10'!L49)</f>
        <v>0</v>
      </c>
      <c r="AN12" s="348"/>
      <c r="AO12" s="348"/>
      <c r="AP12" s="349"/>
      <c r="AQ12" s="347">
        <f>SUM('11'!L45:'11'!L49)</f>
        <v>430</v>
      </c>
      <c r="AR12" s="348"/>
      <c r="AS12" s="348"/>
      <c r="AT12" s="349"/>
      <c r="AU12" s="347">
        <f>SUM('12'!L45:'12'!L49)</f>
        <v>0</v>
      </c>
      <c r="AV12" s="348"/>
      <c r="AW12" s="348"/>
      <c r="AX12" s="349"/>
      <c r="AZ12" s="211">
        <f t="shared" si="1"/>
        <v>2075.4300000000003</v>
      </c>
      <c r="BA12" s="112">
        <f t="shared" ca="1" si="0"/>
        <v>188.67545454545458</v>
      </c>
      <c r="BB12" s="1"/>
      <c r="BC12" s="1"/>
    </row>
    <row r="13" spans="1:55" ht="15.75">
      <c r="A13" s="189" t="s">
        <v>209</v>
      </c>
      <c r="B13" s="195">
        <v>3443.8099999999995</v>
      </c>
      <c r="C13" s="344">
        <f>SUM('01'!L50:'01'!L54)</f>
        <v>0</v>
      </c>
      <c r="D13" s="345"/>
      <c r="E13" s="345"/>
      <c r="F13" s="346"/>
      <c r="G13" s="344">
        <f>SUM('02'!L50:'02'!L54)</f>
        <v>95.8</v>
      </c>
      <c r="H13" s="345"/>
      <c r="I13" s="345"/>
      <c r="J13" s="346"/>
      <c r="K13" s="344">
        <f>SUM('03'!L50:'03'!L54)</f>
        <v>4517.74</v>
      </c>
      <c r="L13" s="345"/>
      <c r="M13" s="345"/>
      <c r="N13" s="346"/>
      <c r="O13" s="344">
        <f>SUM('04'!L50:'04'!L54)</f>
        <v>95.8</v>
      </c>
      <c r="P13" s="345"/>
      <c r="Q13" s="345"/>
      <c r="R13" s="346"/>
      <c r="S13" s="344">
        <f>SUM('05'!L50:'05'!L54)</f>
        <v>95.8</v>
      </c>
      <c r="T13" s="345"/>
      <c r="U13" s="345"/>
      <c r="V13" s="346"/>
      <c r="W13" s="344">
        <f>SUM('06'!L50:'06'!L54)</f>
        <v>95.8</v>
      </c>
      <c r="X13" s="345"/>
      <c r="Y13" s="345"/>
      <c r="Z13" s="346"/>
      <c r="AA13" s="344">
        <f>SUM('07'!L50:'07'!L54)</f>
        <v>95.8</v>
      </c>
      <c r="AB13" s="345"/>
      <c r="AC13" s="345"/>
      <c r="AD13" s="346"/>
      <c r="AE13" s="344">
        <f>SUM('08'!L50:'08'!L54)</f>
        <v>117.03</v>
      </c>
      <c r="AF13" s="345"/>
      <c r="AG13" s="345"/>
      <c r="AH13" s="346"/>
      <c r="AI13" s="344">
        <f>SUM('09'!L50:'09'!L54)</f>
        <v>1072.33</v>
      </c>
      <c r="AJ13" s="345"/>
      <c r="AK13" s="345"/>
      <c r="AL13" s="346"/>
      <c r="AM13" s="344">
        <f>SUM('10'!L50:'10'!L54)</f>
        <v>95.8</v>
      </c>
      <c r="AN13" s="345"/>
      <c r="AO13" s="345"/>
      <c r="AP13" s="346"/>
      <c r="AQ13" s="344">
        <f>SUM('11'!L50:'11'!L54)</f>
        <v>95.8</v>
      </c>
      <c r="AR13" s="345"/>
      <c r="AS13" s="345"/>
      <c r="AT13" s="346"/>
      <c r="AU13" s="344">
        <f>SUM('12'!L50:'12'!L54)</f>
        <v>0</v>
      </c>
      <c r="AV13" s="345"/>
      <c r="AW13" s="345"/>
      <c r="AX13" s="346"/>
      <c r="AZ13" s="212">
        <f t="shared" si="1"/>
        <v>6377.7000000000007</v>
      </c>
      <c r="BA13" s="112">
        <f t="shared" ca="1" si="0"/>
        <v>579.79090909090917</v>
      </c>
      <c r="BB13" s="1"/>
      <c r="BC13" s="1"/>
    </row>
    <row r="14" spans="1:55" ht="15.75">
      <c r="A14" s="190" t="s">
        <v>210</v>
      </c>
      <c r="B14" s="194">
        <v>364.62</v>
      </c>
      <c r="C14" s="344">
        <f>SUM('01'!L55:'01'!L59)</f>
        <v>0</v>
      </c>
      <c r="D14" s="345"/>
      <c r="E14" s="345"/>
      <c r="F14" s="346"/>
      <c r="G14" s="344">
        <f>SUM('02'!L55:'02'!L59)</f>
        <v>0</v>
      </c>
      <c r="H14" s="345"/>
      <c r="I14" s="345"/>
      <c r="J14" s="346"/>
      <c r="K14" s="344">
        <f>SUM('03'!L55:'03'!L59)</f>
        <v>9.44</v>
      </c>
      <c r="L14" s="345"/>
      <c r="M14" s="345"/>
      <c r="N14" s="346"/>
      <c r="O14" s="344">
        <f>SUM('04'!L55:'04'!L59)</f>
        <v>37.980000000000004</v>
      </c>
      <c r="P14" s="345"/>
      <c r="Q14" s="345"/>
      <c r="R14" s="346"/>
      <c r="S14" s="344">
        <f>SUM('05'!L55:'05'!L59)</f>
        <v>17.350000000000001</v>
      </c>
      <c r="T14" s="345"/>
      <c r="U14" s="345"/>
      <c r="V14" s="346"/>
      <c r="W14" s="347">
        <f>SUM('06'!L55:'06'!L59)</f>
        <v>0</v>
      </c>
      <c r="X14" s="348"/>
      <c r="Y14" s="348"/>
      <c r="Z14" s="349"/>
      <c r="AA14" s="347">
        <f>SUM('07'!L55:'07'!L59)</f>
        <v>51.759999999999991</v>
      </c>
      <c r="AB14" s="348"/>
      <c r="AC14" s="348"/>
      <c r="AD14" s="349"/>
      <c r="AE14" s="347">
        <f>SUM('08'!L55:'08'!L59)</f>
        <v>27.42</v>
      </c>
      <c r="AF14" s="348"/>
      <c r="AG14" s="348"/>
      <c r="AH14" s="349"/>
      <c r="AI14" s="347">
        <f>SUM('09'!L55:'09'!L59)</f>
        <v>0</v>
      </c>
      <c r="AJ14" s="348"/>
      <c r="AK14" s="348"/>
      <c r="AL14" s="349"/>
      <c r="AM14" s="347">
        <f>SUM('10'!L55:'10'!L59)</f>
        <v>57.08</v>
      </c>
      <c r="AN14" s="348"/>
      <c r="AO14" s="348"/>
      <c r="AP14" s="349"/>
      <c r="AQ14" s="347">
        <f>SUM('11'!L55:'11'!L59)</f>
        <v>393.02</v>
      </c>
      <c r="AR14" s="348"/>
      <c r="AS14" s="348"/>
      <c r="AT14" s="349"/>
      <c r="AU14" s="347">
        <f>SUM('12'!L55:'12'!L59)</f>
        <v>0</v>
      </c>
      <c r="AV14" s="348"/>
      <c r="AW14" s="348"/>
      <c r="AX14" s="349"/>
      <c r="AZ14" s="211">
        <f t="shared" si="1"/>
        <v>594.04999999999995</v>
      </c>
      <c r="BA14" s="112">
        <f t="shared" ca="1" si="0"/>
        <v>54.00454545454545</v>
      </c>
      <c r="BB14" s="3"/>
      <c r="BC14" s="3"/>
    </row>
    <row r="15" spans="1:55" ht="15.75">
      <c r="A15" s="189" t="s">
        <v>211</v>
      </c>
      <c r="B15" s="193">
        <v>7756.04</v>
      </c>
      <c r="C15" s="344">
        <f>SUM('01'!L60:'01'!L64)</f>
        <v>0</v>
      </c>
      <c r="D15" s="345"/>
      <c r="E15" s="345"/>
      <c r="F15" s="346"/>
      <c r="G15" s="344">
        <f>SUM('02'!L60:'02'!L64)</f>
        <v>665.77</v>
      </c>
      <c r="H15" s="345"/>
      <c r="I15" s="345"/>
      <c r="J15" s="346"/>
      <c r="K15" s="344">
        <f>SUM('03'!L60:'03'!L64)</f>
        <v>682.39</v>
      </c>
      <c r="L15" s="345"/>
      <c r="M15" s="345"/>
      <c r="N15" s="346"/>
      <c r="O15" s="344">
        <f>SUM('04'!L60:'04'!L64)</f>
        <v>550</v>
      </c>
      <c r="P15" s="345"/>
      <c r="Q15" s="345"/>
      <c r="R15" s="346"/>
      <c r="S15" s="344">
        <f>SUM('05'!L60:'05'!L64)</f>
        <v>652.44000000000005</v>
      </c>
      <c r="T15" s="345"/>
      <c r="U15" s="345"/>
      <c r="V15" s="346"/>
      <c r="W15" s="344">
        <f>SUM('06'!L60:'06'!L64)</f>
        <v>511.74</v>
      </c>
      <c r="X15" s="345"/>
      <c r="Y15" s="345"/>
      <c r="Z15" s="346"/>
      <c r="AA15" s="344">
        <f>SUM('07'!L60:'07'!L64)</f>
        <v>649.1</v>
      </c>
      <c r="AB15" s="345"/>
      <c r="AC15" s="345"/>
      <c r="AD15" s="346"/>
      <c r="AE15" s="344">
        <f>SUM('08'!L60:'08'!L64)</f>
        <v>550</v>
      </c>
      <c r="AF15" s="345"/>
      <c r="AG15" s="345"/>
      <c r="AH15" s="346"/>
      <c r="AI15" s="344">
        <f>SUM('09'!L60:'09'!L64)</f>
        <v>676.35</v>
      </c>
      <c r="AJ15" s="345"/>
      <c r="AK15" s="345"/>
      <c r="AL15" s="346"/>
      <c r="AM15" s="344">
        <f>SUM('10'!L60:'10'!L64)</f>
        <v>550</v>
      </c>
      <c r="AN15" s="345"/>
      <c r="AO15" s="345"/>
      <c r="AP15" s="346"/>
      <c r="AQ15" s="344">
        <f>SUM('11'!L60:'11'!L64)</f>
        <v>647.88</v>
      </c>
      <c r="AR15" s="345"/>
      <c r="AS15" s="345"/>
      <c r="AT15" s="346"/>
      <c r="AU15" s="344">
        <f>SUM('12'!L60:'12'!L64)</f>
        <v>0</v>
      </c>
      <c r="AV15" s="345"/>
      <c r="AW15" s="345"/>
      <c r="AX15" s="346"/>
      <c r="AZ15" s="210">
        <f t="shared" si="1"/>
        <v>6135.670000000001</v>
      </c>
      <c r="BA15" s="112">
        <f t="shared" ca="1" si="0"/>
        <v>557.7881818181819</v>
      </c>
      <c r="BB15" s="1"/>
      <c r="BC15" s="1"/>
    </row>
    <row r="16" spans="1:55" ht="16.5" thickBot="1">
      <c r="A16" s="191" t="s">
        <v>40</v>
      </c>
      <c r="B16" s="196">
        <v>2018.96</v>
      </c>
      <c r="C16" s="344">
        <f>SUM('01'!L65:'01'!L69)</f>
        <v>0</v>
      </c>
      <c r="D16" s="345"/>
      <c r="E16" s="345"/>
      <c r="F16" s="346"/>
      <c r="G16" s="344">
        <f>SUM('02'!L65:'02'!L69)</f>
        <v>0</v>
      </c>
      <c r="H16" s="345"/>
      <c r="I16" s="345"/>
      <c r="J16" s="346"/>
      <c r="K16" s="344">
        <f>SUM('03'!L65:'03'!L69)</f>
        <v>0</v>
      </c>
      <c r="L16" s="345"/>
      <c r="M16" s="345"/>
      <c r="N16" s="346"/>
      <c r="O16" s="344">
        <f>SUM('04'!L65:'04'!L69)</f>
        <v>0</v>
      </c>
      <c r="P16" s="345"/>
      <c r="Q16" s="345"/>
      <c r="R16" s="346"/>
      <c r="S16" s="344">
        <f>SUM('05'!L65:'05'!L69)</f>
        <v>0</v>
      </c>
      <c r="T16" s="345"/>
      <c r="U16" s="345"/>
      <c r="V16" s="346"/>
      <c r="W16" s="350">
        <f>SUM('06'!L65:'06'!L69)</f>
        <v>0</v>
      </c>
      <c r="X16" s="351"/>
      <c r="Y16" s="351"/>
      <c r="Z16" s="352"/>
      <c r="AA16" s="350">
        <f>SUM('07'!L65:'07'!L69)</f>
        <v>0</v>
      </c>
      <c r="AB16" s="351"/>
      <c r="AC16" s="351"/>
      <c r="AD16" s="352"/>
      <c r="AE16" s="350">
        <f>SUM('08'!L65:'08'!L69)</f>
        <v>0</v>
      </c>
      <c r="AF16" s="351"/>
      <c r="AG16" s="351"/>
      <c r="AH16" s="352"/>
      <c r="AI16" s="350">
        <f>SUM('09'!L65:'09'!L69)</f>
        <v>0</v>
      </c>
      <c r="AJ16" s="351"/>
      <c r="AK16" s="351"/>
      <c r="AL16" s="352"/>
      <c r="AM16" s="350">
        <f>SUM('10'!L65:'10'!L69)</f>
        <v>0</v>
      </c>
      <c r="AN16" s="351"/>
      <c r="AO16" s="351"/>
      <c r="AP16" s="352"/>
      <c r="AQ16" s="350">
        <f>SUM('11'!L65:'11'!L69)</f>
        <v>0</v>
      </c>
      <c r="AR16" s="351"/>
      <c r="AS16" s="351"/>
      <c r="AT16" s="352"/>
      <c r="AU16" s="350">
        <f>SUM('12'!L65:'12'!L69)</f>
        <v>0</v>
      </c>
      <c r="AV16" s="351"/>
      <c r="AW16" s="351"/>
      <c r="AX16" s="352"/>
      <c r="AZ16" s="213">
        <f t="shared" si="1"/>
        <v>0</v>
      </c>
      <c r="BA16" s="112">
        <f t="shared" ca="1" si="0"/>
        <v>0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364">
        <f>SUM(C8:C16)</f>
        <v>0</v>
      </c>
      <c r="D17" s="365"/>
      <c r="E17" s="365"/>
      <c r="F17" s="366"/>
      <c r="G17" s="364">
        <f>SUM(G8:G16)</f>
        <v>4821.67</v>
      </c>
      <c r="H17" s="365"/>
      <c r="I17" s="365"/>
      <c r="J17" s="366"/>
      <c r="K17" s="364">
        <f>SUM(K8:K16)</f>
        <v>8724.6099999999988</v>
      </c>
      <c r="L17" s="365"/>
      <c r="M17" s="365"/>
      <c r="N17" s="366"/>
      <c r="O17" s="364">
        <f>SUM(O8:O16)</f>
        <v>4322.7000000000007</v>
      </c>
      <c r="P17" s="365"/>
      <c r="Q17" s="365"/>
      <c r="R17" s="366"/>
      <c r="S17" s="364">
        <f>SUM(S8:S16)</f>
        <v>5958.3200000000015</v>
      </c>
      <c r="T17" s="365"/>
      <c r="U17" s="365"/>
      <c r="V17" s="366"/>
      <c r="W17" s="364">
        <f>SUM(W8:W16)</f>
        <v>4093.3200000000006</v>
      </c>
      <c r="X17" s="365"/>
      <c r="Y17" s="365"/>
      <c r="Z17" s="366"/>
      <c r="AA17" s="364">
        <f>SUM(AA8:AA16)</f>
        <v>4638.26</v>
      </c>
      <c r="AB17" s="365"/>
      <c r="AC17" s="365"/>
      <c r="AD17" s="366"/>
      <c r="AE17" s="364">
        <f>SUM(AE8:AE16)</f>
        <v>3945.4900000000002</v>
      </c>
      <c r="AF17" s="365"/>
      <c r="AG17" s="365"/>
      <c r="AH17" s="366"/>
      <c r="AI17" s="364">
        <f>SUM(AI8:AI16)</f>
        <v>4981.9699999999993</v>
      </c>
      <c r="AJ17" s="365"/>
      <c r="AK17" s="365"/>
      <c r="AL17" s="366"/>
      <c r="AM17" s="364">
        <f>SUM(AM8:AM16)</f>
        <v>3972.5899999999997</v>
      </c>
      <c r="AN17" s="365"/>
      <c r="AO17" s="365"/>
      <c r="AP17" s="366"/>
      <c r="AQ17" s="364">
        <f>SUM(AQ8:AQ16)</f>
        <v>4500.4000000000005</v>
      </c>
      <c r="AR17" s="365"/>
      <c r="AS17" s="365"/>
      <c r="AT17" s="366"/>
      <c r="AU17" s="364">
        <f>SUM(AU8:AU16)</f>
        <v>0</v>
      </c>
      <c r="AV17" s="365"/>
      <c r="AW17" s="365"/>
      <c r="AX17" s="366"/>
      <c r="AZ17" s="227">
        <f>SUM(AZ8:AZ16)</f>
        <v>49959.33</v>
      </c>
      <c r="BA17" s="112">
        <f ca="1">AZ17/BC$17</f>
        <v>4541.7572727272727</v>
      </c>
      <c r="BB17" s="1" t="s">
        <v>81</v>
      </c>
      <c r="BC17" s="1">
        <f ca="1">MONTH(TODAY())</f>
        <v>11</v>
      </c>
      <c r="BD17" s="39"/>
    </row>
    <row r="18" spans="1:62" ht="32.25" customHeight="1" thickTop="1" thickBot="1">
      <c r="A18" s="10"/>
      <c r="B18" s="10"/>
      <c r="C18" s="367"/>
      <c r="D18" s="367"/>
      <c r="E18" s="367"/>
      <c r="F18" s="367"/>
      <c r="G18" s="367"/>
      <c r="H18" s="367"/>
      <c r="I18" s="367"/>
      <c r="J18" s="367"/>
      <c r="K18" s="367"/>
      <c r="L18" s="367"/>
      <c r="M18" s="367"/>
      <c r="N18" s="367"/>
      <c r="O18" s="367"/>
      <c r="P18" s="367"/>
      <c r="Q18" s="367"/>
      <c r="R18" s="367"/>
      <c r="S18" s="367"/>
      <c r="T18" s="367"/>
      <c r="U18" s="367"/>
      <c r="V18" s="367"/>
      <c r="W18" s="367"/>
      <c r="X18" s="367"/>
      <c r="Y18" s="367"/>
      <c r="Z18" s="367"/>
      <c r="AA18" s="367"/>
      <c r="AB18" s="367"/>
      <c r="AC18" s="367"/>
      <c r="AD18" s="367"/>
      <c r="AE18" s="367"/>
      <c r="AF18" s="367"/>
      <c r="AG18" s="367"/>
      <c r="AH18" s="367"/>
      <c r="AI18" s="367"/>
      <c r="AJ18" s="367"/>
      <c r="AK18" s="367"/>
      <c r="AL18" s="367"/>
      <c r="AM18" s="367"/>
      <c r="AN18" s="367"/>
      <c r="AO18" s="367"/>
      <c r="AP18" s="367"/>
      <c r="AQ18" s="367"/>
      <c r="AR18" s="367"/>
      <c r="AS18" s="367"/>
      <c r="AT18" s="367"/>
      <c r="AU18" s="367" t="s">
        <v>171</v>
      </c>
      <c r="AV18" s="367"/>
      <c r="AW18" s="367"/>
      <c r="AX18" s="367"/>
      <c r="AZ18" s="131">
        <f>(2500*13)+(600*12)+(550*12)+(95*12)</f>
        <v>47440</v>
      </c>
      <c r="BA18" s="131">
        <f ca="1">12*BA17</f>
        <v>54501.087272727273</v>
      </c>
      <c r="BB18" s="1"/>
      <c r="BC18" s="1"/>
    </row>
    <row r="19" spans="1:62" ht="17.25" thickTop="1" thickBot="1">
      <c r="A19" s="24" t="s">
        <v>7</v>
      </c>
      <c r="B19" s="24" t="s">
        <v>204</v>
      </c>
      <c r="C19" s="178" t="s">
        <v>52</v>
      </c>
      <c r="D19" s="179" t="s">
        <v>205</v>
      </c>
      <c r="E19" s="179" t="s">
        <v>9</v>
      </c>
      <c r="F19" s="180" t="s">
        <v>10</v>
      </c>
      <c r="G19" s="178" t="s">
        <v>52</v>
      </c>
      <c r="H19" s="179" t="s">
        <v>205</v>
      </c>
      <c r="I19" s="179" t="s">
        <v>9</v>
      </c>
      <c r="J19" s="180" t="s">
        <v>10</v>
      </c>
      <c r="K19" s="178" t="s">
        <v>52</v>
      </c>
      <c r="L19" s="179" t="s">
        <v>205</v>
      </c>
      <c r="M19" s="179" t="s">
        <v>9</v>
      </c>
      <c r="N19" s="180" t="s">
        <v>10</v>
      </c>
      <c r="O19" s="178" t="s">
        <v>52</v>
      </c>
      <c r="P19" s="179" t="s">
        <v>205</v>
      </c>
      <c r="Q19" s="179" t="s">
        <v>9</v>
      </c>
      <c r="R19" s="180" t="s">
        <v>10</v>
      </c>
      <c r="S19" s="178" t="s">
        <v>52</v>
      </c>
      <c r="T19" s="179" t="s">
        <v>205</v>
      </c>
      <c r="U19" s="179" t="s">
        <v>9</v>
      </c>
      <c r="V19" s="180" t="s">
        <v>10</v>
      </c>
      <c r="W19" s="178" t="s">
        <v>52</v>
      </c>
      <c r="X19" s="179" t="s">
        <v>205</v>
      </c>
      <c r="Y19" s="179" t="s">
        <v>9</v>
      </c>
      <c r="Z19" s="180" t="s">
        <v>10</v>
      </c>
      <c r="AA19" s="178" t="s">
        <v>52</v>
      </c>
      <c r="AB19" s="179" t="s">
        <v>205</v>
      </c>
      <c r="AC19" s="179" t="s">
        <v>9</v>
      </c>
      <c r="AD19" s="180" t="s">
        <v>10</v>
      </c>
      <c r="AE19" s="178" t="s">
        <v>52</v>
      </c>
      <c r="AF19" s="179" t="s">
        <v>205</v>
      </c>
      <c r="AG19" s="179" t="s">
        <v>9</v>
      </c>
      <c r="AH19" s="180" t="s">
        <v>10</v>
      </c>
      <c r="AI19" s="178" t="s">
        <v>52</v>
      </c>
      <c r="AJ19" s="179" t="s">
        <v>205</v>
      </c>
      <c r="AK19" s="179" t="s">
        <v>9</v>
      </c>
      <c r="AL19" s="180" t="s">
        <v>10</v>
      </c>
      <c r="AM19" s="178" t="s">
        <v>52</v>
      </c>
      <c r="AN19" s="179" t="s">
        <v>205</v>
      </c>
      <c r="AO19" s="179" t="s">
        <v>9</v>
      </c>
      <c r="AP19" s="180" t="s">
        <v>10</v>
      </c>
      <c r="AQ19" s="178" t="s">
        <v>52</v>
      </c>
      <c r="AR19" s="179" t="s">
        <v>205</v>
      </c>
      <c r="AS19" s="179" t="s">
        <v>9</v>
      </c>
      <c r="AT19" s="180" t="s">
        <v>10</v>
      </c>
      <c r="AU19" s="178" t="s">
        <v>52</v>
      </c>
      <c r="AV19" s="179" t="s">
        <v>205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186</v>
      </c>
      <c r="BF19" s="13" t="s">
        <v>189</v>
      </c>
      <c r="BG19" s="13" t="s">
        <v>187</v>
      </c>
      <c r="BH19" s="13" t="s">
        <v>188</v>
      </c>
      <c r="BJ19" s="12" t="s">
        <v>224</v>
      </c>
    </row>
    <row r="20" spans="1:62" ht="15.75">
      <c r="A20" s="141" t="s">
        <v>882</v>
      </c>
      <c r="B20" s="142">
        <v>448.77999999999963</v>
      </c>
      <c r="C20" s="143" t="s">
        <v>0</v>
      </c>
      <c r="D20" s="144">
        <f>'01'!B20</f>
        <v>586.53</v>
      </c>
      <c r="E20" s="144">
        <f>SUM('01'!D20:F20)</f>
        <v>0</v>
      </c>
      <c r="F20" s="145">
        <f t="shared" ref="F20:F45" si="2">B20+D20-E20</f>
        <v>1035.3099999999995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995.1599999999994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393.9099999999994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390.14999999999941</v>
      </c>
      <c r="S20" s="143" t="s">
        <v>69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591.26999999999953</v>
      </c>
      <c r="W20" s="143" t="s">
        <v>68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590.9399999999996</v>
      </c>
      <c r="AA20" s="143" t="s">
        <v>70</v>
      </c>
      <c r="AB20" s="144">
        <f>'07'!B20</f>
        <v>643.1</v>
      </c>
      <c r="AC20" s="144">
        <f>SUM('07'!D20:F20)</f>
        <v>445.31</v>
      </c>
      <c r="AD20" s="145">
        <f t="shared" ref="AD20:AD45" si="8">Z20+AB20-AC20</f>
        <v>788.72999999999956</v>
      </c>
      <c r="AE20" s="143" t="s">
        <v>71</v>
      </c>
      <c r="AF20" s="144">
        <f>'08'!B20</f>
        <v>544</v>
      </c>
      <c r="AG20" s="144">
        <f>SUM('08'!D20:F20)</f>
        <v>549.07999999999993</v>
      </c>
      <c r="AH20" s="145">
        <f t="shared" ref="AH20:AH45" si="9">AD20+AF20-AG20</f>
        <v>783.64999999999964</v>
      </c>
      <c r="AI20" s="143" t="s">
        <v>74</v>
      </c>
      <c r="AJ20" s="144">
        <f>'09'!B20</f>
        <v>670.26</v>
      </c>
      <c r="AK20" s="144">
        <f>SUM('09'!D20:F20)</f>
        <v>467.9</v>
      </c>
      <c r="AL20" s="145">
        <f t="shared" ref="AL20:AL45" si="10">AH20+AJ20-AK20</f>
        <v>986.00999999999965</v>
      </c>
      <c r="AM20" s="143" t="s">
        <v>75</v>
      </c>
      <c r="AN20" s="144">
        <f>'10'!B20</f>
        <v>505.18</v>
      </c>
      <c r="AO20" s="144">
        <f>SUM('10'!D20:F20)</f>
        <v>529.38</v>
      </c>
      <c r="AP20" s="145">
        <f t="shared" ref="AP20:AP45" si="11">AL20+AN20-AO20</f>
        <v>961.8099999999996</v>
      </c>
      <c r="AQ20" s="143" t="s">
        <v>78</v>
      </c>
      <c r="AR20" s="144">
        <f>'11'!B20</f>
        <v>603.05999999999995</v>
      </c>
      <c r="AS20" s="144">
        <f>SUM('11'!D20:F20)</f>
        <v>42.230000000000004</v>
      </c>
      <c r="AT20" s="145">
        <f t="shared" ref="AT20:AT45" si="12">AP20+AR20-AS20</f>
        <v>1522.6399999999994</v>
      </c>
      <c r="AU20" s="143" t="s">
        <v>82</v>
      </c>
      <c r="AV20" s="144">
        <f>'12'!B20</f>
        <v>242.14</v>
      </c>
      <c r="AW20" s="144">
        <f>SUM('12'!D20:F20)</f>
        <v>0</v>
      </c>
      <c r="AX20" s="145">
        <f t="shared" ref="AX20:AX45" si="13">AT20+AV20-AW20</f>
        <v>1764.7799999999993</v>
      </c>
      <c r="AZ20" s="123">
        <f t="shared" ref="AZ20:AZ27" si="14">E20+I20+M20+Q20+U20+Y20+AC20+AG20+AK20+AO20+AS20+AW20</f>
        <v>5282.4199999999992</v>
      </c>
      <c r="BA20" s="21">
        <f t="shared" ref="BA20:BA45" si="15">AZ20/AZ$46</f>
        <v>0.12158554089525139</v>
      </c>
      <c r="BB20" s="22">
        <f>_xlfn.RANK.EQ(BA20,$BA$20:$BA$45,)</f>
        <v>2</v>
      </c>
      <c r="BC20" s="22">
        <f t="shared" ref="BC20:BC45" ca="1" si="16">AZ20/BC$17</f>
        <v>480.21999999999991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6356.2800000000007</v>
      </c>
      <c r="BF20" s="21">
        <f t="shared" ref="BF20:BF45" ca="1" si="18">BE20/BE$46</f>
        <v>0.12742668969500975</v>
      </c>
      <c r="BG20" s="22">
        <f ca="1">_xlfn.RANK.EQ(BF20,$BF$20:$BF$45,)</f>
        <v>2</v>
      </c>
      <c r="BH20" s="22">
        <f t="shared" ref="BH20:BH45" ca="1" si="19">BE20/BC$17</f>
        <v>577.84363636363639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1073.8599999999997</v>
      </c>
    </row>
    <row r="21" spans="1:62" ht="15.75">
      <c r="A21" s="146" t="s">
        <v>47</v>
      </c>
      <c r="B21" s="147">
        <v>652.85999999999967</v>
      </c>
      <c r="C21" s="148" t="s">
        <v>0</v>
      </c>
      <c r="D21" s="149">
        <f>'01'!B40</f>
        <v>1163</v>
      </c>
      <c r="E21" s="150">
        <f>SUM('01'!D40:F40)</f>
        <v>0</v>
      </c>
      <c r="F21" s="151">
        <f t="shared" si="2"/>
        <v>1815.8599999999997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1858.9099999999996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1491.6799999999998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1535.7399999999998</v>
      </c>
      <c r="S21" s="148" t="s">
        <v>69</v>
      </c>
      <c r="T21" s="149">
        <f>'05'!B40</f>
        <v>1148</v>
      </c>
      <c r="U21" s="150">
        <f>SUM('05'!D40:F40)</f>
        <v>1271.76</v>
      </c>
      <c r="V21" s="151">
        <f t="shared" si="6"/>
        <v>1411.9799999999998</v>
      </c>
      <c r="W21" s="148" t="s">
        <v>68</v>
      </c>
      <c r="X21" s="149">
        <f>'06'!B40</f>
        <v>1148</v>
      </c>
      <c r="Y21" s="150">
        <f>SUM('06'!D40:F40)</f>
        <v>1103.94</v>
      </c>
      <c r="Z21" s="151">
        <f t="shared" si="7"/>
        <v>1456.0399999999995</v>
      </c>
      <c r="AA21" s="148" t="s">
        <v>70</v>
      </c>
      <c r="AB21" s="149">
        <f>'07'!B40</f>
        <v>1148</v>
      </c>
      <c r="AC21" s="150">
        <f>SUM('07'!D40:F40)</f>
        <v>1103.94</v>
      </c>
      <c r="AD21" s="151">
        <f t="shared" si="8"/>
        <v>1500.0999999999995</v>
      </c>
      <c r="AE21" s="148" t="s">
        <v>71</v>
      </c>
      <c r="AF21" s="149">
        <f>'08'!B40</f>
        <v>1148</v>
      </c>
      <c r="AG21" s="150">
        <f>SUM('08'!D40:F40)</f>
        <v>1208.1300000000001</v>
      </c>
      <c r="AH21" s="151">
        <f t="shared" si="9"/>
        <v>1439.9699999999993</v>
      </c>
      <c r="AI21" s="148" t="s">
        <v>74</v>
      </c>
      <c r="AJ21" s="149">
        <f>'09'!B40</f>
        <v>1148</v>
      </c>
      <c r="AK21" s="150">
        <f>SUM('09'!D40:F40)</f>
        <v>1103.94</v>
      </c>
      <c r="AL21" s="151">
        <f t="shared" si="10"/>
        <v>1484.0299999999993</v>
      </c>
      <c r="AM21" s="148" t="s">
        <v>75</v>
      </c>
      <c r="AN21" s="149">
        <f>'10'!B40</f>
        <v>1148</v>
      </c>
      <c r="AO21" s="150">
        <f>SUM('10'!D40:F40)</f>
        <v>1208.1300000000001</v>
      </c>
      <c r="AP21" s="151">
        <f t="shared" si="11"/>
        <v>1423.8999999999992</v>
      </c>
      <c r="AQ21" s="143" t="s">
        <v>78</v>
      </c>
      <c r="AR21" s="149">
        <f>'11'!B40</f>
        <v>1148</v>
      </c>
      <c r="AS21" s="150">
        <f>SUM('11'!D40:F40)</f>
        <v>1104.6099999999999</v>
      </c>
      <c r="AT21" s="151">
        <f t="shared" si="12"/>
        <v>1467.2899999999993</v>
      </c>
      <c r="AU21" s="148" t="s">
        <v>82</v>
      </c>
      <c r="AV21" s="149">
        <f>'12'!B40</f>
        <v>1153</v>
      </c>
      <c r="AW21" s="150">
        <f>SUM('12'!D40:F40)</f>
        <v>0</v>
      </c>
      <c r="AX21" s="151">
        <f t="shared" si="13"/>
        <v>2620.2899999999991</v>
      </c>
      <c r="AZ21" s="152">
        <f t="shared" si="14"/>
        <v>11788.57</v>
      </c>
      <c r="BA21" s="21">
        <f t="shared" si="15"/>
        <v>0.27133769367667354</v>
      </c>
      <c r="BB21" s="22">
        <f t="shared" ref="BB21:BB45" si="20">_xlfn.RANK.EQ(BA21,$BA$20:$BA$45,)</f>
        <v>1</v>
      </c>
      <c r="BC21" s="22">
        <f t="shared" ca="1" si="16"/>
        <v>1071.6881818181819</v>
      </c>
      <c r="BE21" s="224">
        <f t="shared" ca="1" si="17"/>
        <v>12603</v>
      </c>
      <c r="BF21" s="21">
        <f t="shared" ca="1" si="18"/>
        <v>0.25265698965844924</v>
      </c>
      <c r="BG21" s="22">
        <f t="shared" ref="BG21:BG45" ca="1" si="21">_xlfn.RANK.EQ(BF21,$BF$20:$BF$45,)</f>
        <v>1</v>
      </c>
      <c r="BH21" s="22">
        <f t="shared" ca="1" si="19"/>
        <v>1145.7272727272727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814.42999999999961</v>
      </c>
    </row>
    <row r="22" spans="1:62" ht="15.75">
      <c r="A22" s="153" t="s">
        <v>883</v>
      </c>
      <c r="B22" s="154">
        <v>246.07000000000016</v>
      </c>
      <c r="C22" s="143" t="s">
        <v>0</v>
      </c>
      <c r="D22" s="155">
        <f>'01'!B60</f>
        <v>315</v>
      </c>
      <c r="E22" s="155">
        <f>SUM('01'!D60:F60)</f>
        <v>0</v>
      </c>
      <c r="F22" s="156">
        <f t="shared" si="2"/>
        <v>561.07000000000016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614.81000000000017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708.93000000000006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867.5200000000001</v>
      </c>
      <c r="S22" s="143" t="s">
        <v>69</v>
      </c>
      <c r="T22" s="155">
        <f>'05'!B60</f>
        <v>300</v>
      </c>
      <c r="U22" s="155">
        <f>SUM('05'!D60:F60)</f>
        <v>331.26</v>
      </c>
      <c r="V22" s="156">
        <f t="shared" si="6"/>
        <v>836.26</v>
      </c>
      <c r="W22" s="143" t="s">
        <v>68</v>
      </c>
      <c r="X22" s="155">
        <f>'06'!B60</f>
        <v>300</v>
      </c>
      <c r="Y22" s="155">
        <f>SUM('06'!D60:F60)</f>
        <v>293.22000000000003</v>
      </c>
      <c r="Z22" s="156">
        <f t="shared" si="7"/>
        <v>843.04</v>
      </c>
      <c r="AA22" s="143" t="s">
        <v>70</v>
      </c>
      <c r="AB22" s="155">
        <f>'07'!B60</f>
        <v>108.36000000000001</v>
      </c>
      <c r="AC22" s="155">
        <f>SUM('07'!D60:F60)</f>
        <v>108.36</v>
      </c>
      <c r="AD22" s="156">
        <f t="shared" si="8"/>
        <v>843.04</v>
      </c>
      <c r="AE22" s="143" t="s">
        <v>71</v>
      </c>
      <c r="AF22" s="155">
        <f>'08'!B60</f>
        <v>323.87</v>
      </c>
      <c r="AG22" s="155">
        <f>SUM('08'!D60:F60)</f>
        <v>323.87000000000006</v>
      </c>
      <c r="AH22" s="156">
        <f t="shared" si="9"/>
        <v>843.03999999999974</v>
      </c>
      <c r="AI22" s="143" t="s">
        <v>74</v>
      </c>
      <c r="AJ22" s="155">
        <f>'09'!B60</f>
        <v>300</v>
      </c>
      <c r="AK22" s="155">
        <f>SUM('09'!D60:F60)</f>
        <v>284.70000000000005</v>
      </c>
      <c r="AL22" s="156">
        <f t="shared" si="10"/>
        <v>858.33999999999969</v>
      </c>
      <c r="AM22" s="143" t="s">
        <v>75</v>
      </c>
      <c r="AN22" s="155">
        <f>'10'!B60</f>
        <v>300</v>
      </c>
      <c r="AO22" s="155">
        <f>SUM('10'!D60:F60)</f>
        <v>327.21000000000004</v>
      </c>
      <c r="AP22" s="156">
        <f t="shared" si="11"/>
        <v>831.12999999999965</v>
      </c>
      <c r="AQ22" s="143" t="s">
        <v>78</v>
      </c>
      <c r="AR22" s="155">
        <f>'11'!B60</f>
        <v>300</v>
      </c>
      <c r="AS22" s="155">
        <f>SUM('11'!D60:F60)</f>
        <v>396.2</v>
      </c>
      <c r="AT22" s="156">
        <f t="shared" si="12"/>
        <v>734.92999999999961</v>
      </c>
      <c r="AU22" s="143" t="s">
        <v>82</v>
      </c>
      <c r="AV22" s="155">
        <f>'12'!B60</f>
        <v>315</v>
      </c>
      <c r="AW22" s="155">
        <f>SUM('12'!D60:F60)</f>
        <v>0</v>
      </c>
      <c r="AX22" s="156">
        <f t="shared" si="13"/>
        <v>1049.9299999999996</v>
      </c>
      <c r="AZ22" s="157">
        <f t="shared" si="14"/>
        <v>2842.37</v>
      </c>
      <c r="BA22" s="21">
        <f t="shared" si="15"/>
        <v>6.5422873204787915E-2</v>
      </c>
      <c r="BB22" s="22">
        <f t="shared" si="20"/>
        <v>6</v>
      </c>
      <c r="BC22" s="22">
        <f t="shared" ca="1" si="16"/>
        <v>258.39727272727271</v>
      </c>
      <c r="BE22" s="225">
        <f t="shared" ca="1" si="17"/>
        <v>3331.23</v>
      </c>
      <c r="BF22" s="21">
        <f t="shared" ca="1" si="18"/>
        <v>6.6782396545260317E-2</v>
      </c>
      <c r="BG22" s="22">
        <f t="shared" ca="1" si="21"/>
        <v>6</v>
      </c>
      <c r="BH22" s="22">
        <f t="shared" ca="1" si="19"/>
        <v>302.83909090909088</v>
      </c>
      <c r="BJ22" s="225">
        <f t="shared" ca="1" si="22"/>
        <v>488.85999999999945</v>
      </c>
    </row>
    <row r="23" spans="1:62" ht="15.75">
      <c r="A23" s="146" t="s">
        <v>15</v>
      </c>
      <c r="B23" s="147">
        <v>42.130000000000024</v>
      </c>
      <c r="C23" s="148" t="s">
        <v>0</v>
      </c>
      <c r="D23" s="149">
        <f>'01'!B80</f>
        <v>185</v>
      </c>
      <c r="E23" s="150">
        <f>SUM('01'!D80:F80)</f>
        <v>0</v>
      </c>
      <c r="F23" s="151">
        <f t="shared" si="2"/>
        <v>227.13000000000002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231.49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254.97000000000003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323.97000000000003</v>
      </c>
      <c r="S23" s="148" t="s">
        <v>69</v>
      </c>
      <c r="T23" s="149">
        <f>'05'!B80</f>
        <v>170</v>
      </c>
      <c r="U23" s="150">
        <f>SUM('05'!D80:F80)</f>
        <v>212.85</v>
      </c>
      <c r="V23" s="151">
        <f t="shared" si="6"/>
        <v>281.12</v>
      </c>
      <c r="W23" s="148" t="s">
        <v>68</v>
      </c>
      <c r="X23" s="149">
        <f>'06'!B80</f>
        <v>145</v>
      </c>
      <c r="Y23" s="150">
        <f>SUM('06'!D80:F80)</f>
        <v>142.65</v>
      </c>
      <c r="Z23" s="151">
        <f t="shared" si="7"/>
        <v>283.47000000000003</v>
      </c>
      <c r="AA23" s="148" t="s">
        <v>70</v>
      </c>
      <c r="AB23" s="149">
        <f>'07'!B80</f>
        <v>170</v>
      </c>
      <c r="AC23" s="150">
        <f>SUM('07'!D80:F80)</f>
        <v>142.19999999999999</v>
      </c>
      <c r="AD23" s="151">
        <f t="shared" si="8"/>
        <v>311.27000000000004</v>
      </c>
      <c r="AE23" s="148" t="s">
        <v>71</v>
      </c>
      <c r="AF23" s="149">
        <f>'08'!B80</f>
        <v>210</v>
      </c>
      <c r="AG23" s="150">
        <f>SUM('08'!D80:F80)</f>
        <v>216.64999999999998</v>
      </c>
      <c r="AH23" s="151">
        <f t="shared" si="9"/>
        <v>304.62</v>
      </c>
      <c r="AI23" s="148" t="s">
        <v>74</v>
      </c>
      <c r="AJ23" s="149">
        <f>'09'!B80</f>
        <v>280</v>
      </c>
      <c r="AK23" s="150">
        <f>SUM('09'!D80:F80)</f>
        <v>272.90000000000003</v>
      </c>
      <c r="AL23" s="151">
        <f t="shared" si="10"/>
        <v>311.71999999999997</v>
      </c>
      <c r="AM23" s="148" t="s">
        <v>75</v>
      </c>
      <c r="AN23" s="149">
        <f>'10'!B80</f>
        <v>185</v>
      </c>
      <c r="AO23" s="150">
        <f>SUM('10'!D80:F80)</f>
        <v>168.38</v>
      </c>
      <c r="AP23" s="151">
        <f t="shared" si="11"/>
        <v>328.34</v>
      </c>
      <c r="AQ23" s="148" t="s">
        <v>78</v>
      </c>
      <c r="AR23" s="149">
        <f>'11'!B80</f>
        <v>185</v>
      </c>
      <c r="AS23" s="150">
        <f>SUM('11'!D80:F80)</f>
        <v>153.19999999999999</v>
      </c>
      <c r="AT23" s="151">
        <f t="shared" si="12"/>
        <v>360.13999999999993</v>
      </c>
      <c r="AU23" s="148" t="s">
        <v>82</v>
      </c>
      <c r="AV23" s="149">
        <f>'12'!B80</f>
        <v>185</v>
      </c>
      <c r="AW23" s="150">
        <f>SUM('12'!D80:F80)</f>
        <v>0</v>
      </c>
      <c r="AX23" s="151">
        <f t="shared" si="13"/>
        <v>545.13999999999987</v>
      </c>
      <c r="AZ23" s="152">
        <f t="shared" si="14"/>
        <v>1791.99</v>
      </c>
      <c r="BA23" s="21">
        <f t="shared" si="15"/>
        <v>4.1246260885897293E-2</v>
      </c>
      <c r="BB23" s="22">
        <f t="shared" si="20"/>
        <v>8</v>
      </c>
      <c r="BC23" s="22">
        <f t="shared" ca="1" si="16"/>
        <v>162.90818181818182</v>
      </c>
      <c r="BE23" s="224">
        <f t="shared" ca="1" si="17"/>
        <v>2110</v>
      </c>
      <c r="BF23" s="21">
        <f t="shared" ca="1" si="18"/>
        <v>4.2299948280514789E-2</v>
      </c>
      <c r="BG23" s="22">
        <f t="shared" ca="1" si="21"/>
        <v>9</v>
      </c>
      <c r="BH23" s="22">
        <f t="shared" ca="1" si="19"/>
        <v>191.81818181818181</v>
      </c>
      <c r="BJ23" s="224">
        <f t="shared" ca="1" si="22"/>
        <v>318.00999999999988</v>
      </c>
    </row>
    <row r="24" spans="1:62" ht="15.75">
      <c r="A24" s="153" t="s">
        <v>16</v>
      </c>
      <c r="B24" s="154">
        <v>0</v>
      </c>
      <c r="C24" s="143" t="s">
        <v>0</v>
      </c>
      <c r="D24" s="155">
        <f>'01'!B100</f>
        <v>150</v>
      </c>
      <c r="E24" s="155">
        <f>SUM('01'!D100:F100)</f>
        <v>0</v>
      </c>
      <c r="F24" s="156">
        <f t="shared" si="2"/>
        <v>150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162.84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226.75000000000003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273.36</v>
      </c>
      <c r="S24" s="143" t="s">
        <v>69</v>
      </c>
      <c r="T24" s="155">
        <f>'05'!B100</f>
        <v>160</v>
      </c>
      <c r="U24" s="155">
        <f>SUM('05'!D100:F100)</f>
        <v>175.48</v>
      </c>
      <c r="V24" s="156">
        <f t="shared" si="6"/>
        <v>257.88</v>
      </c>
      <c r="W24" s="143" t="s">
        <v>68</v>
      </c>
      <c r="X24" s="155">
        <f>'06'!B100</f>
        <v>180</v>
      </c>
      <c r="Y24" s="155">
        <f>SUM('06'!D100:F100)</f>
        <v>212.86</v>
      </c>
      <c r="Z24" s="156">
        <f t="shared" si="7"/>
        <v>225.01999999999998</v>
      </c>
      <c r="AA24" s="143" t="s">
        <v>70</v>
      </c>
      <c r="AB24" s="155">
        <f>'07'!B100</f>
        <v>160</v>
      </c>
      <c r="AC24" s="155">
        <f>SUM('07'!D100:F100)</f>
        <v>55.099999999999994</v>
      </c>
      <c r="AD24" s="156">
        <f>Z24+AB24-AC24</f>
        <v>329.91999999999996</v>
      </c>
      <c r="AE24" s="143" t="s">
        <v>71</v>
      </c>
      <c r="AF24" s="155">
        <f>'08'!B100</f>
        <v>160</v>
      </c>
      <c r="AG24" s="155">
        <f>SUM('08'!D100:F100)</f>
        <v>143.82</v>
      </c>
      <c r="AH24" s="156">
        <f t="shared" si="9"/>
        <v>346.09999999999997</v>
      </c>
      <c r="AI24" s="143" t="s">
        <v>74</v>
      </c>
      <c r="AJ24" s="155">
        <f>'09'!B100</f>
        <v>150</v>
      </c>
      <c r="AK24" s="155">
        <f>SUM('09'!D100:F100)</f>
        <v>154.66</v>
      </c>
      <c r="AL24" s="156">
        <f t="shared" si="10"/>
        <v>341.43999999999994</v>
      </c>
      <c r="AM24" s="143" t="s">
        <v>75</v>
      </c>
      <c r="AN24" s="155">
        <f>'10'!B100</f>
        <v>150</v>
      </c>
      <c r="AO24" s="155">
        <f>SUM('10'!D100:F100)</f>
        <v>210.17999999999998</v>
      </c>
      <c r="AP24" s="156">
        <f t="shared" si="11"/>
        <v>281.26</v>
      </c>
      <c r="AQ24" s="143" t="s">
        <v>78</v>
      </c>
      <c r="AR24" s="155">
        <f>'11'!B100</f>
        <v>150</v>
      </c>
      <c r="AS24" s="155">
        <f>SUM('11'!D100:F100)</f>
        <v>43.28</v>
      </c>
      <c r="AT24" s="156">
        <f t="shared" si="12"/>
        <v>387.98</v>
      </c>
      <c r="AU24" s="143" t="s">
        <v>82</v>
      </c>
      <c r="AV24" s="155">
        <f>'12'!B100</f>
        <v>150</v>
      </c>
      <c r="AW24" s="155">
        <f>SUM('12'!D100:F100)</f>
        <v>0</v>
      </c>
      <c r="AX24" s="156">
        <f t="shared" si="13"/>
        <v>537.98</v>
      </c>
      <c r="AZ24" s="157">
        <f t="shared" si="14"/>
        <v>1362.0200000000002</v>
      </c>
      <c r="BA24" s="21">
        <f t="shared" si="15"/>
        <v>3.134963490410652E-2</v>
      </c>
      <c r="BB24" s="22">
        <f t="shared" si="20"/>
        <v>10</v>
      </c>
      <c r="BC24" s="22">
        <f t="shared" ca="1" si="16"/>
        <v>123.82000000000002</v>
      </c>
      <c r="BE24" s="225">
        <f t="shared" ca="1" si="17"/>
        <v>1750</v>
      </c>
      <c r="BF24" s="21">
        <f t="shared" ca="1" si="18"/>
        <v>3.5082895493317952E-2</v>
      </c>
      <c r="BG24" s="22">
        <f t="shared" ca="1" si="21"/>
        <v>11</v>
      </c>
      <c r="BH24" s="22">
        <f t="shared" ca="1" si="19"/>
        <v>159.09090909090909</v>
      </c>
      <c r="BJ24" s="225">
        <f t="shared" ca="1" si="22"/>
        <v>387.98</v>
      </c>
    </row>
    <row r="25" spans="1:62" ht="15.75">
      <c r="A25" s="146" t="s">
        <v>48</v>
      </c>
      <c r="B25" s="147">
        <v>3162.5499999999984</v>
      </c>
      <c r="C25" s="148" t="s">
        <v>0</v>
      </c>
      <c r="D25" s="149">
        <f>'01'!B120</f>
        <v>440</v>
      </c>
      <c r="E25" s="150">
        <f>SUM('01'!D120:F120)</f>
        <v>0</v>
      </c>
      <c r="F25" s="151">
        <f t="shared" si="2"/>
        <v>3602.5499999999984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3680.1699999999983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2487.7899999999981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4029.7599999999975</v>
      </c>
      <c r="S25" s="148" t="s">
        <v>69</v>
      </c>
      <c r="T25" s="149">
        <f>'05'!B120</f>
        <v>-485</v>
      </c>
      <c r="U25" s="150">
        <f>SUM('05'!D120:F120)</f>
        <v>327.38</v>
      </c>
      <c r="V25" s="151">
        <f t="shared" si="6"/>
        <v>3217.3799999999974</v>
      </c>
      <c r="W25" s="148" t="s">
        <v>68</v>
      </c>
      <c r="X25" s="149">
        <f>'06'!B120</f>
        <v>445</v>
      </c>
      <c r="Y25" s="150">
        <f>SUM('06'!D120:F120)</f>
        <v>327.38</v>
      </c>
      <c r="Z25" s="151">
        <f t="shared" si="7"/>
        <v>3334.9999999999973</v>
      </c>
      <c r="AA25" s="148" t="s">
        <v>70</v>
      </c>
      <c r="AB25" s="149">
        <f>'07'!B120</f>
        <v>645</v>
      </c>
      <c r="AC25" s="150">
        <f>SUM('07'!D120:F120)</f>
        <v>327.38</v>
      </c>
      <c r="AD25" s="151">
        <f t="shared" si="8"/>
        <v>3652.6199999999972</v>
      </c>
      <c r="AE25" s="148" t="s">
        <v>71</v>
      </c>
      <c r="AF25" s="149">
        <f>'08'!B120</f>
        <v>995</v>
      </c>
      <c r="AG25" s="150">
        <f>SUM('08'!D120:F120)</f>
        <v>327.38</v>
      </c>
      <c r="AH25" s="151">
        <f t="shared" si="9"/>
        <v>4320.2399999999971</v>
      </c>
      <c r="AI25" s="148" t="s">
        <v>74</v>
      </c>
      <c r="AJ25" s="149">
        <f>'09'!B120</f>
        <v>445</v>
      </c>
      <c r="AK25" s="150">
        <f>SUM('09'!D120:F120)</f>
        <v>327.38</v>
      </c>
      <c r="AL25" s="151">
        <f t="shared" si="10"/>
        <v>4437.8599999999969</v>
      </c>
      <c r="AM25" s="148" t="s">
        <v>75</v>
      </c>
      <c r="AN25" s="149">
        <f>'10'!B120</f>
        <v>761.33159742449789</v>
      </c>
      <c r="AO25" s="150">
        <f>SUM('10'!D120:F120)</f>
        <v>327.38</v>
      </c>
      <c r="AP25" s="151">
        <f t="shared" si="11"/>
        <v>4871.8115974244947</v>
      </c>
      <c r="AQ25" s="148" t="s">
        <v>78</v>
      </c>
      <c r="AR25" s="149">
        <f>'11'!B120</f>
        <v>457.47</v>
      </c>
      <c r="AS25" s="150">
        <f>SUM('11'!D120:F120)</f>
        <v>327.38</v>
      </c>
      <c r="AT25" s="151">
        <f t="shared" si="12"/>
        <v>5001.9015974244949</v>
      </c>
      <c r="AU25" s="148" t="s">
        <v>82</v>
      </c>
      <c r="AV25" s="149">
        <f>'12'!B120</f>
        <v>457.47</v>
      </c>
      <c r="AW25" s="150">
        <f>SUM('12'!D120:F120)</f>
        <v>0</v>
      </c>
      <c r="AX25" s="151">
        <f t="shared" si="13"/>
        <v>5459.3715974244951</v>
      </c>
      <c r="AZ25" s="152">
        <f t="shared" si="14"/>
        <v>3337.8000000000006</v>
      </c>
      <c r="BA25" s="21">
        <f t="shared" si="15"/>
        <v>7.6826192994909587E-2</v>
      </c>
      <c r="BB25" s="22">
        <f t="shared" si="20"/>
        <v>4</v>
      </c>
      <c r="BC25" s="22">
        <f t="shared" ca="1" si="16"/>
        <v>303.43636363636369</v>
      </c>
      <c r="BE25" s="224">
        <f t="shared" ca="1" si="17"/>
        <v>5177.1515974244985</v>
      </c>
      <c r="BF25" s="21">
        <f t="shared" ca="1" si="18"/>
        <v>0.10378826768314729</v>
      </c>
      <c r="BG25" s="22">
        <f t="shared" ca="1" si="21"/>
        <v>3</v>
      </c>
      <c r="BH25" s="22">
        <f t="shared" ca="1" si="19"/>
        <v>470.65014522040894</v>
      </c>
      <c r="BJ25" s="224">
        <f t="shared" ca="1" si="22"/>
        <v>1839.3515974244965</v>
      </c>
    </row>
    <row r="26" spans="1:62" ht="15.75">
      <c r="A26" s="153" t="s">
        <v>49</v>
      </c>
      <c r="B26" s="154">
        <v>19.539999999999949</v>
      </c>
      <c r="C26" s="143" t="s">
        <v>0</v>
      </c>
      <c r="D26" s="155">
        <f>'01'!B140</f>
        <v>68</v>
      </c>
      <c r="E26" s="155">
        <f>SUM('01'!D140:F140)</f>
        <v>0</v>
      </c>
      <c r="F26" s="156">
        <f t="shared" si="2"/>
        <v>87.539999999999949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80.489999999999952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87.989999999999952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85.499999999999943</v>
      </c>
      <c r="S26" s="143" t="s">
        <v>69</v>
      </c>
      <c r="T26" s="155">
        <f>'05'!B140</f>
        <v>53</v>
      </c>
      <c r="U26" s="155">
        <f>SUM('05'!D140:F140)</f>
        <v>35.49</v>
      </c>
      <c r="V26" s="156">
        <f t="shared" si="6"/>
        <v>103.00999999999993</v>
      </c>
      <c r="W26" s="143" t="s">
        <v>68</v>
      </c>
      <c r="X26" s="155">
        <f>'06'!B140</f>
        <v>53</v>
      </c>
      <c r="Y26" s="155">
        <f>SUM('06'!D140:F140)</f>
        <v>55.49</v>
      </c>
      <c r="Z26" s="156">
        <f t="shared" si="7"/>
        <v>100.51999999999992</v>
      </c>
      <c r="AA26" s="143" t="s">
        <v>70</v>
      </c>
      <c r="AB26" s="155">
        <f>'07'!B140</f>
        <v>53</v>
      </c>
      <c r="AC26" s="155">
        <f>SUM('07'!D140:F140)</f>
        <v>45.49</v>
      </c>
      <c r="AD26" s="156">
        <f t="shared" si="8"/>
        <v>108.02999999999992</v>
      </c>
      <c r="AE26" s="143" t="s">
        <v>71</v>
      </c>
      <c r="AF26" s="155">
        <f>'08'!B140</f>
        <v>53</v>
      </c>
      <c r="AG26" s="155">
        <f>SUM('08'!D140:F140)</f>
        <v>55.49</v>
      </c>
      <c r="AH26" s="156">
        <f t="shared" si="9"/>
        <v>105.53999999999991</v>
      </c>
      <c r="AI26" s="143" t="s">
        <v>74</v>
      </c>
      <c r="AJ26" s="155">
        <f>'09'!B140</f>
        <v>53</v>
      </c>
      <c r="AK26" s="155">
        <f>SUM('09'!D140:F140)</f>
        <v>45.49</v>
      </c>
      <c r="AL26" s="156">
        <f t="shared" si="10"/>
        <v>113.0499999999999</v>
      </c>
      <c r="AM26" s="143" t="s">
        <v>75</v>
      </c>
      <c r="AN26" s="155">
        <f>'10'!B140</f>
        <v>53</v>
      </c>
      <c r="AO26" s="155">
        <f>SUM('10'!D140:F140)</f>
        <v>110.49</v>
      </c>
      <c r="AP26" s="156">
        <f t="shared" si="11"/>
        <v>55.559999999999903</v>
      </c>
      <c r="AQ26" s="143" t="s">
        <v>78</v>
      </c>
      <c r="AR26" s="155">
        <f>'11'!B140</f>
        <v>53</v>
      </c>
      <c r="AS26" s="155">
        <f>SUM('11'!D140:F140)</f>
        <v>45.49</v>
      </c>
      <c r="AT26" s="156">
        <f t="shared" si="12"/>
        <v>63.069999999999901</v>
      </c>
      <c r="AU26" s="143" t="s">
        <v>82</v>
      </c>
      <c r="AV26" s="155">
        <f>'12'!B140</f>
        <v>68</v>
      </c>
      <c r="AW26" s="155">
        <f>SUM('12'!D140:F140)</f>
        <v>0</v>
      </c>
      <c r="AX26" s="156">
        <f t="shared" si="13"/>
        <v>131.06999999999991</v>
      </c>
      <c r="AZ26" s="157">
        <f t="shared" si="14"/>
        <v>554.92000000000007</v>
      </c>
      <c r="BA26" s="21">
        <f t="shared" si="15"/>
        <v>1.2772602018316023E-2</v>
      </c>
      <c r="BB26" s="22">
        <f t="shared" si="20"/>
        <v>15</v>
      </c>
      <c r="BC26" s="22">
        <f t="shared" ca="1" si="16"/>
        <v>50.447272727272733</v>
      </c>
      <c r="BE26" s="225">
        <f t="shared" ca="1" si="17"/>
        <v>598.45000000000005</v>
      </c>
      <c r="BF26" s="21">
        <f t="shared" ca="1" si="18"/>
        <v>1.1997347890272073E-2</v>
      </c>
      <c r="BG26" s="22">
        <f t="shared" ca="1" si="21"/>
        <v>17</v>
      </c>
      <c r="BH26" s="22">
        <f t="shared" ca="1" si="19"/>
        <v>54.404545454545456</v>
      </c>
      <c r="BJ26" s="225">
        <f t="shared" ca="1" si="22"/>
        <v>43.529999999999951</v>
      </c>
    </row>
    <row r="27" spans="1:62" ht="16.5" thickBot="1">
      <c r="A27" s="183" t="s">
        <v>17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306.57000000000011</v>
      </c>
      <c r="S27" s="185" t="s">
        <v>69</v>
      </c>
      <c r="T27" s="186">
        <f>'05'!B160</f>
        <v>50</v>
      </c>
      <c r="U27" s="186">
        <f>SUM('05'!D160:F160)</f>
        <v>83.87</v>
      </c>
      <c r="V27" s="187">
        <f t="shared" si="6"/>
        <v>272.7000000000001</v>
      </c>
      <c r="W27" s="185" t="s">
        <v>68</v>
      </c>
      <c r="X27" s="186">
        <f>'06'!B160</f>
        <v>-10</v>
      </c>
      <c r="Y27" s="186">
        <f>SUM('06'!D160:F160)</f>
        <v>33.159999999999997</v>
      </c>
      <c r="Z27" s="187">
        <f t="shared" si="7"/>
        <v>229.54000000000011</v>
      </c>
      <c r="AA27" s="185" t="s">
        <v>70</v>
      </c>
      <c r="AB27" s="186">
        <f>'07'!B160</f>
        <v>50</v>
      </c>
      <c r="AC27" s="186">
        <f>SUM('07'!D160:F160)</f>
        <v>0</v>
      </c>
      <c r="AD27" s="187">
        <f t="shared" si="8"/>
        <v>279.54000000000008</v>
      </c>
      <c r="AE27" s="185" t="s">
        <v>71</v>
      </c>
      <c r="AF27" s="186">
        <f>'08'!B160</f>
        <v>50</v>
      </c>
      <c r="AG27" s="186">
        <f>SUM('08'!D160:F160)</f>
        <v>37.29</v>
      </c>
      <c r="AH27" s="187">
        <f t="shared" si="9"/>
        <v>292.25000000000006</v>
      </c>
      <c r="AI27" s="185" t="s">
        <v>74</v>
      </c>
      <c r="AJ27" s="186">
        <f>'09'!B160</f>
        <v>50</v>
      </c>
      <c r="AK27" s="186">
        <f>SUM('09'!D160:F160)</f>
        <v>0</v>
      </c>
      <c r="AL27" s="187">
        <f t="shared" si="10"/>
        <v>342.25000000000006</v>
      </c>
      <c r="AM27" s="185" t="s">
        <v>75</v>
      </c>
      <c r="AN27" s="186">
        <f>'10'!B160</f>
        <v>50</v>
      </c>
      <c r="AO27" s="186">
        <f>SUM('10'!D160:F160)</f>
        <v>46.76</v>
      </c>
      <c r="AP27" s="187">
        <f t="shared" si="11"/>
        <v>345.49000000000007</v>
      </c>
      <c r="AQ27" s="185" t="s">
        <v>78</v>
      </c>
      <c r="AR27" s="186">
        <f>'11'!B160</f>
        <v>50</v>
      </c>
      <c r="AS27" s="186">
        <f>SUM('11'!D160:F160)</f>
        <v>16.579999999999998</v>
      </c>
      <c r="AT27" s="187">
        <f t="shared" si="12"/>
        <v>378.91000000000008</v>
      </c>
      <c r="AU27" s="185" t="s">
        <v>82</v>
      </c>
      <c r="AV27" s="186">
        <f>'12'!B160</f>
        <v>50</v>
      </c>
      <c r="AW27" s="186">
        <f>SUM('12'!D160:F160)</f>
        <v>0</v>
      </c>
      <c r="AX27" s="187">
        <f t="shared" si="13"/>
        <v>428.91000000000008</v>
      </c>
      <c r="AZ27" s="188">
        <f t="shared" si="14"/>
        <v>415.03999999999996</v>
      </c>
      <c r="BA27" s="21">
        <f t="shared" si="15"/>
        <v>9.5529819463740385E-3</v>
      </c>
      <c r="BB27" s="22">
        <f t="shared" si="20"/>
        <v>18</v>
      </c>
      <c r="BC27" s="22">
        <f t="shared" ca="1" si="16"/>
        <v>37.730909090909087</v>
      </c>
      <c r="BE27" s="224">
        <f t="shared" ca="1" si="17"/>
        <v>490</v>
      </c>
      <c r="BF27" s="21">
        <f t="shared" ca="1" si="18"/>
        <v>9.8232107381290273E-3</v>
      </c>
      <c r="BG27" s="22">
        <f t="shared" ca="1" si="21"/>
        <v>19</v>
      </c>
      <c r="BH27" s="22">
        <f t="shared" ca="1" si="19"/>
        <v>44.545454545454547</v>
      </c>
      <c r="BJ27" s="224">
        <f t="shared" ca="1" si="22"/>
        <v>74.960000000000036</v>
      </c>
    </row>
    <row r="28" spans="1:62" ht="15.75">
      <c r="A28" s="163" t="s">
        <v>18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0</v>
      </c>
      <c r="F28" s="159">
        <f t="shared" si="2"/>
        <v>809.05000000000007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928.54000000000019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1318.5400000000002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627.68000000000018</v>
      </c>
      <c r="S28" s="181" t="s">
        <v>69</v>
      </c>
      <c r="T28" s="155">
        <f>'05'!B180</f>
        <v>1050</v>
      </c>
      <c r="U28" s="155">
        <f>SUM('05'!D180:F180)</f>
        <v>0</v>
      </c>
      <c r="V28" s="159">
        <f t="shared" si="6"/>
        <v>1677.6800000000003</v>
      </c>
      <c r="W28" s="181" t="s">
        <v>68</v>
      </c>
      <c r="X28" s="155">
        <f>'06'!B180</f>
        <v>200</v>
      </c>
      <c r="Y28" s="155">
        <f>SUM('06'!D180:F180)</f>
        <v>0</v>
      </c>
      <c r="Z28" s="159">
        <f t="shared" si="7"/>
        <v>1877.6800000000003</v>
      </c>
      <c r="AA28" s="181" t="s">
        <v>70</v>
      </c>
      <c r="AB28" s="155">
        <f>'07'!B180</f>
        <v>200</v>
      </c>
      <c r="AC28" s="155">
        <f>SUM('07'!D180:F180)</f>
        <v>1363.28</v>
      </c>
      <c r="AD28" s="159">
        <f t="shared" si="8"/>
        <v>714.40000000000032</v>
      </c>
      <c r="AE28" s="181" t="s">
        <v>71</v>
      </c>
      <c r="AF28" s="155">
        <f>'08'!B180</f>
        <v>200</v>
      </c>
      <c r="AG28" s="155">
        <f>SUM('08'!D180:F180)</f>
        <v>0</v>
      </c>
      <c r="AH28" s="159">
        <f t="shared" si="9"/>
        <v>914.40000000000032</v>
      </c>
      <c r="AI28" s="181" t="s">
        <v>74</v>
      </c>
      <c r="AJ28" s="155">
        <f>'09'!B180</f>
        <v>200</v>
      </c>
      <c r="AK28" s="155">
        <f>SUM('09'!D180:F180)</f>
        <v>44</v>
      </c>
      <c r="AL28" s="159">
        <f t="shared" si="10"/>
        <v>1070.4000000000003</v>
      </c>
      <c r="AM28" s="181" t="s">
        <v>75</v>
      </c>
      <c r="AN28" s="155">
        <f>'10'!B180</f>
        <v>200</v>
      </c>
      <c r="AO28" s="155">
        <f>SUM('10'!D180:F180)</f>
        <v>0</v>
      </c>
      <c r="AP28" s="159">
        <f t="shared" si="11"/>
        <v>1270.4000000000003</v>
      </c>
      <c r="AQ28" s="181" t="s">
        <v>78</v>
      </c>
      <c r="AR28" s="155">
        <f>'11'!B180</f>
        <v>200</v>
      </c>
      <c r="AS28" s="155">
        <f>SUM('11'!D180:F180)</f>
        <v>0</v>
      </c>
      <c r="AT28" s="159">
        <f t="shared" si="12"/>
        <v>1470.4000000000003</v>
      </c>
      <c r="AU28" s="181" t="s">
        <v>82</v>
      </c>
      <c r="AV28" s="155">
        <f>'12'!B180</f>
        <v>200</v>
      </c>
      <c r="AW28" s="155">
        <f>SUM('12'!D180:F180)</f>
        <v>0</v>
      </c>
      <c r="AX28" s="159">
        <f t="shared" si="13"/>
        <v>1670.4000000000003</v>
      </c>
      <c r="AZ28" s="182">
        <f t="shared" ref="AZ28:AZ45" si="23">E28+I28+M28+Q28+U28+Y28+AC28+AG28+AK28+AO28+AS28+AW28</f>
        <v>3018.6899999999996</v>
      </c>
      <c r="BA28" s="21">
        <f t="shared" si="15"/>
        <v>6.9481233306909793E-2</v>
      </c>
      <c r="BB28" s="22">
        <f t="shared" si="20"/>
        <v>5</v>
      </c>
      <c r="BC28" s="22">
        <f t="shared" ca="1" si="16"/>
        <v>274.42636363636359</v>
      </c>
      <c r="BE28" s="223">
        <f t="shared" ca="1" si="17"/>
        <v>3880.04</v>
      </c>
      <c r="BF28" s="21">
        <f t="shared" ca="1" si="18"/>
        <v>7.7784593045653369E-2</v>
      </c>
      <c r="BG28" s="22">
        <f t="shared" ca="1" si="21"/>
        <v>5</v>
      </c>
      <c r="BH28" s="22">
        <f t="shared" ca="1" si="19"/>
        <v>352.73090909090911</v>
      </c>
      <c r="BJ28" s="223">
        <f t="shared" ca="1" si="22"/>
        <v>861.35000000000025</v>
      </c>
    </row>
    <row r="29" spans="1:62" ht="15.75">
      <c r="A29" s="146" t="s">
        <v>19</v>
      </c>
      <c r="B29" s="147">
        <v>-46.669999999999931</v>
      </c>
      <c r="C29" s="148" t="s">
        <v>0</v>
      </c>
      <c r="D29" s="149">
        <f>'01'!B200</f>
        <v>80</v>
      </c>
      <c r="E29" s="150">
        <f>SUM('01'!D200:F200)</f>
        <v>0</v>
      </c>
      <c r="F29" s="160">
        <f t="shared" si="2"/>
        <v>33.330000000000069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88.890000000000072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128.39000000000007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132.40000000000006</v>
      </c>
      <c r="S29" s="148" t="s">
        <v>69</v>
      </c>
      <c r="T29" s="149">
        <f>'05'!B200</f>
        <v>74</v>
      </c>
      <c r="U29" s="150">
        <f>SUM('05'!D200:F200)</f>
        <v>47.63</v>
      </c>
      <c r="V29" s="160">
        <f t="shared" si="6"/>
        <v>158.77000000000007</v>
      </c>
      <c r="W29" s="148" t="s">
        <v>68</v>
      </c>
      <c r="X29" s="149">
        <f>'06'!B200</f>
        <v>80</v>
      </c>
      <c r="Y29" s="150">
        <f>SUM('06'!D200:F200)</f>
        <v>137.78</v>
      </c>
      <c r="Z29" s="160">
        <f t="shared" si="7"/>
        <v>100.99000000000007</v>
      </c>
      <c r="AA29" s="148" t="s">
        <v>70</v>
      </c>
      <c r="AB29" s="149">
        <f>'07'!B200</f>
        <v>70</v>
      </c>
      <c r="AC29" s="150">
        <f>SUM('07'!D200:F200)</f>
        <v>101.03999999999999</v>
      </c>
      <c r="AD29" s="160">
        <f t="shared" si="8"/>
        <v>69.950000000000074</v>
      </c>
      <c r="AE29" s="148" t="s">
        <v>71</v>
      </c>
      <c r="AF29" s="149">
        <f>'08'!B200</f>
        <v>70</v>
      </c>
      <c r="AG29" s="150">
        <f>SUM('08'!D200:F200)</f>
        <v>50.2</v>
      </c>
      <c r="AH29" s="160">
        <f t="shared" si="9"/>
        <v>89.750000000000071</v>
      </c>
      <c r="AI29" s="148" t="s">
        <v>74</v>
      </c>
      <c r="AJ29" s="149">
        <f>'09'!B200</f>
        <v>326.66000000000003</v>
      </c>
      <c r="AK29" s="150">
        <f>SUM('09'!D200:F200)</f>
        <v>360.44000000000005</v>
      </c>
      <c r="AL29" s="160">
        <f t="shared" si="10"/>
        <v>55.970000000000027</v>
      </c>
      <c r="AM29" s="148" t="s">
        <v>75</v>
      </c>
      <c r="AN29" s="149">
        <f>'10'!B200</f>
        <v>70</v>
      </c>
      <c r="AO29" s="150">
        <f>SUM('10'!D200:F200)</f>
        <v>133.79000000000002</v>
      </c>
      <c r="AP29" s="160">
        <f t="shared" si="11"/>
        <v>-7.8199999999999932</v>
      </c>
      <c r="AQ29" s="148" t="s">
        <v>78</v>
      </c>
      <c r="AR29" s="149">
        <f>'11'!B200</f>
        <v>70</v>
      </c>
      <c r="AS29" s="150">
        <f>SUM('11'!D200:F200)</f>
        <v>64.16</v>
      </c>
      <c r="AT29" s="160">
        <f t="shared" si="12"/>
        <v>-1.9799999999999898</v>
      </c>
      <c r="AU29" s="148" t="s">
        <v>82</v>
      </c>
      <c r="AV29" s="149">
        <f>'12'!B200</f>
        <v>105</v>
      </c>
      <c r="AW29" s="150">
        <f>SUM('12'!D200:F200)</f>
        <v>0</v>
      </c>
      <c r="AX29" s="160">
        <f t="shared" si="13"/>
        <v>103.02000000000001</v>
      </c>
      <c r="AZ29" s="152">
        <f t="shared" si="23"/>
        <v>975.96999999999991</v>
      </c>
      <c r="BA29" s="21">
        <f t="shared" si="15"/>
        <v>2.2463916225430487E-2</v>
      </c>
      <c r="BB29" s="22">
        <f t="shared" si="20"/>
        <v>12</v>
      </c>
      <c r="BC29" s="22">
        <f t="shared" ca="1" si="16"/>
        <v>88.724545454545449</v>
      </c>
      <c r="BE29" s="224">
        <f t="shared" ca="1" si="17"/>
        <v>1020.6600000000001</v>
      </c>
      <c r="BF29" s="21">
        <f t="shared" ca="1" si="18"/>
        <v>2.0461547493834231E-2</v>
      </c>
      <c r="BG29" s="22">
        <f t="shared" ca="1" si="21"/>
        <v>13</v>
      </c>
      <c r="BH29" s="22">
        <f t="shared" ca="1" si="19"/>
        <v>92.787272727272736</v>
      </c>
      <c r="BJ29" s="224">
        <f t="shared" ca="1" si="22"/>
        <v>44.689999999999941</v>
      </c>
    </row>
    <row r="30" spans="1:62" ht="15.75">
      <c r="A30" s="153" t="s">
        <v>20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0</v>
      </c>
      <c r="F30" s="161">
        <f t="shared" si="2"/>
        <v>8.1699999999999733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43.169999999999973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76.039999999999978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76.70999999999998</v>
      </c>
      <c r="S30" s="143" t="s">
        <v>69</v>
      </c>
      <c r="T30" s="155">
        <f>'05'!B220</f>
        <v>50</v>
      </c>
      <c r="U30" s="155">
        <f>SUM('05'!D220:F220)</f>
        <v>27.56</v>
      </c>
      <c r="V30" s="161">
        <f t="shared" si="6"/>
        <v>99.149999999999977</v>
      </c>
      <c r="W30" s="143" t="s">
        <v>68</v>
      </c>
      <c r="X30" s="155">
        <f>'06'!B220</f>
        <v>35</v>
      </c>
      <c r="Y30" s="155">
        <f>SUM('06'!D220:F220)</f>
        <v>0</v>
      </c>
      <c r="Z30" s="161">
        <f t="shared" si="7"/>
        <v>134.14999999999998</v>
      </c>
      <c r="AA30" s="143" t="s">
        <v>70</v>
      </c>
      <c r="AB30" s="155">
        <f>'07'!B220</f>
        <v>35</v>
      </c>
      <c r="AC30" s="155">
        <f>SUM('07'!D220:F220)</f>
        <v>76.17</v>
      </c>
      <c r="AD30" s="161">
        <f t="shared" si="8"/>
        <v>92.979999999999976</v>
      </c>
      <c r="AE30" s="143" t="s">
        <v>71</v>
      </c>
      <c r="AF30" s="155">
        <f>'08'!B220</f>
        <v>35</v>
      </c>
      <c r="AG30" s="155">
        <f>SUM('08'!D220:F220)</f>
        <v>23</v>
      </c>
      <c r="AH30" s="161">
        <f t="shared" si="9"/>
        <v>104.97999999999998</v>
      </c>
      <c r="AI30" s="143" t="s">
        <v>74</v>
      </c>
      <c r="AJ30" s="155">
        <f>'09'!B220</f>
        <v>35</v>
      </c>
      <c r="AK30" s="155">
        <f>SUM('09'!D220:F220)</f>
        <v>12.5</v>
      </c>
      <c r="AL30" s="161">
        <f t="shared" si="10"/>
        <v>127.47999999999996</v>
      </c>
      <c r="AM30" s="143" t="s">
        <v>75</v>
      </c>
      <c r="AN30" s="155">
        <f>'10'!B220</f>
        <v>35</v>
      </c>
      <c r="AO30" s="155">
        <f>SUM('10'!D220:F220)</f>
        <v>23.5</v>
      </c>
      <c r="AP30" s="161">
        <f t="shared" si="11"/>
        <v>138.97999999999996</v>
      </c>
      <c r="AQ30" s="143" t="s">
        <v>78</v>
      </c>
      <c r="AR30" s="155">
        <f>'11'!B220</f>
        <v>35</v>
      </c>
      <c r="AS30" s="155">
        <f>SUM('11'!D220:F220)</f>
        <v>0</v>
      </c>
      <c r="AT30" s="161">
        <f t="shared" si="12"/>
        <v>173.97999999999996</v>
      </c>
      <c r="AU30" s="143" t="s">
        <v>82</v>
      </c>
      <c r="AV30" s="155">
        <f>'12'!B220</f>
        <v>35</v>
      </c>
      <c r="AW30" s="155">
        <f>SUM('12'!D220:F220)</f>
        <v>0</v>
      </c>
      <c r="AX30" s="161">
        <f t="shared" si="13"/>
        <v>208.97999999999996</v>
      </c>
      <c r="AZ30" s="157">
        <f t="shared" si="23"/>
        <v>224.19</v>
      </c>
      <c r="BA30" s="21">
        <f t="shared" si="15"/>
        <v>5.1601846148747006E-3</v>
      </c>
      <c r="BB30" s="22">
        <f t="shared" si="20"/>
        <v>19</v>
      </c>
      <c r="BC30" s="22">
        <f t="shared" ca="1" si="16"/>
        <v>20.380909090909089</v>
      </c>
      <c r="BE30" s="225">
        <f t="shared" ca="1" si="17"/>
        <v>425</v>
      </c>
      <c r="BF30" s="21">
        <f t="shared" ca="1" si="18"/>
        <v>8.5201317626629313E-3</v>
      </c>
      <c r="BG30" s="22">
        <f t="shared" ca="1" si="21"/>
        <v>20</v>
      </c>
      <c r="BH30" s="22">
        <f t="shared" ca="1" si="19"/>
        <v>38.636363636363633</v>
      </c>
      <c r="BJ30" s="225">
        <f t="shared" ca="1" si="22"/>
        <v>200.81</v>
      </c>
    </row>
    <row r="31" spans="1:62" ht="15.75">
      <c r="A31" s="146" t="s">
        <v>21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0</v>
      </c>
      <c r="F31" s="160">
        <f t="shared" si="2"/>
        <v>96.04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91.56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69.599999999999994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89.6</v>
      </c>
      <c r="S31" s="148" t="s">
        <v>69</v>
      </c>
      <c r="T31" s="149">
        <f>'05'!B240</f>
        <v>20</v>
      </c>
      <c r="U31" s="150">
        <f>SUM('05'!D240:F240)</f>
        <v>41.96</v>
      </c>
      <c r="V31" s="160">
        <f t="shared" si="6"/>
        <v>67.639999999999986</v>
      </c>
      <c r="W31" s="148" t="s">
        <v>68</v>
      </c>
      <c r="X31" s="149">
        <f>'06'!B240</f>
        <v>20</v>
      </c>
      <c r="Y31" s="150">
        <f>SUM('06'!D240:F240)</f>
        <v>20.98</v>
      </c>
      <c r="Z31" s="160">
        <f t="shared" si="7"/>
        <v>66.659999999999982</v>
      </c>
      <c r="AA31" s="148" t="s">
        <v>70</v>
      </c>
      <c r="AB31" s="149">
        <f>'07'!B240</f>
        <v>20</v>
      </c>
      <c r="AC31" s="150">
        <f>SUM('07'!D240:F240)</f>
        <v>20.98</v>
      </c>
      <c r="AD31" s="160">
        <f t="shared" si="8"/>
        <v>65.679999999999978</v>
      </c>
      <c r="AE31" s="148" t="s">
        <v>71</v>
      </c>
      <c r="AF31" s="149">
        <f>'08'!B240</f>
        <v>20</v>
      </c>
      <c r="AG31" s="150">
        <f>SUM('08'!D240:F240)</f>
        <v>20.98</v>
      </c>
      <c r="AH31" s="160">
        <f t="shared" si="9"/>
        <v>64.699999999999974</v>
      </c>
      <c r="AI31" s="148" t="s">
        <v>74</v>
      </c>
      <c r="AJ31" s="149">
        <f>'09'!B240</f>
        <v>20</v>
      </c>
      <c r="AK31" s="150">
        <f>SUM('09'!D240:F240)</f>
        <v>20.98</v>
      </c>
      <c r="AL31" s="160">
        <f t="shared" si="10"/>
        <v>63.71999999999997</v>
      </c>
      <c r="AM31" s="148" t="s">
        <v>75</v>
      </c>
      <c r="AN31" s="149">
        <f>'10'!B240</f>
        <v>20</v>
      </c>
      <c r="AO31" s="150">
        <f>SUM('10'!D240:F240)</f>
        <v>20.98</v>
      </c>
      <c r="AP31" s="160">
        <f t="shared" si="11"/>
        <v>62.739999999999966</v>
      </c>
      <c r="AQ31" s="148" t="s">
        <v>78</v>
      </c>
      <c r="AR31" s="149">
        <f>'11'!B240</f>
        <v>20</v>
      </c>
      <c r="AS31" s="150">
        <f>SUM('11'!D240:F240)</f>
        <v>0</v>
      </c>
      <c r="AT31" s="160">
        <f t="shared" si="12"/>
        <v>82.739999999999966</v>
      </c>
      <c r="AU31" s="148" t="s">
        <v>82</v>
      </c>
      <c r="AV31" s="149">
        <f>'12'!B240</f>
        <v>20</v>
      </c>
      <c r="AW31" s="150">
        <f>SUM('12'!D240:F240)</f>
        <v>0</v>
      </c>
      <c r="AX31" s="160">
        <f t="shared" si="13"/>
        <v>102.73999999999997</v>
      </c>
      <c r="AZ31" s="152">
        <f t="shared" si="23"/>
        <v>213.29999999999995</v>
      </c>
      <c r="BA31" s="21">
        <f t="shared" si="15"/>
        <v>4.9095293204548529E-3</v>
      </c>
      <c r="BB31" s="22">
        <f t="shared" si="20"/>
        <v>20</v>
      </c>
      <c r="BC31" s="22">
        <f t="shared" ca="1" si="16"/>
        <v>19.390909090909087</v>
      </c>
      <c r="BE31" s="224">
        <f t="shared" ca="1" si="17"/>
        <v>220</v>
      </c>
      <c r="BF31" s="21">
        <f t="shared" ca="1" si="18"/>
        <v>4.4104211477313995E-3</v>
      </c>
      <c r="BG31" s="22">
        <f t="shared" ca="1" si="21"/>
        <v>22</v>
      </c>
      <c r="BH31" s="22">
        <f t="shared" ca="1" si="19"/>
        <v>20</v>
      </c>
      <c r="BJ31" s="224">
        <f t="shared" ca="1" si="22"/>
        <v>6.6999999999999602</v>
      </c>
    </row>
    <row r="32" spans="1:62" ht="15.75">
      <c r="A32" s="153" t="s">
        <v>150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0</v>
      </c>
      <c r="F32" s="161">
        <f t="shared" si="2"/>
        <v>35.750000000000028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121.75000000000003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206.47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475.6</v>
      </c>
      <c r="S32" s="143" t="s">
        <v>69</v>
      </c>
      <c r="T32" s="155">
        <f>'05'!B260</f>
        <v>664</v>
      </c>
      <c r="U32" s="155">
        <f>SUM('05'!D260:F260)</f>
        <v>159.24</v>
      </c>
      <c r="V32" s="161">
        <f t="shared" si="6"/>
        <v>980.3599999999999</v>
      </c>
      <c r="W32" s="143" t="s">
        <v>68</v>
      </c>
      <c r="X32" s="155">
        <f>'06'!B260</f>
        <v>90</v>
      </c>
      <c r="Y32" s="155">
        <f>SUM('06'!D260:F260)</f>
        <v>195.32</v>
      </c>
      <c r="Z32" s="161">
        <f t="shared" si="7"/>
        <v>875.04</v>
      </c>
      <c r="AA32" s="143" t="s">
        <v>70</v>
      </c>
      <c r="AB32" s="155">
        <f>'07'!B260</f>
        <v>279</v>
      </c>
      <c r="AC32" s="155">
        <f>SUM('07'!D260:F260)</f>
        <v>503.40000000000003</v>
      </c>
      <c r="AD32" s="161">
        <f t="shared" si="8"/>
        <v>650.63999999999987</v>
      </c>
      <c r="AE32" s="143" t="s">
        <v>71</v>
      </c>
      <c r="AF32" s="155">
        <f>'08'!B260</f>
        <v>112.12</v>
      </c>
      <c r="AG32" s="155">
        <f>SUM('08'!D260:F260)</f>
        <v>69.89</v>
      </c>
      <c r="AH32" s="161">
        <f t="shared" si="9"/>
        <v>692.86999999999989</v>
      </c>
      <c r="AI32" s="143" t="s">
        <v>74</v>
      </c>
      <c r="AJ32" s="155">
        <f>'09'!B260</f>
        <v>438.08</v>
      </c>
      <c r="AK32" s="155">
        <f>SUM('09'!D260:F260)</f>
        <v>594.42000000000007</v>
      </c>
      <c r="AL32" s="161">
        <f t="shared" si="10"/>
        <v>536.52999999999975</v>
      </c>
      <c r="AM32" s="143" t="s">
        <v>75</v>
      </c>
      <c r="AN32" s="155">
        <f>'10'!B260</f>
        <v>95</v>
      </c>
      <c r="AO32" s="155">
        <f>SUM('10'!D260:F260)</f>
        <v>172.2</v>
      </c>
      <c r="AP32" s="161">
        <f t="shared" si="11"/>
        <v>459.32999999999976</v>
      </c>
      <c r="AQ32" s="143" t="s">
        <v>78</v>
      </c>
      <c r="AR32" s="155">
        <f>'11'!B260</f>
        <v>95</v>
      </c>
      <c r="AS32" s="155">
        <f>SUM('11'!D260:F260)</f>
        <v>0</v>
      </c>
      <c r="AT32" s="161">
        <f t="shared" si="12"/>
        <v>554.3299999999997</v>
      </c>
      <c r="AU32" s="143" t="s">
        <v>82</v>
      </c>
      <c r="AV32" s="155">
        <f>'12'!B260</f>
        <v>250</v>
      </c>
      <c r="AW32" s="155">
        <f>SUM('12'!D260:F260)</f>
        <v>0</v>
      </c>
      <c r="AX32" s="161">
        <f t="shared" si="13"/>
        <v>804.3299999999997</v>
      </c>
      <c r="AZ32" s="157">
        <f t="shared" si="23"/>
        <v>1763.7500000000002</v>
      </c>
      <c r="BA32" s="21">
        <f t="shared" si="15"/>
        <v>4.0596260379522971E-2</v>
      </c>
      <c r="BB32" s="22">
        <f t="shared" si="20"/>
        <v>9</v>
      </c>
      <c r="BC32" s="22">
        <f t="shared" ca="1" si="16"/>
        <v>160.34090909090912</v>
      </c>
      <c r="BE32" s="225">
        <f t="shared" ca="1" si="17"/>
        <v>2332.33</v>
      </c>
      <c r="BF32" s="21">
        <f t="shared" ca="1" si="18"/>
        <v>4.6757079797674433E-2</v>
      </c>
      <c r="BG32" s="22">
        <f t="shared" ca="1" si="21"/>
        <v>7</v>
      </c>
      <c r="BH32" s="22">
        <f t="shared" ca="1" si="19"/>
        <v>212.03</v>
      </c>
      <c r="BJ32" s="225">
        <f t="shared" ca="1" si="22"/>
        <v>568.5799999999997</v>
      </c>
    </row>
    <row r="33" spans="1:62" ht="15.75">
      <c r="A33" s="146" t="s">
        <v>83</v>
      </c>
      <c r="B33" s="147">
        <v>420</v>
      </c>
      <c r="C33" s="148" t="s">
        <v>0</v>
      </c>
      <c r="D33" s="149">
        <f>'01'!B280</f>
        <v>40</v>
      </c>
      <c r="E33" s="150">
        <f>SUM('01'!D280:F280)</f>
        <v>0</v>
      </c>
      <c r="F33" s="160">
        <f t="shared" si="2"/>
        <v>460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426.59000000000003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1120.9299999999998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1160.4799999999998</v>
      </c>
      <c r="S33" s="148" t="s">
        <v>69</v>
      </c>
      <c r="T33" s="149">
        <f>'05'!B280</f>
        <v>50</v>
      </c>
      <c r="U33" s="150">
        <f>SUM('05'!D280:F280)</f>
        <v>92.89</v>
      </c>
      <c r="V33" s="160">
        <f t="shared" si="6"/>
        <v>1117.5899999999997</v>
      </c>
      <c r="W33" s="148" t="s">
        <v>68</v>
      </c>
      <c r="X33" s="149">
        <f>'06'!B280</f>
        <v>50</v>
      </c>
      <c r="Y33" s="150">
        <f>SUM('06'!D280:F280)</f>
        <v>191.5</v>
      </c>
      <c r="Z33" s="160">
        <f t="shared" si="7"/>
        <v>976.08999999999969</v>
      </c>
      <c r="AA33" s="148" t="s">
        <v>70</v>
      </c>
      <c r="AB33" s="149">
        <f>'07'!B280</f>
        <v>50</v>
      </c>
      <c r="AC33" s="150">
        <f>SUM('07'!D280:F280)</f>
        <v>0</v>
      </c>
      <c r="AD33" s="160">
        <f t="shared" si="8"/>
        <v>1026.0899999999997</v>
      </c>
      <c r="AE33" s="148" t="s">
        <v>71</v>
      </c>
      <c r="AF33" s="149">
        <f>'08'!B280</f>
        <v>80</v>
      </c>
      <c r="AG33" s="150">
        <f>SUM('08'!D280:F280)</f>
        <v>11</v>
      </c>
      <c r="AH33" s="160">
        <f t="shared" si="9"/>
        <v>1095.0899999999997</v>
      </c>
      <c r="AI33" s="148" t="s">
        <v>74</v>
      </c>
      <c r="AJ33" s="149">
        <f>'09'!B280</f>
        <v>60</v>
      </c>
      <c r="AK33" s="150">
        <f>SUM('09'!D280:F280)</f>
        <v>55</v>
      </c>
      <c r="AL33" s="160">
        <f t="shared" si="10"/>
        <v>1100.0899999999997</v>
      </c>
      <c r="AM33" s="148" t="s">
        <v>75</v>
      </c>
      <c r="AN33" s="149">
        <f>'10'!B280</f>
        <v>60</v>
      </c>
      <c r="AO33" s="150">
        <f>SUM('10'!D280:F280)</f>
        <v>22</v>
      </c>
      <c r="AP33" s="160">
        <f t="shared" si="11"/>
        <v>1138.0899999999997</v>
      </c>
      <c r="AQ33" s="148" t="s">
        <v>78</v>
      </c>
      <c r="AR33" s="149">
        <f>'11'!B280</f>
        <v>60</v>
      </c>
      <c r="AS33" s="150">
        <f>SUM('11'!D280:F280)</f>
        <v>0</v>
      </c>
      <c r="AT33" s="160">
        <f t="shared" si="12"/>
        <v>1198.0899999999997</v>
      </c>
      <c r="AU33" s="148" t="s">
        <v>82</v>
      </c>
      <c r="AV33" s="149">
        <f>'12'!B280</f>
        <v>40</v>
      </c>
      <c r="AW33" s="150">
        <f>SUM('12'!D280:F280)</f>
        <v>0</v>
      </c>
      <c r="AX33" s="160">
        <f t="shared" si="13"/>
        <v>1238.0899999999997</v>
      </c>
      <c r="AZ33" s="152">
        <f t="shared" si="23"/>
        <v>3843.8499999999995</v>
      </c>
      <c r="BA33" s="21">
        <f t="shared" si="15"/>
        <v>8.8473953485374526E-2</v>
      </c>
      <c r="BB33" s="22">
        <f t="shared" si="20"/>
        <v>3</v>
      </c>
      <c r="BC33" s="22">
        <f t="shared" ca="1" si="16"/>
        <v>349.44090909090903</v>
      </c>
      <c r="BE33" s="224">
        <f t="shared" ca="1" si="17"/>
        <v>4621.9400000000005</v>
      </c>
      <c r="BF33" s="21">
        <f t="shared" ca="1" si="18"/>
        <v>9.2657735997934851E-2</v>
      </c>
      <c r="BG33" s="22">
        <f t="shared" ca="1" si="21"/>
        <v>4</v>
      </c>
      <c r="BH33" s="22">
        <f t="shared" ca="1" si="19"/>
        <v>420.1763636363637</v>
      </c>
      <c r="BJ33" s="224">
        <f t="shared" ca="1" si="22"/>
        <v>778.08999999999969</v>
      </c>
    </row>
    <row r="34" spans="1:62" ht="15.75">
      <c r="A34" s="153" t="s">
        <v>22</v>
      </c>
      <c r="B34" s="154">
        <v>101.59999999999991</v>
      </c>
      <c r="C34" s="143" t="s">
        <v>0</v>
      </c>
      <c r="D34" s="155">
        <f>'01'!B300</f>
        <v>95</v>
      </c>
      <c r="E34" s="155">
        <f>SUM('01'!D300:F300)</f>
        <v>0</v>
      </c>
      <c r="F34" s="161">
        <f t="shared" si="2"/>
        <v>196.59999999999991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286.59999999999991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376.59999999999991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422.59999999999991</v>
      </c>
      <c r="S34" s="143" t="s">
        <v>69</v>
      </c>
      <c r="T34" s="155">
        <f>'05'!B300</f>
        <v>125</v>
      </c>
      <c r="U34" s="155">
        <f>SUM('05'!D300:F300)</f>
        <v>360.64000000000004</v>
      </c>
      <c r="V34" s="161">
        <f t="shared" si="6"/>
        <v>186.95999999999987</v>
      </c>
      <c r="W34" s="143" t="s">
        <v>68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286.95999999999987</v>
      </c>
      <c r="AA34" s="143" t="s">
        <v>70</v>
      </c>
      <c r="AB34" s="155">
        <f>'07'!B300</f>
        <v>90</v>
      </c>
      <c r="AC34" s="155">
        <f>SUM('07'!D300:F300)</f>
        <v>183.26</v>
      </c>
      <c r="AD34" s="161">
        <f t="shared" si="8"/>
        <v>193.69999999999987</v>
      </c>
      <c r="AE34" s="143" t="s">
        <v>71</v>
      </c>
      <c r="AF34" s="155">
        <f>'08'!B300</f>
        <v>90</v>
      </c>
      <c r="AG34" s="155">
        <f>SUM('08'!D300:F300)</f>
        <v>14.29</v>
      </c>
      <c r="AH34" s="161">
        <f t="shared" si="9"/>
        <v>269.40999999999985</v>
      </c>
      <c r="AI34" s="143" t="s">
        <v>74</v>
      </c>
      <c r="AJ34" s="155">
        <f>'09'!B300</f>
        <v>90</v>
      </c>
      <c r="AK34" s="155">
        <f>SUM('09'!D300:F300)</f>
        <v>71</v>
      </c>
      <c r="AL34" s="161">
        <f t="shared" si="10"/>
        <v>288.40999999999985</v>
      </c>
      <c r="AM34" s="143" t="s">
        <v>75</v>
      </c>
      <c r="AN34" s="155">
        <f>'10'!B300</f>
        <v>90</v>
      </c>
      <c r="AO34" s="155">
        <f>SUM('10'!D300:F300)</f>
        <v>45.9</v>
      </c>
      <c r="AP34" s="161">
        <f t="shared" si="11"/>
        <v>332.50999999999988</v>
      </c>
      <c r="AQ34" s="143" t="s">
        <v>78</v>
      </c>
      <c r="AR34" s="155">
        <f>'11'!B300</f>
        <v>90</v>
      </c>
      <c r="AS34" s="155">
        <f>SUM('11'!D300:F300)</f>
        <v>0</v>
      </c>
      <c r="AT34" s="161">
        <f t="shared" si="12"/>
        <v>422.50999999999988</v>
      </c>
      <c r="AU34" s="143" t="s">
        <v>82</v>
      </c>
      <c r="AV34" s="155">
        <f>'12'!B300</f>
        <v>95</v>
      </c>
      <c r="AW34" s="155">
        <f>SUM('12'!D300:F300)</f>
        <v>0</v>
      </c>
      <c r="AX34" s="161">
        <f t="shared" si="13"/>
        <v>517.50999999999988</v>
      </c>
      <c r="AZ34" s="152">
        <f t="shared" si="23"/>
        <v>961.5</v>
      </c>
      <c r="BA34" s="21">
        <f t="shared" si="15"/>
        <v>2.213086001695894E-2</v>
      </c>
      <c r="BB34" s="22">
        <f t="shared" si="20"/>
        <v>13</v>
      </c>
      <c r="BC34" s="22">
        <f t="shared" ca="1" si="16"/>
        <v>87.409090909090907</v>
      </c>
      <c r="BE34" s="225">
        <f t="shared" ca="1" si="17"/>
        <v>1282.4099999999999</v>
      </c>
      <c r="BF34" s="21">
        <f t="shared" ca="1" si="18"/>
        <v>2.5708946291191925E-2</v>
      </c>
      <c r="BG34" s="22">
        <f t="shared" ca="1" si="21"/>
        <v>12</v>
      </c>
      <c r="BH34" s="22">
        <f t="shared" ca="1" si="19"/>
        <v>116.58272727272725</v>
      </c>
      <c r="BJ34" s="225">
        <f t="shared" ca="1" si="22"/>
        <v>320.90999999999997</v>
      </c>
    </row>
    <row r="35" spans="1:62" ht="16.5" thickBot="1">
      <c r="A35" s="183" t="s">
        <v>84</v>
      </c>
      <c r="B35" s="184">
        <v>1489.6000000000004</v>
      </c>
      <c r="C35" s="185" t="s">
        <v>0</v>
      </c>
      <c r="D35" s="186">
        <f>'01'!B320</f>
        <v>130</v>
      </c>
      <c r="E35" s="186">
        <f>SUM('01'!D320:F320)</f>
        <v>0</v>
      </c>
      <c r="F35" s="187">
        <f t="shared" si="2"/>
        <v>1619.6000000000004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1755.9900000000005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1744.0100000000004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1716.5900000000004</v>
      </c>
      <c r="S35" s="185" t="s">
        <v>69</v>
      </c>
      <c r="T35" s="186">
        <f>'05'!B320</f>
        <v>317.45</v>
      </c>
      <c r="U35" s="186">
        <f>SUM('05'!D320:F320)</f>
        <v>190.96</v>
      </c>
      <c r="V35" s="187">
        <f t="shared" si="6"/>
        <v>1843.0800000000004</v>
      </c>
      <c r="W35" s="185" t="s">
        <v>68</v>
      </c>
      <c r="X35" s="186">
        <f>'06'!B320</f>
        <v>130</v>
      </c>
      <c r="Y35" s="186">
        <f>SUM('06'!D320:F320)</f>
        <v>152.6</v>
      </c>
      <c r="Z35" s="187">
        <f t="shared" si="7"/>
        <v>1820.4800000000005</v>
      </c>
      <c r="AA35" s="185" t="s">
        <v>70</v>
      </c>
      <c r="AB35" s="186">
        <f>'07'!B320</f>
        <v>196.03</v>
      </c>
      <c r="AC35" s="186">
        <f>SUM('07'!D320:F320)</f>
        <v>152.5</v>
      </c>
      <c r="AD35" s="187">
        <f t="shared" si="8"/>
        <v>1864.0100000000004</v>
      </c>
      <c r="AE35" s="185" t="s">
        <v>71</v>
      </c>
      <c r="AF35" s="186">
        <f>'08'!B320</f>
        <v>157.42000000000002</v>
      </c>
      <c r="AG35" s="186">
        <f>SUM('08'!D320:F320)</f>
        <v>114.64</v>
      </c>
      <c r="AH35" s="187">
        <f t="shared" si="9"/>
        <v>1906.7900000000004</v>
      </c>
      <c r="AI35" s="185" t="s">
        <v>74</v>
      </c>
      <c r="AJ35" s="186">
        <f>'09'!B320</f>
        <v>130</v>
      </c>
      <c r="AK35" s="186">
        <f>SUM('09'!D320:F320)</f>
        <v>196.51</v>
      </c>
      <c r="AL35" s="187">
        <f t="shared" si="10"/>
        <v>1840.2800000000004</v>
      </c>
      <c r="AM35" s="185" t="s">
        <v>75</v>
      </c>
      <c r="AN35" s="186">
        <f>'10'!B320</f>
        <v>187.07999999999998</v>
      </c>
      <c r="AO35" s="186">
        <f>SUM('10'!D320:F320)</f>
        <v>504.77000000000004</v>
      </c>
      <c r="AP35" s="187">
        <f t="shared" si="11"/>
        <v>1522.5900000000004</v>
      </c>
      <c r="AQ35" s="185" t="s">
        <v>78</v>
      </c>
      <c r="AR35" s="186">
        <f>'11'!B320</f>
        <v>523.02</v>
      </c>
      <c r="AS35" s="186">
        <f>SUM('11'!D320:F320)</f>
        <v>469.05</v>
      </c>
      <c r="AT35" s="187">
        <f t="shared" si="12"/>
        <v>1576.5600000000004</v>
      </c>
      <c r="AU35" s="185" t="s">
        <v>82</v>
      </c>
      <c r="AV35" s="186">
        <f>'12'!B320</f>
        <v>130</v>
      </c>
      <c r="AW35" s="186">
        <f>SUM('12'!D320:F320)</f>
        <v>0</v>
      </c>
      <c r="AX35" s="187">
        <f t="shared" si="13"/>
        <v>1706.5600000000004</v>
      </c>
      <c r="AZ35" s="188">
        <f t="shared" si="23"/>
        <v>2177.5700000000002</v>
      </c>
      <c r="BA35" s="21">
        <f t="shared" si="15"/>
        <v>5.0121161567477153E-2</v>
      </c>
      <c r="BB35" s="22">
        <f t="shared" si="20"/>
        <v>7</v>
      </c>
      <c r="BC35" s="22">
        <f t="shared" ca="1" si="16"/>
        <v>197.9609090909091</v>
      </c>
      <c r="BE35" s="224">
        <f t="shared" ca="1" si="17"/>
        <v>2264.5299999999997</v>
      </c>
      <c r="BF35" s="21">
        <f t="shared" ca="1" si="18"/>
        <v>4.5397868189419023E-2</v>
      </c>
      <c r="BG35" s="22">
        <f t="shared" ca="1" si="21"/>
        <v>8</v>
      </c>
      <c r="BH35" s="22">
        <f t="shared" ca="1" si="19"/>
        <v>205.86636363636362</v>
      </c>
      <c r="BJ35" s="224">
        <f t="shared" ca="1" si="22"/>
        <v>86.960000000000036</v>
      </c>
    </row>
    <row r="36" spans="1:62" ht="15.75">
      <c r="A36" s="163" t="s">
        <v>507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0</v>
      </c>
      <c r="F36" s="156">
        <f t="shared" si="2"/>
        <v>190.99000000000007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275.99000000000007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466.90000000000009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556.92000000000007</v>
      </c>
      <c r="S36" s="143" t="s">
        <v>69</v>
      </c>
      <c r="T36" s="164">
        <f>'05'!B340</f>
        <v>90</v>
      </c>
      <c r="U36" s="164">
        <f>SUM('05'!D340:F340)</f>
        <v>174</v>
      </c>
      <c r="V36" s="156">
        <f t="shared" si="6"/>
        <v>472.92000000000007</v>
      </c>
      <c r="W36" s="143" t="s">
        <v>68</v>
      </c>
      <c r="X36" s="164">
        <f>'06'!B340</f>
        <v>90</v>
      </c>
      <c r="Y36" s="164">
        <f>SUM('06'!D340:F340)</f>
        <v>82</v>
      </c>
      <c r="Z36" s="156">
        <f t="shared" si="7"/>
        <v>480.92000000000007</v>
      </c>
      <c r="AA36" s="143" t="s">
        <v>70</v>
      </c>
      <c r="AB36" s="164">
        <f>'07'!B340</f>
        <v>190</v>
      </c>
      <c r="AC36" s="164">
        <f>SUM('07'!D340:F340)</f>
        <v>15</v>
      </c>
      <c r="AD36" s="156">
        <f t="shared" si="8"/>
        <v>655.92000000000007</v>
      </c>
      <c r="AE36" s="143" t="s">
        <v>71</v>
      </c>
      <c r="AF36" s="164">
        <f>'08'!B340</f>
        <v>282.98</v>
      </c>
      <c r="AG36" s="164">
        <f>SUM('08'!D340:F340)</f>
        <v>620.53</v>
      </c>
      <c r="AH36" s="156">
        <f t="shared" si="9"/>
        <v>318.37000000000012</v>
      </c>
      <c r="AI36" s="143" t="s">
        <v>74</v>
      </c>
      <c r="AJ36" s="164">
        <f>'09'!B340</f>
        <v>345.97</v>
      </c>
      <c r="AK36" s="164">
        <f>SUM('09'!D340:F340)</f>
        <v>87.85</v>
      </c>
      <c r="AL36" s="156">
        <f t="shared" si="10"/>
        <v>576.49000000000012</v>
      </c>
      <c r="AM36" s="143" t="s">
        <v>75</v>
      </c>
      <c r="AN36" s="164">
        <f>'10'!B340</f>
        <v>90</v>
      </c>
      <c r="AO36" s="164">
        <f>SUM('10'!D340:F340)</f>
        <v>5</v>
      </c>
      <c r="AP36" s="156">
        <f t="shared" si="11"/>
        <v>661.49000000000012</v>
      </c>
      <c r="AQ36" s="143" t="s">
        <v>78</v>
      </c>
      <c r="AR36" s="164">
        <f>'11'!B340</f>
        <v>520</v>
      </c>
      <c r="AS36" s="164">
        <f>SUM('11'!D340:F340)</f>
        <v>15</v>
      </c>
      <c r="AT36" s="156">
        <f t="shared" si="12"/>
        <v>1166.4900000000002</v>
      </c>
      <c r="AU36" s="143" t="s">
        <v>82</v>
      </c>
      <c r="AV36" s="164">
        <f>'12'!B340</f>
        <v>90</v>
      </c>
      <c r="AW36" s="164">
        <f>SUM('12'!D340:F340)</f>
        <v>0</v>
      </c>
      <c r="AX36" s="156">
        <f t="shared" si="13"/>
        <v>1256.4900000000002</v>
      </c>
      <c r="AZ36" s="182">
        <f t="shared" si="23"/>
        <v>1013.47</v>
      </c>
      <c r="BA36" s="21">
        <f t="shared" si="15"/>
        <v>2.3327054291614538E-2</v>
      </c>
      <c r="BB36" s="22">
        <f t="shared" si="20"/>
        <v>11</v>
      </c>
      <c r="BC36" s="22">
        <f t="shared" ca="1" si="16"/>
        <v>92.13363636363637</v>
      </c>
      <c r="BE36" s="223">
        <f t="shared" ca="1" si="17"/>
        <v>2078.9700000000003</v>
      </c>
      <c r="BF36" s="21">
        <f t="shared" ca="1" si="18"/>
        <v>4.167787842499613E-2</v>
      </c>
      <c r="BG36" s="22">
        <f t="shared" ca="1" si="21"/>
        <v>10</v>
      </c>
      <c r="BH36" s="22">
        <f t="shared" ca="1" si="19"/>
        <v>188.99727272727276</v>
      </c>
      <c r="BJ36" s="223">
        <f t="shared" ca="1" si="22"/>
        <v>1065.5000000000002</v>
      </c>
    </row>
    <row r="37" spans="1:62" ht="15.75">
      <c r="A37" s="146" t="s">
        <v>884</v>
      </c>
      <c r="B37" s="147">
        <v>273.38</v>
      </c>
      <c r="C37" s="148" t="s">
        <v>0</v>
      </c>
      <c r="D37" s="165">
        <f>'01'!B360</f>
        <v>0</v>
      </c>
      <c r="E37" s="165">
        <f>SUM('01'!D360:F360)</f>
        <v>0</v>
      </c>
      <c r="F37" s="151">
        <f t="shared" si="2"/>
        <v>273.38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2.7300000000000182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5.7300000000000182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50.730000000000018</v>
      </c>
      <c r="S37" s="148" t="s">
        <v>69</v>
      </c>
      <c r="T37" s="165">
        <f>'05'!B360</f>
        <v>45</v>
      </c>
      <c r="U37" s="165">
        <f>SUM('05'!D360:F360)</f>
        <v>0</v>
      </c>
      <c r="V37" s="151">
        <f t="shared" si="6"/>
        <v>95.730000000000018</v>
      </c>
      <c r="W37" s="148" t="s">
        <v>68</v>
      </c>
      <c r="X37" s="165">
        <f>'06'!B360</f>
        <v>85</v>
      </c>
      <c r="Y37" s="165">
        <f>SUM('06'!D360:F360)</f>
        <v>0</v>
      </c>
      <c r="Z37" s="151">
        <f t="shared" si="7"/>
        <v>180.73000000000002</v>
      </c>
      <c r="AA37" s="148" t="s">
        <v>70</v>
      </c>
      <c r="AB37" s="165">
        <f>'07'!B360</f>
        <v>69.3</v>
      </c>
      <c r="AC37" s="165">
        <f>SUM('07'!D360:F360)</f>
        <v>64.3</v>
      </c>
      <c r="AD37" s="151">
        <f t="shared" si="8"/>
        <v>185.73000000000002</v>
      </c>
      <c r="AE37" s="148" t="s">
        <v>71</v>
      </c>
      <c r="AF37" s="165">
        <f>'08'!B360</f>
        <v>45</v>
      </c>
      <c r="AG37" s="165">
        <f>SUM('08'!D360:F360)</f>
        <v>0</v>
      </c>
      <c r="AH37" s="151">
        <f t="shared" si="9"/>
        <v>230.73000000000002</v>
      </c>
      <c r="AI37" s="148" t="s">
        <v>74</v>
      </c>
      <c r="AJ37" s="165">
        <f>'09'!B360</f>
        <v>45</v>
      </c>
      <c r="AK37" s="165">
        <f>SUM('09'!D360:F360)</f>
        <v>0</v>
      </c>
      <c r="AL37" s="151">
        <f t="shared" si="10"/>
        <v>275.73</v>
      </c>
      <c r="AM37" s="148" t="s">
        <v>75</v>
      </c>
      <c r="AN37" s="165">
        <f>'10'!B360</f>
        <v>45</v>
      </c>
      <c r="AO37" s="165">
        <f>SUM('10'!D360:F360)</f>
        <v>0</v>
      </c>
      <c r="AP37" s="151">
        <f t="shared" si="11"/>
        <v>320.73</v>
      </c>
      <c r="AQ37" s="148" t="s">
        <v>78</v>
      </c>
      <c r="AR37" s="165">
        <f>'11'!B360</f>
        <v>45</v>
      </c>
      <c r="AS37" s="165">
        <f>SUM('11'!D360:F360)</f>
        <v>65</v>
      </c>
      <c r="AT37" s="151">
        <f t="shared" si="12"/>
        <v>300.73</v>
      </c>
      <c r="AU37" s="148" t="s">
        <v>82</v>
      </c>
      <c r="AV37" s="165">
        <f>'12'!B360</f>
        <v>45</v>
      </c>
      <c r="AW37" s="165">
        <f>SUM('12'!D360:F360)</f>
        <v>0</v>
      </c>
      <c r="AX37" s="151">
        <f t="shared" si="13"/>
        <v>345.73</v>
      </c>
      <c r="AZ37" s="152">
        <f t="shared" si="23"/>
        <v>496.95</v>
      </c>
      <c r="BA37" s="21">
        <f t="shared" si="15"/>
        <v>1.1438305653070977E-2</v>
      </c>
      <c r="BB37" s="22">
        <f t="shared" si="20"/>
        <v>17</v>
      </c>
      <c r="BC37" s="22">
        <f t="shared" ca="1" si="16"/>
        <v>45.177272727272729</v>
      </c>
      <c r="BE37" s="224">
        <f t="shared" ca="1" si="17"/>
        <v>524.29999999999995</v>
      </c>
      <c r="BF37" s="21">
        <f t="shared" ca="1" si="18"/>
        <v>1.0510835489798058E-2</v>
      </c>
      <c r="BG37" s="22">
        <f t="shared" ca="1" si="21"/>
        <v>18</v>
      </c>
      <c r="BH37" s="22">
        <f t="shared" ca="1" si="19"/>
        <v>47.663636363636357</v>
      </c>
      <c r="BJ37" s="224">
        <f t="shared" ca="1" si="22"/>
        <v>27.350000000000023</v>
      </c>
    </row>
    <row r="38" spans="1:62" ht="15.75">
      <c r="A38" s="153" t="s">
        <v>23</v>
      </c>
      <c r="B38" s="154">
        <v>39.200000000000031</v>
      </c>
      <c r="C38" s="143" t="s">
        <v>0</v>
      </c>
      <c r="D38" s="166">
        <f>'01'!B380</f>
        <v>60</v>
      </c>
      <c r="E38" s="166">
        <f>SUM('01'!D380:F380)</f>
        <v>0</v>
      </c>
      <c r="F38" s="156">
        <f t="shared" si="2"/>
        <v>99.200000000000031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62.82000000000005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88.220000000000056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133.92000000000004</v>
      </c>
      <c r="S38" s="143" t="s">
        <v>69</v>
      </c>
      <c r="T38" s="166">
        <f>'05'!B380</f>
        <v>70</v>
      </c>
      <c r="U38" s="166">
        <f>SUM('05'!D380:F380)</f>
        <v>82.289999999999992</v>
      </c>
      <c r="V38" s="156">
        <f t="shared" si="6"/>
        <v>121.63000000000005</v>
      </c>
      <c r="W38" s="143" t="s">
        <v>68</v>
      </c>
      <c r="X38" s="166">
        <f>'06'!B380</f>
        <v>70</v>
      </c>
      <c r="Y38" s="166">
        <f>SUM('06'!D380:F380)</f>
        <v>69.099999999999994</v>
      </c>
      <c r="Z38" s="156">
        <f t="shared" si="7"/>
        <v>122.53000000000006</v>
      </c>
      <c r="AA38" s="143" t="s">
        <v>70</v>
      </c>
      <c r="AB38" s="166">
        <f>'07'!B380</f>
        <v>70</v>
      </c>
      <c r="AC38" s="166">
        <f>SUM('07'!D380:F380)</f>
        <v>43.6</v>
      </c>
      <c r="AD38" s="156">
        <f t="shared" si="8"/>
        <v>148.93000000000006</v>
      </c>
      <c r="AE38" s="143" t="s">
        <v>71</v>
      </c>
      <c r="AF38" s="166">
        <f>'08'!B380</f>
        <v>70</v>
      </c>
      <c r="AG38" s="166">
        <f>SUM('08'!D380:F380)</f>
        <v>41.3</v>
      </c>
      <c r="AH38" s="156">
        <f t="shared" si="9"/>
        <v>177.63000000000005</v>
      </c>
      <c r="AI38" s="143" t="s">
        <v>74</v>
      </c>
      <c r="AJ38" s="166">
        <f>'09'!B380</f>
        <v>65</v>
      </c>
      <c r="AK38" s="166">
        <f>SUM('09'!D380:F380)</f>
        <v>43</v>
      </c>
      <c r="AL38" s="156">
        <f t="shared" si="10"/>
        <v>199.63000000000005</v>
      </c>
      <c r="AM38" s="143" t="s">
        <v>75</v>
      </c>
      <c r="AN38" s="166">
        <f>'10'!B380</f>
        <v>65</v>
      </c>
      <c r="AO38" s="166">
        <f>SUM('10'!D380:F380)</f>
        <v>17.5</v>
      </c>
      <c r="AP38" s="156">
        <f t="shared" si="11"/>
        <v>247.13000000000005</v>
      </c>
      <c r="AQ38" s="143" t="s">
        <v>78</v>
      </c>
      <c r="AR38" s="166">
        <f>'11'!B380</f>
        <v>65</v>
      </c>
      <c r="AS38" s="166">
        <f>SUM('11'!D380:F380)</f>
        <v>83.03</v>
      </c>
      <c r="AT38" s="156">
        <f t="shared" si="12"/>
        <v>229.10000000000005</v>
      </c>
      <c r="AU38" s="143" t="s">
        <v>82</v>
      </c>
      <c r="AV38" s="166">
        <f>'12'!B380</f>
        <v>60</v>
      </c>
      <c r="AW38" s="166">
        <f>SUM('12'!D380:F380)</f>
        <v>0</v>
      </c>
      <c r="AX38" s="156">
        <f t="shared" si="13"/>
        <v>289.10000000000002</v>
      </c>
      <c r="AZ38" s="157">
        <f t="shared" si="23"/>
        <v>585.1</v>
      </c>
      <c r="BA38" s="21">
        <f t="shared" si="15"/>
        <v>1.3467255533980942E-2</v>
      </c>
      <c r="BB38" s="22">
        <f t="shared" si="20"/>
        <v>14</v>
      </c>
      <c r="BC38" s="22">
        <f t="shared" ca="1" si="16"/>
        <v>53.190909090909095</v>
      </c>
      <c r="BE38" s="225">
        <f t="shared" ca="1" si="17"/>
        <v>775</v>
      </c>
      <c r="BF38" s="21">
        <f t="shared" ca="1" si="18"/>
        <v>1.5536710861326521E-2</v>
      </c>
      <c r="BG38" s="22">
        <f t="shared" ca="1" si="21"/>
        <v>16</v>
      </c>
      <c r="BH38" s="22">
        <f t="shared" ca="1" si="19"/>
        <v>70.454545454545453</v>
      </c>
      <c r="BJ38" s="225">
        <f t="shared" ca="1" si="22"/>
        <v>189.90000000000003</v>
      </c>
    </row>
    <row r="39" spans="1:62" ht="15.75">
      <c r="A39" s="146" t="s">
        <v>24</v>
      </c>
      <c r="B39" s="147">
        <v>1180</v>
      </c>
      <c r="C39" s="148" t="s">
        <v>0</v>
      </c>
      <c r="D39" s="165">
        <f>'01'!B400</f>
        <v>10</v>
      </c>
      <c r="E39" s="165">
        <f>SUM('01'!D400:F400)</f>
        <v>0</v>
      </c>
      <c r="F39" s="151">
        <f t="shared" si="2"/>
        <v>1190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1210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-10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1341.26</v>
      </c>
      <c r="S39" s="148" t="s">
        <v>69</v>
      </c>
      <c r="T39" s="165">
        <f>'05'!B400</f>
        <v>-1335</v>
      </c>
      <c r="U39" s="165">
        <f>SUM('05'!D400:F400)</f>
        <v>0</v>
      </c>
      <c r="V39" s="151">
        <f t="shared" si="6"/>
        <v>6.2599999999999909</v>
      </c>
      <c r="W39" s="148" t="s">
        <v>68</v>
      </c>
      <c r="X39" s="165">
        <f>'06'!B400</f>
        <v>20</v>
      </c>
      <c r="Y39" s="165">
        <f>SUM('06'!D400:F400)</f>
        <v>0</v>
      </c>
      <c r="Z39" s="151">
        <f t="shared" si="7"/>
        <v>26.259999999999991</v>
      </c>
      <c r="AA39" s="148" t="s">
        <v>70</v>
      </c>
      <c r="AB39" s="165">
        <f>'07'!B400</f>
        <v>-40</v>
      </c>
      <c r="AC39" s="165">
        <f>SUM('07'!D400:F400)</f>
        <v>0</v>
      </c>
      <c r="AD39" s="151">
        <f t="shared" si="8"/>
        <v>-13.740000000000009</v>
      </c>
      <c r="AE39" s="148" t="s">
        <v>71</v>
      </c>
      <c r="AF39" s="165">
        <f>'08'!B400</f>
        <v>15</v>
      </c>
      <c r="AG39" s="165">
        <f>SUM('08'!D400:F400)</f>
        <v>0</v>
      </c>
      <c r="AH39" s="151">
        <f t="shared" si="9"/>
        <v>1.2599999999999909</v>
      </c>
      <c r="AI39" s="148" t="s">
        <v>74</v>
      </c>
      <c r="AJ39" s="165">
        <f>'09'!B400</f>
        <v>15</v>
      </c>
      <c r="AK39" s="165">
        <f>SUM('09'!D400:F400)</f>
        <v>0</v>
      </c>
      <c r="AL39" s="151">
        <f t="shared" si="10"/>
        <v>16.259999999999991</v>
      </c>
      <c r="AM39" s="148" t="s">
        <v>75</v>
      </c>
      <c r="AN39" s="165">
        <f>'10'!B400</f>
        <v>1433.0207879809902</v>
      </c>
      <c r="AO39" s="165">
        <f>SUM('10'!D400:F400)</f>
        <v>0</v>
      </c>
      <c r="AP39" s="151">
        <f t="shared" si="11"/>
        <v>1449.2807879809902</v>
      </c>
      <c r="AQ39" s="148" t="s">
        <v>78</v>
      </c>
      <c r="AR39" s="165">
        <f>'11'!B400</f>
        <v>15</v>
      </c>
      <c r="AS39" s="165">
        <f>SUM('11'!D400:F400)</f>
        <v>0</v>
      </c>
      <c r="AT39" s="151">
        <f t="shared" si="12"/>
        <v>1464.2807879809902</v>
      </c>
      <c r="AU39" s="148" t="s">
        <v>82</v>
      </c>
      <c r="AV39" s="165">
        <f>'12'!B400</f>
        <v>10</v>
      </c>
      <c r="AW39" s="165">
        <f>SUM('12'!D400:F400)</f>
        <v>0</v>
      </c>
      <c r="AX39" s="151">
        <f t="shared" si="13"/>
        <v>1474.2807879809902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284.28078798099023</v>
      </c>
      <c r="BF39" s="21">
        <f t="shared" ca="1" si="18"/>
        <v>5.6990818145686616E-3</v>
      </c>
      <c r="BG39" s="22">
        <f t="shared" ca="1" si="21"/>
        <v>21</v>
      </c>
      <c r="BH39" s="22">
        <f t="shared" ca="1" si="19"/>
        <v>25.843707998271839</v>
      </c>
      <c r="BJ39" s="224">
        <f t="shared" ca="1" si="22"/>
        <v>284.28078798099023</v>
      </c>
    </row>
    <row r="40" spans="1:62" ht="15.75">
      <c r="A40" s="153" t="s">
        <v>50</v>
      </c>
      <c r="B40" s="154">
        <v>804.51000000000045</v>
      </c>
      <c r="C40" s="143" t="s">
        <v>0</v>
      </c>
      <c r="D40" s="166">
        <f>'01'!B420</f>
        <v>50</v>
      </c>
      <c r="E40" s="166">
        <f>SUM('01'!D420:F420)</f>
        <v>0</v>
      </c>
      <c r="F40" s="156">
        <f t="shared" si="2"/>
        <v>854.51000000000045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932.3300000000005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-4.0599999999995475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1095.8200000000006</v>
      </c>
      <c r="S40" s="143" t="s">
        <v>69</v>
      </c>
      <c r="T40" s="166">
        <f>'05'!B420</f>
        <v>-949.11</v>
      </c>
      <c r="U40" s="166">
        <f>SUM('05'!D420:F420)</f>
        <v>46.75</v>
      </c>
      <c r="V40" s="156">
        <f t="shared" si="6"/>
        <v>99.960000000000605</v>
      </c>
      <c r="W40" s="143" t="s">
        <v>68</v>
      </c>
      <c r="X40" s="166">
        <f>'06'!B420</f>
        <v>50</v>
      </c>
      <c r="Y40" s="166">
        <f>SUM('06'!D420:F420)</f>
        <v>2.98</v>
      </c>
      <c r="Z40" s="156">
        <f t="shared" si="7"/>
        <v>146.98000000000062</v>
      </c>
      <c r="AA40" s="143" t="s">
        <v>70</v>
      </c>
      <c r="AB40" s="166">
        <f>'07'!B420</f>
        <v>-98.97999999999999</v>
      </c>
      <c r="AC40" s="166">
        <f>SUM('07'!D420:F420)</f>
        <v>3.06</v>
      </c>
      <c r="AD40" s="156">
        <f t="shared" si="8"/>
        <v>44.940000000000623</v>
      </c>
      <c r="AE40" s="143" t="s">
        <v>71</v>
      </c>
      <c r="AF40" s="166">
        <f>'08'!B420</f>
        <v>50</v>
      </c>
      <c r="AG40" s="166">
        <f>SUM('08'!D420:F420)</f>
        <v>3.11</v>
      </c>
      <c r="AH40" s="156">
        <f t="shared" si="9"/>
        <v>91.830000000000624</v>
      </c>
      <c r="AI40" s="143" t="s">
        <v>74</v>
      </c>
      <c r="AJ40" s="166">
        <f>'09'!B420</f>
        <v>50</v>
      </c>
      <c r="AK40" s="166">
        <f>SUM('09'!D420:F420)</f>
        <v>3.09</v>
      </c>
      <c r="AL40" s="156">
        <f t="shared" si="10"/>
        <v>138.74000000000061</v>
      </c>
      <c r="AM40" s="143" t="s">
        <v>75</v>
      </c>
      <c r="AN40" s="166">
        <f>'10'!B420</f>
        <v>1311.1861040380193</v>
      </c>
      <c r="AO40" s="166">
        <f>SUM('10'!D420:F420)</f>
        <v>3.15</v>
      </c>
      <c r="AP40" s="156">
        <f t="shared" si="11"/>
        <v>1446.7761040380199</v>
      </c>
      <c r="AQ40" s="143" t="s">
        <v>78</v>
      </c>
      <c r="AR40" s="166">
        <f>'11'!B420</f>
        <v>92.84</v>
      </c>
      <c r="AS40" s="166">
        <f>SUM('11'!D420:F420)</f>
        <v>2.31</v>
      </c>
      <c r="AT40" s="156">
        <f t="shared" si="12"/>
        <v>1537.3061040380198</v>
      </c>
      <c r="AU40" s="143" t="s">
        <v>82</v>
      </c>
      <c r="AV40" s="166">
        <f>'12'!B420</f>
        <v>50</v>
      </c>
      <c r="AW40" s="166">
        <f>SUM('12'!D420:F420)</f>
        <v>0</v>
      </c>
      <c r="AX40" s="156">
        <f t="shared" si="13"/>
        <v>1587.3061040380198</v>
      </c>
      <c r="AZ40" s="157">
        <f t="shared" si="23"/>
        <v>136.91000000000003</v>
      </c>
      <c r="BA40" s="21">
        <f t="shared" si="15"/>
        <v>3.1512595371002068E-3</v>
      </c>
      <c r="BB40" s="22">
        <f t="shared" si="20"/>
        <v>22</v>
      </c>
      <c r="BC40" s="22">
        <f t="shared" ca="1" si="16"/>
        <v>12.446363636363639</v>
      </c>
      <c r="BE40" s="225">
        <f t="shared" ca="1" si="17"/>
        <v>869.70610403801925</v>
      </c>
      <c r="BF40" s="21">
        <f t="shared" ca="1" si="18"/>
        <v>1.7435319061638022E-2</v>
      </c>
      <c r="BG40" s="22">
        <f t="shared" ca="1" si="21"/>
        <v>15</v>
      </c>
      <c r="BH40" s="22">
        <f t="shared" ca="1" si="19"/>
        <v>79.064191276183564</v>
      </c>
      <c r="BJ40" s="225">
        <f t="shared" ca="1" si="22"/>
        <v>732.79610403801939</v>
      </c>
    </row>
    <row r="41" spans="1:62" ht="15.75">
      <c r="A41" s="146" t="s">
        <v>25</v>
      </c>
      <c r="B41" s="147">
        <v>8549.9999999999982</v>
      </c>
      <c r="C41" s="148" t="s">
        <v>0</v>
      </c>
      <c r="D41" s="165">
        <f>'01'!B440</f>
        <v>-3900</v>
      </c>
      <c r="E41" s="165">
        <f>SUM('01'!D440:F440)</f>
        <v>0</v>
      </c>
      <c r="F41" s="151">
        <f t="shared" si="2"/>
        <v>4649.9999999999982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4770.0699999999979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4650.9099999999962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4650.909999999998</v>
      </c>
      <c r="S41" s="148" t="s">
        <v>69</v>
      </c>
      <c r="T41" s="165">
        <f>'05'!B440</f>
        <v>0.28000000000156433</v>
      </c>
      <c r="U41" s="165">
        <f>SUM('05'!D440:F440)</f>
        <v>0</v>
      </c>
      <c r="V41" s="151">
        <f t="shared" si="6"/>
        <v>4651.1899999999996</v>
      </c>
      <c r="W41" s="148" t="s">
        <v>68</v>
      </c>
      <c r="X41" s="165">
        <f>'06'!B440</f>
        <v>-0.82999999999901775</v>
      </c>
      <c r="Y41" s="165">
        <f>SUM('06'!D440:F440)</f>
        <v>0</v>
      </c>
      <c r="Z41" s="151">
        <f t="shared" si="7"/>
        <v>4650.3600000000006</v>
      </c>
      <c r="AA41" s="148" t="s">
        <v>70</v>
      </c>
      <c r="AB41" s="165">
        <f>'07'!B440</f>
        <v>465.44999999999982</v>
      </c>
      <c r="AC41" s="165">
        <f>SUM('07'!D440:F440)</f>
        <v>0</v>
      </c>
      <c r="AD41" s="151">
        <f t="shared" si="8"/>
        <v>5115.8100000000004</v>
      </c>
      <c r="AE41" s="148" t="s">
        <v>71</v>
      </c>
      <c r="AF41" s="165">
        <f>'08'!B440</f>
        <v>-300.89999999999918</v>
      </c>
      <c r="AG41" s="165">
        <f>SUM('08'!D440:F440)</f>
        <v>0</v>
      </c>
      <c r="AH41" s="151">
        <f t="shared" si="9"/>
        <v>4814.9100000000017</v>
      </c>
      <c r="AI41" s="148" t="s">
        <v>74</v>
      </c>
      <c r="AJ41" s="165">
        <f>'09'!B440</f>
        <v>0</v>
      </c>
      <c r="AK41" s="165">
        <f>SUM('09'!D440:F440)</f>
        <v>0</v>
      </c>
      <c r="AL41" s="151">
        <f t="shared" si="10"/>
        <v>4814.9100000000017</v>
      </c>
      <c r="AM41" s="148" t="s">
        <v>75</v>
      </c>
      <c r="AN41" s="165">
        <f>'10'!B440</f>
        <v>-37.460000000000036</v>
      </c>
      <c r="AO41" s="165">
        <f>SUM('10'!D440:F440)</f>
        <v>0</v>
      </c>
      <c r="AP41" s="151">
        <f t="shared" si="11"/>
        <v>4777.4500000000016</v>
      </c>
      <c r="AQ41" s="148" t="s">
        <v>78</v>
      </c>
      <c r="AR41" s="165">
        <f>'11'!B440</f>
        <v>-363.34000000000015</v>
      </c>
      <c r="AS41" s="165">
        <f>SUM('11'!D440:F440)</f>
        <v>0</v>
      </c>
      <c r="AT41" s="151">
        <f t="shared" si="12"/>
        <v>4414.1100000000015</v>
      </c>
      <c r="AU41" s="148" t="s">
        <v>82</v>
      </c>
      <c r="AV41" s="165">
        <f>'12'!B440</f>
        <v>-3900</v>
      </c>
      <c r="AW41" s="165">
        <f>SUM('12'!D440:F440)</f>
        <v>0</v>
      </c>
      <c r="AX41" s="151">
        <f t="shared" si="13"/>
        <v>514.11000000000149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-4135.8899999999976</v>
      </c>
      <c r="BF41" s="21">
        <f t="shared" ca="1" si="18"/>
        <v>-8.2913712366776401E-2</v>
      </c>
      <c r="BG41" s="22">
        <f t="shared" ca="1" si="21"/>
        <v>26</v>
      </c>
      <c r="BH41" s="22">
        <f t="shared" ca="1" si="19"/>
        <v>-375.98999999999978</v>
      </c>
      <c r="BJ41" s="224">
        <f t="shared" ca="1" si="22"/>
        <v>-4135.8899999999967</v>
      </c>
    </row>
    <row r="42" spans="1:62" ht="15" customHeight="1">
      <c r="A42" s="153" t="s">
        <v>153</v>
      </c>
      <c r="B42" s="154">
        <v>6892.12</v>
      </c>
      <c r="C42" s="143" t="s">
        <v>0</v>
      </c>
      <c r="D42" s="166">
        <f>'01'!B460</f>
        <v>0</v>
      </c>
      <c r="E42" s="166">
        <f>SUM('01'!D460:F460)</f>
        <v>0</v>
      </c>
      <c r="F42" s="156">
        <f t="shared" si="2"/>
        <v>6892.12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6892.12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10976.32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6892.12</v>
      </c>
      <c r="S42" s="143" t="s">
        <v>69</v>
      </c>
      <c r="T42" s="166">
        <f>'05'!B460</f>
        <v>4044.26</v>
      </c>
      <c r="U42" s="166">
        <f>SUM('05'!D460:F460)</f>
        <v>0</v>
      </c>
      <c r="V42" s="156">
        <f t="shared" si="6"/>
        <v>10936.380000000001</v>
      </c>
      <c r="W42" s="143" t="s">
        <v>68</v>
      </c>
      <c r="X42" s="166">
        <f>'06'!B460</f>
        <v>0</v>
      </c>
      <c r="Y42" s="166">
        <f>SUM('06'!D460:F460)</f>
        <v>0</v>
      </c>
      <c r="Z42" s="156">
        <f t="shared" si="7"/>
        <v>10936.380000000001</v>
      </c>
      <c r="AA42" s="143" t="s">
        <v>70</v>
      </c>
      <c r="AB42" s="166">
        <f>'07'!B460</f>
        <v>0</v>
      </c>
      <c r="AC42" s="166">
        <f>SUM('07'!D460:F460)</f>
        <v>0</v>
      </c>
      <c r="AD42" s="156">
        <f t="shared" si="8"/>
        <v>10936.380000000001</v>
      </c>
      <c r="AE42" s="143" t="s">
        <v>71</v>
      </c>
      <c r="AF42" s="166">
        <f>'08'!B460</f>
        <v>0</v>
      </c>
      <c r="AG42" s="166">
        <f>SUM('08'!D460:F460)</f>
        <v>0</v>
      </c>
      <c r="AH42" s="156">
        <f t="shared" si="9"/>
        <v>10936.380000000001</v>
      </c>
      <c r="AI42" s="143" t="s">
        <v>74</v>
      </c>
      <c r="AJ42" s="166">
        <f>'09'!B460</f>
        <v>0</v>
      </c>
      <c r="AK42" s="166">
        <f>SUM('09'!D460:F460)</f>
        <v>0</v>
      </c>
      <c r="AL42" s="156">
        <f t="shared" si="10"/>
        <v>10936.380000000001</v>
      </c>
      <c r="AM42" s="143" t="s">
        <v>75</v>
      </c>
      <c r="AN42" s="166">
        <f>'10'!B460</f>
        <v>-4044.26</v>
      </c>
      <c r="AO42" s="166">
        <f>SUM('10'!D460:F460)</f>
        <v>0</v>
      </c>
      <c r="AP42" s="156">
        <f t="shared" si="11"/>
        <v>6892.1200000000008</v>
      </c>
      <c r="AQ42" s="143" t="s">
        <v>78</v>
      </c>
      <c r="AR42" s="166">
        <f>'11'!B460</f>
        <v>0</v>
      </c>
      <c r="AS42" s="166">
        <f>SUM('11'!D460:F460)</f>
        <v>0</v>
      </c>
      <c r="AT42" s="156">
        <f t="shared" si="12"/>
        <v>6892.1200000000008</v>
      </c>
      <c r="AU42" s="143" t="s">
        <v>82</v>
      </c>
      <c r="AV42" s="166">
        <f>'12'!B460</f>
        <v>0</v>
      </c>
      <c r="AW42" s="166">
        <f>SUM('12'!D460:F460)</f>
        <v>0</v>
      </c>
      <c r="AX42" s="156">
        <f t="shared" si="13"/>
        <v>6892.1200000000008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0</v>
      </c>
      <c r="BF42" s="21">
        <f t="shared" ca="1" si="18"/>
        <v>0</v>
      </c>
      <c r="BG42" s="22">
        <f t="shared" ca="1" si="21"/>
        <v>24</v>
      </c>
      <c r="BH42" s="22">
        <f t="shared" ca="1" si="19"/>
        <v>0</v>
      </c>
      <c r="BJ42" s="225">
        <f t="shared" ca="1" si="22"/>
        <v>0</v>
      </c>
    </row>
    <row r="43" spans="1:62" ht="15.75">
      <c r="A43" s="162" t="s">
        <v>27</v>
      </c>
      <c r="B43" s="158">
        <v>963</v>
      </c>
      <c r="C43" s="148" t="s">
        <v>0</v>
      </c>
      <c r="D43" s="149">
        <f>'01'!B480</f>
        <v>0</v>
      </c>
      <c r="E43" s="149">
        <f>SUM('01'!D480:F480)</f>
        <v>0</v>
      </c>
      <c r="F43" s="151">
        <f t="shared" si="2"/>
        <v>963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700.42000000000007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295.42000000000007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918.61000000000013</v>
      </c>
      <c r="S43" s="148" t="s">
        <v>69</v>
      </c>
      <c r="T43" s="149">
        <f>'05'!B480</f>
        <v>-400</v>
      </c>
      <c r="U43" s="149">
        <f>SUM('05'!D480:F480)</f>
        <v>0</v>
      </c>
      <c r="V43" s="151">
        <f t="shared" si="6"/>
        <v>518.61000000000013</v>
      </c>
      <c r="W43" s="148" t="s">
        <v>68</v>
      </c>
      <c r="X43" s="149">
        <f>'06'!B480</f>
        <v>10</v>
      </c>
      <c r="Y43" s="149">
        <f>SUM('06'!D480:F480)</f>
        <v>0</v>
      </c>
      <c r="Z43" s="151">
        <f t="shared" si="7"/>
        <v>528.61000000000013</v>
      </c>
      <c r="AA43" s="148" t="s">
        <v>70</v>
      </c>
      <c r="AB43" s="149">
        <f>'07'!B480</f>
        <v>65</v>
      </c>
      <c r="AC43" s="149">
        <f>SUM('07'!D480:F480)</f>
        <v>0</v>
      </c>
      <c r="AD43" s="151">
        <f t="shared" si="8"/>
        <v>593.61000000000013</v>
      </c>
      <c r="AE43" s="148" t="s">
        <v>71</v>
      </c>
      <c r="AF43" s="149">
        <f>'08'!B480</f>
        <v>-485</v>
      </c>
      <c r="AG43" s="149">
        <f>SUM('08'!D480:F480)</f>
        <v>0</v>
      </c>
      <c r="AH43" s="151">
        <f t="shared" si="9"/>
        <v>108.61000000000013</v>
      </c>
      <c r="AI43" s="148" t="s">
        <v>74</v>
      </c>
      <c r="AJ43" s="149">
        <f>'09'!B480</f>
        <v>65</v>
      </c>
      <c r="AK43" s="149">
        <f>SUM('09'!D480:F480)</f>
        <v>0</v>
      </c>
      <c r="AL43" s="151">
        <f t="shared" si="10"/>
        <v>173.61000000000013</v>
      </c>
      <c r="AM43" s="148" t="s">
        <v>75</v>
      </c>
      <c r="AN43" s="149">
        <f>'10'!B480</f>
        <v>1200.5091905564923</v>
      </c>
      <c r="AO43" s="149">
        <f>SUM('10'!D480:F480)</f>
        <v>0</v>
      </c>
      <c r="AP43" s="151">
        <f t="shared" si="11"/>
        <v>1374.1191905564924</v>
      </c>
      <c r="AQ43" s="148" t="s">
        <v>78</v>
      </c>
      <c r="AR43" s="149">
        <f>'11'!B480</f>
        <v>86.35</v>
      </c>
      <c r="AS43" s="149">
        <f>SUM('11'!D480:F480)</f>
        <v>0</v>
      </c>
      <c r="AT43" s="151">
        <f t="shared" si="12"/>
        <v>1460.4691905564923</v>
      </c>
      <c r="AU43" s="148" t="s">
        <v>82</v>
      </c>
      <c r="AV43" s="149">
        <f>'12'!B480</f>
        <v>144.38999999999999</v>
      </c>
      <c r="AW43" s="149">
        <f>SUM('12'!D480:F480)</f>
        <v>0</v>
      </c>
      <c r="AX43" s="151">
        <f t="shared" si="13"/>
        <v>1604.8591905564922</v>
      </c>
      <c r="AZ43" s="152">
        <f t="shared" si="23"/>
        <v>500</v>
      </c>
      <c r="BA43" s="21">
        <f t="shared" si="15"/>
        <v>1.1508507549120613E-2</v>
      </c>
      <c r="BB43" s="22">
        <f t="shared" si="20"/>
        <v>16</v>
      </c>
      <c r="BC43" s="22">
        <f t="shared" ca="1" si="16"/>
        <v>45.454545454545453</v>
      </c>
      <c r="BE43" s="224">
        <f t="shared" ca="1" si="17"/>
        <v>997.46919055649232</v>
      </c>
      <c r="BF43" s="21">
        <f t="shared" ca="1" si="18"/>
        <v>1.9996632782913068E-2</v>
      </c>
      <c r="BG43" s="22">
        <f t="shared" ca="1" si="21"/>
        <v>14</v>
      </c>
      <c r="BH43" s="22">
        <f t="shared" ca="1" si="19"/>
        <v>90.679017323317481</v>
      </c>
      <c r="BJ43" s="224">
        <f t="shared" ca="1" si="22"/>
        <v>497.46919055649232</v>
      </c>
    </row>
    <row r="44" spans="1:62" ht="15.75">
      <c r="A44" s="167" t="s">
        <v>27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69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68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70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71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74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75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78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82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24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26</v>
      </c>
      <c r="B45" s="172">
        <v>95.92000000000003</v>
      </c>
      <c r="C45" s="173" t="s">
        <v>0</v>
      </c>
      <c r="D45" s="174">
        <f>'01'!B520</f>
        <v>5</v>
      </c>
      <c r="E45" s="175">
        <f>SUM('01'!D520:F520)</f>
        <v>0</v>
      </c>
      <c r="F45" s="176">
        <f t="shared" si="2"/>
        <v>100.92000000000003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87.53000000000003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61.590000000000032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61.590000000000032</v>
      </c>
      <c r="S45" s="173" t="s">
        <v>69</v>
      </c>
      <c r="T45" s="174">
        <f>'05'!B520</f>
        <v>0</v>
      </c>
      <c r="U45" s="175">
        <f>SUM('05'!D520:F520)</f>
        <v>0</v>
      </c>
      <c r="V45" s="176">
        <f t="shared" si="6"/>
        <v>61.590000000000032</v>
      </c>
      <c r="W45" s="173" t="s">
        <v>68</v>
      </c>
      <c r="X45" s="174">
        <f>'06'!B520</f>
        <v>0</v>
      </c>
      <c r="Y45" s="175">
        <f>SUM('06'!D520:F520)</f>
        <v>0</v>
      </c>
      <c r="Z45" s="176">
        <f t="shared" si="7"/>
        <v>61.590000000000032</v>
      </c>
      <c r="AA45" s="173" t="s">
        <v>70</v>
      </c>
      <c r="AB45" s="174">
        <f>'07'!B520</f>
        <v>0</v>
      </c>
      <c r="AC45" s="175">
        <f>SUM('07'!D520:F520)</f>
        <v>0</v>
      </c>
      <c r="AD45" s="176">
        <f t="shared" si="8"/>
        <v>61.590000000000032</v>
      </c>
      <c r="AE45" s="173" t="s">
        <v>71</v>
      </c>
      <c r="AF45" s="174">
        <f>'08'!B520</f>
        <v>20</v>
      </c>
      <c r="AG45" s="175">
        <f>SUM('08'!D520:F520)</f>
        <v>23.43</v>
      </c>
      <c r="AH45" s="176">
        <f t="shared" si="9"/>
        <v>58.160000000000032</v>
      </c>
      <c r="AI45" s="173" t="s">
        <v>74</v>
      </c>
      <c r="AJ45" s="174">
        <f>'09'!B520</f>
        <v>0</v>
      </c>
      <c r="AK45" s="175">
        <f>SUM('09'!D520:F520)</f>
        <v>5</v>
      </c>
      <c r="AL45" s="176">
        <f t="shared" si="10"/>
        <v>53.160000000000032</v>
      </c>
      <c r="AM45" s="173" t="s">
        <v>75</v>
      </c>
      <c r="AN45" s="174">
        <f>'10'!B520</f>
        <v>0</v>
      </c>
      <c r="AO45" s="175">
        <f>SUM('10'!D520:F520)</f>
        <v>81.98</v>
      </c>
      <c r="AP45" s="176">
        <f t="shared" si="11"/>
        <v>-28.819999999999972</v>
      </c>
      <c r="AQ45" s="173" t="s">
        <v>78</v>
      </c>
      <c r="AR45" s="174">
        <f>'11'!B520</f>
        <v>0</v>
      </c>
      <c r="AS45" s="175">
        <f>SUM('11'!D520:F520)</f>
        <v>10</v>
      </c>
      <c r="AT45" s="176">
        <f t="shared" si="12"/>
        <v>-38.819999999999972</v>
      </c>
      <c r="AU45" s="173" t="s">
        <v>82</v>
      </c>
      <c r="AV45" s="174">
        <f>'12'!B520</f>
        <v>5</v>
      </c>
      <c r="AW45" s="175">
        <f>SUM('12'!D520:F520)</f>
        <v>0</v>
      </c>
      <c r="AX45" s="176">
        <f t="shared" si="13"/>
        <v>-33.819999999999972</v>
      </c>
      <c r="AZ45" s="177">
        <f t="shared" si="23"/>
        <v>159.74</v>
      </c>
      <c r="BA45" s="21">
        <f t="shared" si="15"/>
        <v>3.6767379917930537E-3</v>
      </c>
      <c r="BB45" s="22">
        <f t="shared" si="20"/>
        <v>21</v>
      </c>
      <c r="BC45" s="22">
        <f t="shared" ca="1" si="16"/>
        <v>14.521818181818183</v>
      </c>
      <c r="BE45" s="226">
        <f t="shared" ca="1" si="17"/>
        <v>25</v>
      </c>
      <c r="BF45" s="21">
        <f t="shared" ca="1" si="18"/>
        <v>5.0118422133311363E-4</v>
      </c>
      <c r="BG45" s="22">
        <f t="shared" ca="1" si="21"/>
        <v>23</v>
      </c>
      <c r="BH45" s="22">
        <f t="shared" ca="1" si="19"/>
        <v>2.2727272727272729</v>
      </c>
      <c r="BJ45" s="226">
        <f t="shared" ca="1" si="22"/>
        <v>-134.74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-77.470000000000255</v>
      </c>
      <c r="E46" s="219">
        <f>SUM(E20:E45)</f>
        <v>23.67</v>
      </c>
      <c r="F46" s="220">
        <f>SUM(F20:F45)</f>
        <v>26282.399999999994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26627.779999999992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27496.779999999995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28216.109999999993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30067.1</v>
      </c>
      <c r="W46" s="218"/>
      <c r="X46" s="219">
        <f>SUM(X20:X45)</f>
        <v>4093.3200000000006</v>
      </c>
      <c r="Y46" s="219">
        <f>SUM(Y20:Y45)</f>
        <v>3824.44</v>
      </c>
      <c r="Z46" s="220">
        <f>SUM(Z20:Z45)</f>
        <v>30335.98</v>
      </c>
      <c r="AA46" s="218"/>
      <c r="AB46" s="219">
        <f>SUM(AB20:AB45)</f>
        <v>4638.26</v>
      </c>
      <c r="AC46" s="219">
        <f>SUM(AC20:AC45)</f>
        <v>4754.3700000000008</v>
      </c>
      <c r="AD46" s="220">
        <f>SUM(AD20:AD45)</f>
        <v>30219.87</v>
      </c>
      <c r="AE46" s="218"/>
      <c r="AF46" s="219">
        <f>SUM(AF20:AF45)</f>
        <v>3945.49</v>
      </c>
      <c r="AG46" s="219">
        <f>SUM(AG20:AG45)</f>
        <v>3854.08</v>
      </c>
      <c r="AH46" s="220">
        <f>SUM(AH20:AH45)</f>
        <v>30311.279999999999</v>
      </c>
      <c r="AI46" s="218"/>
      <c r="AJ46" s="219">
        <f>SUM(AJ20:AJ45)</f>
        <v>4981.97</v>
      </c>
      <c r="AK46" s="219">
        <f>SUM(AK20:AK45)</f>
        <v>4150.76</v>
      </c>
      <c r="AL46" s="220">
        <f>SUM(AL20:AL45)</f>
        <v>31142.489999999994</v>
      </c>
      <c r="AM46" s="218"/>
      <c r="AN46" s="219">
        <f>SUM(AN20:AN45)</f>
        <v>3972.5876799999996</v>
      </c>
      <c r="AO46" s="219">
        <f>SUM(AO20:AO45)</f>
        <v>3958.6800000000003</v>
      </c>
      <c r="AP46" s="220">
        <f>SUM(AP20:AP45)</f>
        <v>31156.397679999995</v>
      </c>
      <c r="AQ46" s="218"/>
      <c r="AR46" s="219">
        <f>SUM(AR20:AR45)</f>
        <v>4500.3999999999996</v>
      </c>
      <c r="AS46" s="219">
        <f>SUM(AS20:AS45)</f>
        <v>2837.52</v>
      </c>
      <c r="AT46" s="220">
        <f>SUM(AT20:AT45)</f>
        <v>32819.277679999999</v>
      </c>
      <c r="AU46" s="218"/>
      <c r="AV46" s="219">
        <f>SUM(AV20:AV45)</f>
        <v>-3.4106051316484809E-13</v>
      </c>
      <c r="AW46" s="219">
        <f>SUM(AW20:AW45)</f>
        <v>0</v>
      </c>
      <c r="AX46" s="220">
        <f>SUM(AX20:AX45)</f>
        <v>32819.277679999992</v>
      </c>
      <c r="AZ46" s="227">
        <f>SUM(AZ20:AZ45)</f>
        <v>43446.119999999995</v>
      </c>
      <c r="BA46" s="1"/>
      <c r="BB46" s="1"/>
      <c r="BC46" s="124">
        <f ca="1">SUM(BC20:BC45)</f>
        <v>3949.6472727272717</v>
      </c>
      <c r="BE46" s="227">
        <f ca="1">SUM(BE20:BE45)</f>
        <v>49881.857680000016</v>
      </c>
      <c r="BF46" s="1"/>
      <c r="BG46" s="1"/>
      <c r="BH46" s="124">
        <f ca="1">SUM(BH20:BH45)</f>
        <v>4534.7143345454533</v>
      </c>
      <c r="BJ46" s="227">
        <f ca="1">SUM(BJ20:BJ45)</f>
        <v>6435.7376800000011</v>
      </c>
    </row>
    <row r="47" spans="1:62" s="29" customFormat="1" ht="12.75">
      <c r="A47" s="207" t="s">
        <v>159</v>
      </c>
      <c r="B47" s="125"/>
      <c r="C47" s="125">
        <f>C5-B46</f>
        <v>-26383.539999999994</v>
      </c>
      <c r="D47" s="125">
        <f>C17-D46</f>
        <v>77.470000000000255</v>
      </c>
      <c r="E47" s="125">
        <f>C17-E46</f>
        <v>-23.67</v>
      </c>
      <c r="F47" s="125"/>
      <c r="G47" s="125">
        <f>G5-F46</f>
        <v>-1053.0199999999968</v>
      </c>
      <c r="H47" s="125">
        <f>G17-H46</f>
        <v>0</v>
      </c>
      <c r="I47" s="125">
        <f>G17-I46</f>
        <v>345.38000000000011</v>
      </c>
      <c r="J47" s="125"/>
      <c r="K47" s="125">
        <f>K5-J46</f>
        <v>-1053.0199999999895</v>
      </c>
      <c r="L47" s="125">
        <f>K17-L46</f>
        <v>0</v>
      </c>
      <c r="M47" s="125">
        <f>K17-M46</f>
        <v>868.99999999999818</v>
      </c>
      <c r="N47" s="125"/>
      <c r="O47" s="125">
        <f>O5-N46</f>
        <v>-1053.0199999999968</v>
      </c>
      <c r="P47" s="125">
        <f>O17-P46</f>
        <v>0</v>
      </c>
      <c r="Q47" s="125">
        <f>O17-Q46</f>
        <v>719.33000000000084</v>
      </c>
      <c r="R47" s="125"/>
      <c r="S47" s="125">
        <f>S5-R46</f>
        <v>-1053.0199999999895</v>
      </c>
      <c r="T47" s="125">
        <f>S17-T46</f>
        <v>0</v>
      </c>
      <c r="U47" s="125">
        <f>S17-U46</f>
        <v>1850.9900000000016</v>
      </c>
      <c r="V47" s="125"/>
      <c r="W47" s="125">
        <f>W5-V46</f>
        <v>-1053.0200000000004</v>
      </c>
      <c r="X47" s="125">
        <f>W17-X46</f>
        <v>0</v>
      </c>
      <c r="Y47" s="125">
        <f>W17-Y46</f>
        <v>268.88000000000056</v>
      </c>
      <c r="Z47" s="125"/>
      <c r="AA47" s="125">
        <f>AA5-Z46</f>
        <v>-1053.0200000000004</v>
      </c>
      <c r="AB47" s="125">
        <f>AA17-AB46</f>
        <v>0</v>
      </c>
      <c r="AC47" s="125">
        <f>AA17-AC46</f>
        <v>-116.11000000000058</v>
      </c>
      <c r="AD47" s="125"/>
      <c r="AE47" s="125">
        <f>AE5-AD46</f>
        <v>-1053.0199999999968</v>
      </c>
      <c r="AF47" s="125">
        <f>AE17-AF46</f>
        <v>0</v>
      </c>
      <c r="AG47" s="125">
        <f>AE17-AG46</f>
        <v>91.410000000000309</v>
      </c>
      <c r="AH47" s="125"/>
      <c r="AI47" s="125">
        <f>AI5-AH46</f>
        <v>-1053.0199999999968</v>
      </c>
      <c r="AJ47" s="125">
        <f>AI17-AJ46</f>
        <v>0</v>
      </c>
      <c r="AK47" s="125">
        <f>AI17-AK46</f>
        <v>831.20999999999913</v>
      </c>
      <c r="AL47" s="125"/>
      <c r="AM47" s="125">
        <f>AM5-AL46</f>
        <v>-1053.0199999999932</v>
      </c>
      <c r="AN47" s="125">
        <f>AM17-AN46</f>
        <v>2.3200000000542786E-3</v>
      </c>
      <c r="AO47" s="125">
        <f>AM17-AO46</f>
        <v>13.9099999999994</v>
      </c>
      <c r="AP47" s="125"/>
      <c r="AQ47" s="125">
        <f>AQ5-AP46</f>
        <v>-1053.0176799999899</v>
      </c>
      <c r="AR47" s="125">
        <f>AQ17-AR46</f>
        <v>0</v>
      </c>
      <c r="AS47" s="125">
        <f>AQ17-AS46</f>
        <v>1662.8800000000006</v>
      </c>
      <c r="AT47" s="140"/>
      <c r="AU47" s="125">
        <f>AU5-AT46</f>
        <v>-2715.8976799999946</v>
      </c>
      <c r="AV47" s="125">
        <f>AU17-AV46</f>
        <v>3.4106051316484809E-13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192</v>
      </c>
      <c r="AW48" s="5"/>
      <c r="AX48" s="5"/>
      <c r="AZ48" s="112">
        <f>4000*12</f>
        <v>48000</v>
      </c>
      <c r="BA48" s="112"/>
      <c r="BB48" s="1" t="s">
        <v>193</v>
      </c>
      <c r="BC48" s="112">
        <f ca="1">12*BC46</f>
        <v>47395.767272727258</v>
      </c>
    </row>
    <row r="49" spans="1:62">
      <c r="C49" s="38"/>
      <c r="AZ49" s="38"/>
      <c r="BE49" s="111"/>
      <c r="BJ49" s="111"/>
    </row>
    <row r="50" spans="1:62">
      <c r="A50" s="208" t="s">
        <v>152</v>
      </c>
      <c r="B50" s="119"/>
      <c r="C50" s="119"/>
      <c r="D50" s="119"/>
      <c r="E50" s="119">
        <f>E22-121.4+30.35</f>
        <v>-91.050000000000011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65.760000000000005</v>
      </c>
      <c r="R50" s="119"/>
      <c r="S50" s="119"/>
      <c r="T50" s="119"/>
      <c r="U50" s="119">
        <f>U22+(N59/2)</f>
        <v>338.06</v>
      </c>
      <c r="V50" s="119" t="s">
        <v>548</v>
      </c>
      <c r="W50" s="119"/>
      <c r="X50" s="119"/>
      <c r="Y50" s="119">
        <f>Y22+(N59/2)</f>
        <v>300.02000000000004</v>
      </c>
      <c r="Z50" s="119" t="s">
        <v>590</v>
      </c>
      <c r="AA50" s="119"/>
      <c r="AB50" s="119"/>
      <c r="AC50" s="119">
        <f>AC22</f>
        <v>108.36</v>
      </c>
      <c r="AD50" s="119" t="s">
        <v>663</v>
      </c>
      <c r="AE50" s="119"/>
      <c r="AF50" s="119"/>
      <c r="AG50" s="119">
        <f>AG22</f>
        <v>323.87000000000006</v>
      </c>
      <c r="AH50" s="119" t="s">
        <v>548</v>
      </c>
      <c r="AI50" s="119"/>
      <c r="AJ50" s="119"/>
      <c r="AK50" s="119">
        <f>AK22</f>
        <v>284.70000000000005</v>
      </c>
      <c r="AL50" s="119" t="s">
        <v>548</v>
      </c>
      <c r="AM50" s="119"/>
      <c r="AN50" s="119"/>
      <c r="AO50" s="119">
        <f>AO22</f>
        <v>327.21000000000004</v>
      </c>
      <c r="AP50" s="119" t="s">
        <v>773</v>
      </c>
      <c r="AQ50" s="119"/>
      <c r="AR50" s="119"/>
      <c r="AS50" s="119">
        <f>AS22</f>
        <v>396.2</v>
      </c>
      <c r="AT50" s="119" t="s">
        <v>852</v>
      </c>
      <c r="AU50" s="119"/>
      <c r="AV50" s="119"/>
      <c r="AW50" s="119">
        <f>AW22</f>
        <v>0</v>
      </c>
      <c r="AX50" s="119"/>
      <c r="AZ50" s="119"/>
    </row>
    <row r="51" spans="1:62" ht="15.75" thickBot="1"/>
    <row r="52" spans="1:62">
      <c r="C52" s="368" t="s">
        <v>147</v>
      </c>
      <c r="D52" s="369"/>
      <c r="E52" s="369"/>
      <c r="F52" s="370"/>
      <c r="G52" s="368" t="s">
        <v>147</v>
      </c>
      <c r="H52" s="369"/>
      <c r="I52" s="369"/>
      <c r="J52" s="370"/>
      <c r="K52" s="368" t="s">
        <v>147</v>
      </c>
      <c r="L52" s="369"/>
      <c r="M52" s="369"/>
      <c r="N52" s="370"/>
      <c r="O52" s="368" t="s">
        <v>147</v>
      </c>
      <c r="P52" s="369"/>
      <c r="Q52" s="369"/>
      <c r="R52" s="370"/>
      <c r="S52" s="368" t="s">
        <v>147</v>
      </c>
      <c r="T52" s="369"/>
      <c r="U52" s="369"/>
      <c r="V52" s="370"/>
      <c r="W52" s="368" t="s">
        <v>147</v>
      </c>
      <c r="X52" s="369"/>
      <c r="Y52" s="369"/>
      <c r="Z52" s="370"/>
      <c r="AA52" s="368" t="s">
        <v>147</v>
      </c>
      <c r="AB52" s="369"/>
      <c r="AC52" s="369"/>
      <c r="AD52" s="370"/>
      <c r="AE52" s="368" t="s">
        <v>147</v>
      </c>
      <c r="AF52" s="369"/>
      <c r="AG52" s="369"/>
      <c r="AH52" s="370"/>
      <c r="AI52" s="368" t="s">
        <v>147</v>
      </c>
      <c r="AJ52" s="369"/>
      <c r="AK52" s="369"/>
      <c r="AL52" s="370"/>
      <c r="AM52" s="368" t="s">
        <v>147</v>
      </c>
      <c r="AN52" s="369"/>
      <c r="AO52" s="369"/>
      <c r="AP52" s="370"/>
      <c r="AQ52" s="368" t="s">
        <v>147</v>
      </c>
      <c r="AR52" s="369"/>
      <c r="AS52" s="369"/>
      <c r="AT52" s="370"/>
      <c r="AU52" s="368" t="s">
        <v>147</v>
      </c>
      <c r="AV52" s="369"/>
      <c r="AW52" s="369"/>
      <c r="AX52" s="370"/>
    </row>
    <row r="53" spans="1:62" ht="15.75" thickBot="1">
      <c r="C53" s="93" t="s">
        <v>148</v>
      </c>
      <c r="D53" s="371" t="s">
        <v>29</v>
      </c>
      <c r="E53" s="372"/>
      <c r="F53" s="94" t="s">
        <v>86</v>
      </c>
      <c r="G53" s="93" t="s">
        <v>148</v>
      </c>
      <c r="H53" s="371" t="s">
        <v>29</v>
      </c>
      <c r="I53" s="372"/>
      <c r="J53" s="94" t="s">
        <v>86</v>
      </c>
      <c r="K53" s="93" t="s">
        <v>148</v>
      </c>
      <c r="L53" s="371" t="s">
        <v>29</v>
      </c>
      <c r="M53" s="372"/>
      <c r="N53" s="94" t="s">
        <v>86</v>
      </c>
      <c r="O53" s="93" t="s">
        <v>148</v>
      </c>
      <c r="P53" s="371" t="s">
        <v>29</v>
      </c>
      <c r="Q53" s="372"/>
      <c r="R53" s="94" t="s">
        <v>86</v>
      </c>
      <c r="S53" s="93" t="s">
        <v>148</v>
      </c>
      <c r="T53" s="371" t="s">
        <v>29</v>
      </c>
      <c r="U53" s="372"/>
      <c r="V53" s="94" t="s">
        <v>86</v>
      </c>
      <c r="W53" s="93" t="s">
        <v>148</v>
      </c>
      <c r="X53" s="371" t="s">
        <v>29</v>
      </c>
      <c r="Y53" s="372"/>
      <c r="Z53" s="94" t="s">
        <v>86</v>
      </c>
      <c r="AA53" s="93" t="s">
        <v>148</v>
      </c>
      <c r="AB53" s="371" t="s">
        <v>29</v>
      </c>
      <c r="AC53" s="372"/>
      <c r="AD53" s="94" t="s">
        <v>86</v>
      </c>
      <c r="AE53" s="93" t="s">
        <v>148</v>
      </c>
      <c r="AF53" s="371" t="s">
        <v>29</v>
      </c>
      <c r="AG53" s="372"/>
      <c r="AH53" s="94" t="s">
        <v>86</v>
      </c>
      <c r="AI53" s="93" t="s">
        <v>148</v>
      </c>
      <c r="AJ53" s="371" t="s">
        <v>29</v>
      </c>
      <c r="AK53" s="372"/>
      <c r="AL53" s="94" t="s">
        <v>86</v>
      </c>
      <c r="AM53" s="93" t="s">
        <v>148</v>
      </c>
      <c r="AN53" s="371" t="s">
        <v>29</v>
      </c>
      <c r="AO53" s="372"/>
      <c r="AP53" s="94" t="s">
        <v>86</v>
      </c>
      <c r="AQ53" s="93" t="s">
        <v>148</v>
      </c>
      <c r="AR53" s="371" t="s">
        <v>29</v>
      </c>
      <c r="AS53" s="372"/>
      <c r="AT53" s="94" t="s">
        <v>86</v>
      </c>
      <c r="AU53" s="93" t="s">
        <v>148</v>
      </c>
      <c r="AV53" s="371" t="s">
        <v>29</v>
      </c>
      <c r="AW53" s="372"/>
      <c r="AX53" s="94" t="s">
        <v>86</v>
      </c>
    </row>
    <row r="54" spans="1:62">
      <c r="C54" s="95">
        <v>43495</v>
      </c>
      <c r="D54" s="373" t="s">
        <v>228</v>
      </c>
      <c r="E54" s="374"/>
      <c r="F54" s="98"/>
      <c r="G54" s="95">
        <v>43497</v>
      </c>
      <c r="H54" s="373" t="s">
        <v>237</v>
      </c>
      <c r="I54" s="374"/>
      <c r="J54" s="100">
        <v>500</v>
      </c>
      <c r="K54" s="95">
        <v>43539</v>
      </c>
      <c r="L54" s="379" t="s">
        <v>235</v>
      </c>
      <c r="M54" s="380"/>
      <c r="N54" s="100">
        <v>70</v>
      </c>
      <c r="O54" s="95"/>
      <c r="P54" s="384"/>
      <c r="Q54" s="385"/>
      <c r="R54" s="102"/>
      <c r="S54" s="95">
        <v>43594</v>
      </c>
      <c r="T54" s="379" t="s">
        <v>232</v>
      </c>
      <c r="U54" s="380"/>
      <c r="V54" s="103"/>
      <c r="W54" s="95">
        <v>43624</v>
      </c>
      <c r="X54" s="379" t="s">
        <v>151</v>
      </c>
      <c r="Y54" s="380"/>
      <c r="Z54" s="104">
        <v>10</v>
      </c>
      <c r="AA54" s="95"/>
      <c r="AB54" s="386" t="s">
        <v>414</v>
      </c>
      <c r="AC54" s="387"/>
      <c r="AD54" s="239">
        <v>15</v>
      </c>
      <c r="AE54" s="95"/>
      <c r="AF54" s="386" t="s">
        <v>414</v>
      </c>
      <c r="AG54" s="387"/>
      <c r="AH54" s="239">
        <v>14</v>
      </c>
      <c r="AI54" s="95"/>
      <c r="AJ54" s="386" t="s">
        <v>414</v>
      </c>
      <c r="AK54" s="387"/>
      <c r="AL54" s="239">
        <v>15</v>
      </c>
      <c r="AM54" s="95"/>
      <c r="AN54" s="386" t="s">
        <v>414</v>
      </c>
      <c r="AO54" s="387"/>
      <c r="AP54" s="239">
        <v>11</v>
      </c>
      <c r="AQ54" s="95"/>
      <c r="AR54" s="386" t="s">
        <v>414</v>
      </c>
      <c r="AS54" s="387"/>
      <c r="AT54" s="239">
        <v>7</v>
      </c>
      <c r="AU54" s="95"/>
      <c r="AV54" s="373"/>
      <c r="AW54" s="374"/>
      <c r="AX54" s="100"/>
    </row>
    <row r="55" spans="1:62">
      <c r="C55" s="96"/>
      <c r="D55" s="377" t="s">
        <v>229</v>
      </c>
      <c r="E55" s="378"/>
      <c r="F55" s="98">
        <v>121.4</v>
      </c>
      <c r="G55" s="96">
        <v>43516</v>
      </c>
      <c r="H55" s="377" t="s">
        <v>249</v>
      </c>
      <c r="I55" s="378"/>
      <c r="J55" s="100"/>
      <c r="K55" s="96">
        <v>43553</v>
      </c>
      <c r="L55" s="377" t="s">
        <v>244</v>
      </c>
      <c r="M55" s="378"/>
      <c r="N55" s="100">
        <v>4421.9399999999996</v>
      </c>
      <c r="O55" s="96">
        <v>43565</v>
      </c>
      <c r="P55" s="377" t="s">
        <v>261</v>
      </c>
      <c r="Q55" s="378"/>
      <c r="R55" s="100">
        <v>10</v>
      </c>
      <c r="S55" s="96">
        <v>43607</v>
      </c>
      <c r="T55" s="377" t="s">
        <v>249</v>
      </c>
      <c r="U55" s="378"/>
      <c r="V55" s="100"/>
      <c r="W55" s="96">
        <v>43637</v>
      </c>
      <c r="X55" s="377" t="s">
        <v>149</v>
      </c>
      <c r="Y55" s="378"/>
      <c r="Z55" s="100">
        <v>10</v>
      </c>
      <c r="AA55" s="96">
        <v>43666</v>
      </c>
      <c r="AB55" s="377" t="s">
        <v>228</v>
      </c>
      <c r="AC55" s="378"/>
      <c r="AD55" s="100"/>
      <c r="AE55" s="96">
        <v>43682</v>
      </c>
      <c r="AF55" s="377" t="s">
        <v>261</v>
      </c>
      <c r="AG55" s="378"/>
      <c r="AH55" s="100">
        <v>10</v>
      </c>
      <c r="AI55" s="96">
        <v>43711</v>
      </c>
      <c r="AJ55" s="377" t="s">
        <v>261</v>
      </c>
      <c r="AK55" s="378"/>
      <c r="AL55" s="100" t="s">
        <v>718</v>
      </c>
      <c r="AM55" s="96">
        <v>43740</v>
      </c>
      <c r="AN55" s="388" t="s">
        <v>151</v>
      </c>
      <c r="AO55" s="389"/>
      <c r="AP55" s="100">
        <v>10</v>
      </c>
      <c r="AQ55" s="96">
        <v>43798</v>
      </c>
      <c r="AR55" s="377" t="s">
        <v>151</v>
      </c>
      <c r="AS55" s="378"/>
      <c r="AT55" s="100">
        <v>10</v>
      </c>
      <c r="AU55" s="96"/>
      <c r="AV55" s="377"/>
      <c r="AW55" s="378"/>
      <c r="AX55" s="100"/>
    </row>
    <row r="56" spans="1:62">
      <c r="B56" s="119"/>
      <c r="C56" s="96">
        <v>43472</v>
      </c>
      <c r="D56" s="377" t="s">
        <v>149</v>
      </c>
      <c r="E56" s="378"/>
      <c r="F56" s="98">
        <v>15</v>
      </c>
      <c r="G56" s="96">
        <v>43507</v>
      </c>
      <c r="H56" s="377" t="s">
        <v>261</v>
      </c>
      <c r="I56" s="378"/>
      <c r="J56" s="100">
        <v>10</v>
      </c>
      <c r="K56" s="96">
        <v>43529</v>
      </c>
      <c r="L56" s="377" t="s">
        <v>263</v>
      </c>
      <c r="M56" s="378"/>
      <c r="N56" s="100">
        <v>3362.6</v>
      </c>
      <c r="O56" s="96">
        <v>43576</v>
      </c>
      <c r="P56" s="386" t="s">
        <v>228</v>
      </c>
      <c r="Q56" s="387"/>
      <c r="R56" s="102"/>
      <c r="S56" s="96">
        <v>43615</v>
      </c>
      <c r="T56" s="377" t="s">
        <v>228</v>
      </c>
      <c r="U56" s="378"/>
      <c r="V56" s="100"/>
      <c r="W56" s="96"/>
      <c r="X56" s="377"/>
      <c r="Y56" s="378"/>
      <c r="Z56" s="100"/>
      <c r="AA56" s="96"/>
      <c r="AB56" s="377"/>
      <c r="AC56" s="378"/>
      <c r="AD56" s="100"/>
      <c r="AE56" s="96">
        <v>43703</v>
      </c>
      <c r="AF56" s="377" t="s">
        <v>149</v>
      </c>
      <c r="AG56" s="378"/>
      <c r="AH56" s="100">
        <v>10</v>
      </c>
      <c r="AI56" s="96">
        <v>43498</v>
      </c>
      <c r="AJ56" s="388" t="s">
        <v>228</v>
      </c>
      <c r="AK56" s="389"/>
      <c r="AL56" s="100"/>
      <c r="AM56" s="96">
        <v>43769</v>
      </c>
      <c r="AN56" s="388" t="s">
        <v>151</v>
      </c>
      <c r="AO56" s="389"/>
      <c r="AP56" s="100" t="s">
        <v>718</v>
      </c>
      <c r="AQ56" s="96">
        <v>43791</v>
      </c>
      <c r="AR56" s="377" t="s">
        <v>872</v>
      </c>
      <c r="AS56" s="378"/>
      <c r="AT56" s="100">
        <v>10</v>
      </c>
      <c r="AU56" s="96"/>
      <c r="AV56" s="377"/>
      <c r="AW56" s="378"/>
      <c r="AX56" s="100"/>
    </row>
    <row r="57" spans="1:62">
      <c r="C57" s="96">
        <v>43476</v>
      </c>
      <c r="D57" s="377" t="s">
        <v>151</v>
      </c>
      <c r="E57" s="378"/>
      <c r="F57" s="98">
        <v>10</v>
      </c>
      <c r="G57" s="96">
        <v>43516</v>
      </c>
      <c r="H57" s="377" t="s">
        <v>290</v>
      </c>
      <c r="I57" s="378"/>
      <c r="J57" s="100"/>
      <c r="K57" s="96">
        <v>43533</v>
      </c>
      <c r="L57" s="377" t="s">
        <v>228</v>
      </c>
      <c r="M57" s="378"/>
      <c r="N57" s="100"/>
      <c r="O57" s="96">
        <v>43578</v>
      </c>
      <c r="P57" s="381" t="s">
        <v>327</v>
      </c>
      <c r="Q57" s="382"/>
      <c r="R57" s="100">
        <v>10</v>
      </c>
      <c r="S57" s="96"/>
      <c r="T57" s="377"/>
      <c r="U57" s="378"/>
      <c r="V57" s="100"/>
      <c r="W57" s="96"/>
      <c r="X57" s="377"/>
      <c r="Y57" s="378"/>
      <c r="Z57" s="100"/>
      <c r="AA57" s="96"/>
      <c r="AB57" s="394"/>
      <c r="AC57" s="395"/>
      <c r="AD57" s="100"/>
      <c r="AE57" s="96"/>
      <c r="AF57" s="377"/>
      <c r="AG57" s="378"/>
      <c r="AH57" s="100"/>
      <c r="AI57" s="96">
        <v>43733</v>
      </c>
      <c r="AJ57" s="388" t="s">
        <v>149</v>
      </c>
      <c r="AK57" s="389"/>
      <c r="AL57" s="100">
        <v>10</v>
      </c>
      <c r="AM57" s="96">
        <v>43762</v>
      </c>
      <c r="AN57" s="388" t="s">
        <v>149</v>
      </c>
      <c r="AO57" s="389"/>
      <c r="AP57" s="100" t="s">
        <v>718</v>
      </c>
      <c r="AQ57" s="96"/>
      <c r="AR57" s="377"/>
      <c r="AS57" s="378"/>
      <c r="AT57" s="100"/>
      <c r="AU57" s="96"/>
      <c r="AV57" s="377"/>
      <c r="AW57" s="378"/>
      <c r="AX57" s="100"/>
    </row>
    <row r="58" spans="1:62">
      <c r="C58" s="96">
        <v>43478</v>
      </c>
      <c r="D58" s="377" t="s">
        <v>232</v>
      </c>
      <c r="E58" s="378"/>
      <c r="F58" s="98"/>
      <c r="G58" s="96"/>
      <c r="H58" s="377"/>
      <c r="I58" s="378"/>
      <c r="J58" s="100"/>
      <c r="K58" s="96">
        <v>43536</v>
      </c>
      <c r="L58" s="377" t="s">
        <v>232</v>
      </c>
      <c r="M58" s="378"/>
      <c r="N58" s="100"/>
      <c r="O58" s="96"/>
      <c r="P58" s="377"/>
      <c r="Q58" s="378"/>
      <c r="R58" s="100"/>
      <c r="S58" s="96"/>
      <c r="T58" s="377"/>
      <c r="U58" s="378"/>
      <c r="V58" s="100"/>
      <c r="W58" s="96"/>
      <c r="X58" s="377"/>
      <c r="Y58" s="378"/>
      <c r="Z58" s="100"/>
      <c r="AA58" s="96"/>
      <c r="AB58" s="394"/>
      <c r="AC58" s="395"/>
      <c r="AD58" s="100"/>
      <c r="AE58" s="96"/>
      <c r="AF58" s="377"/>
      <c r="AG58" s="378"/>
      <c r="AH58" s="100"/>
      <c r="AI58" s="96"/>
      <c r="AJ58" s="390"/>
      <c r="AK58" s="391"/>
      <c r="AL58" s="100"/>
      <c r="AM58" s="96">
        <v>43749</v>
      </c>
      <c r="AN58" s="388" t="s">
        <v>228</v>
      </c>
      <c r="AO58" s="389"/>
      <c r="AP58" s="100"/>
      <c r="AQ58" s="96"/>
      <c r="AR58" s="377"/>
      <c r="AS58" s="378"/>
      <c r="AT58" s="100"/>
      <c r="AU58" s="96"/>
      <c r="AV58" s="377"/>
      <c r="AW58" s="378"/>
      <c r="AX58" s="100"/>
    </row>
    <row r="59" spans="1:62">
      <c r="C59" s="96">
        <v>43481</v>
      </c>
      <c r="D59" s="377" t="s">
        <v>238</v>
      </c>
      <c r="E59" s="378"/>
      <c r="F59" s="98">
        <v>50</v>
      </c>
      <c r="G59" s="96"/>
      <c r="H59" s="377"/>
      <c r="I59" s="378"/>
      <c r="J59" s="100"/>
      <c r="K59" s="96"/>
      <c r="L59" s="377" t="s">
        <v>323</v>
      </c>
      <c r="M59" s="378"/>
      <c r="N59" s="100">
        <f>3.1+10.5</f>
        <v>13.6</v>
      </c>
      <c r="O59" s="96"/>
      <c r="P59" s="377"/>
      <c r="Q59" s="378"/>
      <c r="R59" s="100"/>
      <c r="S59" s="96"/>
      <c r="T59" s="388"/>
      <c r="U59" s="389"/>
      <c r="V59" s="100"/>
      <c r="W59" s="96"/>
      <c r="X59" s="388"/>
      <c r="Y59" s="389"/>
      <c r="Z59" s="100"/>
      <c r="AA59" s="96"/>
      <c r="AB59" s="388"/>
      <c r="AC59" s="389"/>
      <c r="AD59" s="100"/>
      <c r="AE59" s="96"/>
      <c r="AF59" s="377"/>
      <c r="AG59" s="378"/>
      <c r="AH59" s="100"/>
      <c r="AI59" s="96"/>
      <c r="AJ59" s="390"/>
      <c r="AK59" s="391"/>
      <c r="AL59" s="100"/>
      <c r="AM59" s="96"/>
      <c r="AN59" s="398" t="s">
        <v>814</v>
      </c>
      <c r="AO59" s="399"/>
      <c r="AP59" s="100">
        <v>3352.93</v>
      </c>
      <c r="AQ59" s="96"/>
      <c r="AR59" s="377"/>
      <c r="AS59" s="378"/>
      <c r="AT59" s="100"/>
      <c r="AU59" s="96"/>
      <c r="AV59" s="377"/>
      <c r="AW59" s="378"/>
      <c r="AX59" s="100"/>
    </row>
    <row r="60" spans="1:62">
      <c r="C60" s="96">
        <v>43488</v>
      </c>
      <c r="D60" s="377" t="s">
        <v>241</v>
      </c>
      <c r="E60" s="378"/>
      <c r="F60" s="98"/>
      <c r="G60" s="96"/>
      <c r="H60" s="377"/>
      <c r="I60" s="378"/>
      <c r="J60" s="100"/>
      <c r="K60" s="235">
        <v>43549</v>
      </c>
      <c r="L60" s="381" t="s">
        <v>327</v>
      </c>
      <c r="M60" s="382"/>
      <c r="N60" s="236">
        <v>15</v>
      </c>
      <c r="O60" s="96"/>
      <c r="P60" s="377"/>
      <c r="Q60" s="378"/>
      <c r="R60" s="100"/>
      <c r="S60" s="96"/>
      <c r="T60" s="388"/>
      <c r="U60" s="389"/>
      <c r="V60" s="100"/>
      <c r="W60" s="96"/>
      <c r="X60" s="390"/>
      <c r="Y60" s="391"/>
      <c r="Z60" s="100"/>
      <c r="AA60" s="96"/>
      <c r="AB60" s="390"/>
      <c r="AC60" s="391"/>
      <c r="AD60" s="100"/>
      <c r="AE60" s="96"/>
      <c r="AF60" s="388"/>
      <c r="AG60" s="389"/>
      <c r="AH60" s="100"/>
      <c r="AI60" s="96"/>
      <c r="AJ60" s="390"/>
      <c r="AK60" s="391"/>
      <c r="AL60" s="100"/>
      <c r="AM60" s="96"/>
      <c r="AN60" s="390"/>
      <c r="AO60" s="391"/>
      <c r="AP60" s="100"/>
      <c r="AQ60" s="96"/>
      <c r="AR60" s="377"/>
      <c r="AS60" s="378"/>
      <c r="AT60" s="100"/>
      <c r="AU60" s="96"/>
      <c r="AV60" s="377"/>
      <c r="AW60" s="378"/>
      <c r="AX60" s="100"/>
    </row>
    <row r="61" spans="1:62">
      <c r="C61" s="96">
        <v>43490</v>
      </c>
      <c r="D61" s="377" t="s">
        <v>242</v>
      </c>
      <c r="E61" s="378"/>
      <c r="F61" s="98">
        <v>40</v>
      </c>
      <c r="G61" s="96"/>
      <c r="H61" s="377"/>
      <c r="I61" s="378"/>
      <c r="J61" s="100"/>
      <c r="K61" s="96"/>
      <c r="L61" s="383"/>
      <c r="M61" s="378"/>
      <c r="N61" s="100"/>
      <c r="O61" s="96"/>
      <c r="P61" s="377"/>
      <c r="Q61" s="378"/>
      <c r="R61" s="100"/>
      <c r="S61" s="96"/>
      <c r="T61" s="388"/>
      <c r="U61" s="389"/>
      <c r="V61" s="100"/>
      <c r="W61" s="96"/>
      <c r="X61" s="390"/>
      <c r="Y61" s="391"/>
      <c r="Z61" s="100"/>
      <c r="AA61" s="96"/>
      <c r="AB61" s="390"/>
      <c r="AC61" s="391"/>
      <c r="AD61" s="100"/>
      <c r="AE61" s="96"/>
      <c r="AF61" s="390"/>
      <c r="AG61" s="391"/>
      <c r="AH61" s="100"/>
      <c r="AI61" s="96"/>
      <c r="AJ61" s="390"/>
      <c r="AK61" s="391"/>
      <c r="AL61" s="100"/>
      <c r="AM61" s="96"/>
      <c r="AN61" s="390"/>
      <c r="AO61" s="391"/>
      <c r="AP61" s="100"/>
      <c r="AQ61" s="96"/>
      <c r="AR61" s="377"/>
      <c r="AS61" s="378"/>
      <c r="AT61" s="100"/>
      <c r="AU61" s="96"/>
      <c r="AV61" s="377"/>
      <c r="AW61" s="378"/>
      <c r="AX61" s="100"/>
    </row>
    <row r="62" spans="1:62">
      <c r="C62" s="96"/>
      <c r="D62" s="377"/>
      <c r="E62" s="378"/>
      <c r="F62" s="98"/>
      <c r="G62" s="96"/>
      <c r="H62" s="377"/>
      <c r="I62" s="378"/>
      <c r="J62" s="100"/>
      <c r="K62" s="96"/>
      <c r="L62" s="377"/>
      <c r="M62" s="378"/>
      <c r="N62" s="100"/>
      <c r="O62" s="96"/>
      <c r="P62" s="377"/>
      <c r="Q62" s="378"/>
      <c r="R62" s="100"/>
      <c r="S62" s="96"/>
      <c r="T62" s="388"/>
      <c r="U62" s="389"/>
      <c r="V62" s="100"/>
      <c r="W62" s="96"/>
      <c r="X62" s="390"/>
      <c r="Y62" s="391"/>
      <c r="Z62" s="100"/>
      <c r="AA62" s="96"/>
      <c r="AB62" s="390"/>
      <c r="AC62" s="391"/>
      <c r="AD62" s="100"/>
      <c r="AE62" s="96"/>
      <c r="AF62" s="390"/>
      <c r="AG62" s="391"/>
      <c r="AH62" s="100"/>
      <c r="AI62" s="96"/>
      <c r="AJ62" s="390"/>
      <c r="AK62" s="391"/>
      <c r="AL62" s="100"/>
      <c r="AM62" s="96"/>
      <c r="AN62" s="390"/>
      <c r="AO62" s="391"/>
      <c r="AP62" s="100"/>
      <c r="AQ62" s="96"/>
      <c r="AR62" s="377"/>
      <c r="AS62" s="378"/>
      <c r="AT62" s="100"/>
      <c r="AU62" s="96"/>
      <c r="AV62" s="377"/>
      <c r="AW62" s="378"/>
      <c r="AX62" s="100"/>
    </row>
    <row r="63" spans="1:62">
      <c r="C63" s="96"/>
      <c r="D63" s="377"/>
      <c r="E63" s="378"/>
      <c r="F63" s="98"/>
      <c r="G63" s="96"/>
      <c r="H63" s="377"/>
      <c r="I63" s="378"/>
      <c r="J63" s="100"/>
      <c r="K63" s="96"/>
      <c r="L63" s="377"/>
      <c r="M63" s="378"/>
      <c r="N63" s="100"/>
      <c r="O63" s="96"/>
      <c r="P63" s="377"/>
      <c r="Q63" s="378"/>
      <c r="R63" s="100"/>
      <c r="S63" s="96"/>
      <c r="T63" s="388"/>
      <c r="U63" s="389"/>
      <c r="V63" s="100"/>
      <c r="W63" s="96"/>
      <c r="X63" s="390"/>
      <c r="Y63" s="391"/>
      <c r="Z63" s="100"/>
      <c r="AA63" s="96"/>
      <c r="AB63" s="390"/>
      <c r="AC63" s="391"/>
      <c r="AD63" s="100"/>
      <c r="AE63" s="96"/>
      <c r="AF63" s="390"/>
      <c r="AG63" s="391"/>
      <c r="AH63" s="100"/>
      <c r="AI63" s="96"/>
      <c r="AJ63" s="390"/>
      <c r="AK63" s="391"/>
      <c r="AL63" s="100"/>
      <c r="AM63" s="96"/>
      <c r="AN63" s="390"/>
      <c r="AO63" s="391"/>
      <c r="AP63" s="100"/>
      <c r="AQ63" s="96"/>
      <c r="AR63" s="377"/>
      <c r="AS63" s="378"/>
      <c r="AT63" s="100"/>
      <c r="AU63" s="96"/>
      <c r="AV63" s="377"/>
      <c r="AW63" s="378"/>
      <c r="AX63" s="100"/>
    </row>
    <row r="64" spans="1:62">
      <c r="C64" s="96"/>
      <c r="D64" s="377"/>
      <c r="E64" s="378"/>
      <c r="F64" s="98"/>
      <c r="G64" s="96"/>
      <c r="H64" s="377"/>
      <c r="I64" s="378"/>
      <c r="J64" s="100"/>
      <c r="K64" s="96"/>
      <c r="L64" s="377"/>
      <c r="M64" s="378"/>
      <c r="N64" s="100"/>
      <c r="O64" s="96"/>
      <c r="P64" s="377"/>
      <c r="Q64" s="378"/>
      <c r="R64" s="100"/>
      <c r="S64" s="96"/>
      <c r="T64" s="388"/>
      <c r="U64" s="389"/>
      <c r="V64" s="100"/>
      <c r="W64" s="96"/>
      <c r="X64" s="390"/>
      <c r="Y64" s="391"/>
      <c r="Z64" s="100"/>
      <c r="AA64" s="96"/>
      <c r="AB64" s="390"/>
      <c r="AC64" s="391"/>
      <c r="AD64" s="100"/>
      <c r="AE64" s="96"/>
      <c r="AF64" s="390"/>
      <c r="AG64" s="391"/>
      <c r="AH64" s="100"/>
      <c r="AI64" s="96"/>
      <c r="AJ64" s="390"/>
      <c r="AK64" s="391"/>
      <c r="AL64" s="100"/>
      <c r="AM64" s="96"/>
      <c r="AN64" s="390"/>
      <c r="AO64" s="391"/>
      <c r="AP64" s="100"/>
      <c r="AQ64" s="96"/>
      <c r="AR64" s="377"/>
      <c r="AS64" s="378"/>
      <c r="AT64" s="100"/>
      <c r="AU64" s="96"/>
      <c r="AV64" s="377"/>
      <c r="AW64" s="378"/>
      <c r="AX64" s="100"/>
    </row>
    <row r="65" spans="1:50">
      <c r="C65" s="96"/>
      <c r="D65" s="377"/>
      <c r="E65" s="378"/>
      <c r="F65" s="98"/>
      <c r="G65" s="96"/>
      <c r="H65" s="377"/>
      <c r="I65" s="378"/>
      <c r="J65" s="100"/>
      <c r="K65" s="96"/>
      <c r="L65" s="377"/>
      <c r="M65" s="378"/>
      <c r="N65" s="100"/>
      <c r="O65" s="96"/>
      <c r="P65" s="377"/>
      <c r="Q65" s="378"/>
      <c r="R65" s="100"/>
      <c r="S65" s="96"/>
      <c r="T65" s="388"/>
      <c r="U65" s="389"/>
      <c r="V65" s="100"/>
      <c r="W65" s="96"/>
      <c r="X65" s="390"/>
      <c r="Y65" s="391"/>
      <c r="Z65" s="100"/>
      <c r="AA65" s="96"/>
      <c r="AB65" s="390"/>
      <c r="AC65" s="391"/>
      <c r="AD65" s="100"/>
      <c r="AE65" s="96"/>
      <c r="AF65" s="390"/>
      <c r="AG65" s="391"/>
      <c r="AH65" s="100"/>
      <c r="AI65" s="96"/>
      <c r="AJ65" s="390"/>
      <c r="AK65" s="391"/>
      <c r="AL65" s="100"/>
      <c r="AM65" s="96"/>
      <c r="AN65" s="390"/>
      <c r="AO65" s="391"/>
      <c r="AP65" s="100"/>
      <c r="AQ65" s="96"/>
      <c r="AR65" s="377"/>
      <c r="AS65" s="378"/>
      <c r="AT65" s="100"/>
      <c r="AU65" s="96"/>
      <c r="AV65" s="377"/>
      <c r="AW65" s="378"/>
      <c r="AX65" s="100"/>
    </row>
    <row r="66" spans="1:50">
      <c r="C66" s="96"/>
      <c r="D66" s="377"/>
      <c r="E66" s="378"/>
      <c r="F66" s="98"/>
      <c r="G66" s="96"/>
      <c r="H66" s="377"/>
      <c r="I66" s="378"/>
      <c r="J66" s="100"/>
      <c r="K66" s="96"/>
      <c r="L66" s="377"/>
      <c r="M66" s="378"/>
      <c r="N66" s="100"/>
      <c r="O66" s="96"/>
      <c r="P66" s="377"/>
      <c r="Q66" s="378"/>
      <c r="R66" s="100"/>
      <c r="S66" s="96"/>
      <c r="T66" s="390"/>
      <c r="U66" s="391"/>
      <c r="V66" s="100"/>
      <c r="W66" s="96"/>
      <c r="X66" s="390"/>
      <c r="Y66" s="391"/>
      <c r="Z66" s="100"/>
      <c r="AA66" s="96"/>
      <c r="AB66" s="390"/>
      <c r="AC66" s="391"/>
      <c r="AD66" s="100"/>
      <c r="AE66" s="96"/>
      <c r="AF66" s="390"/>
      <c r="AG66" s="391"/>
      <c r="AH66" s="100"/>
      <c r="AI66" s="96"/>
      <c r="AJ66" s="390"/>
      <c r="AK66" s="391"/>
      <c r="AL66" s="100"/>
      <c r="AM66" s="96"/>
      <c r="AN66" s="390"/>
      <c r="AO66" s="391"/>
      <c r="AP66" s="100"/>
      <c r="AQ66" s="96"/>
      <c r="AR66" s="377"/>
      <c r="AS66" s="378"/>
      <c r="AT66" s="100"/>
      <c r="AU66" s="96"/>
      <c r="AV66" s="377"/>
      <c r="AW66" s="378"/>
      <c r="AX66" s="100"/>
    </row>
    <row r="67" spans="1:50">
      <c r="C67" s="96"/>
      <c r="D67" s="377"/>
      <c r="E67" s="378"/>
      <c r="F67" s="98"/>
      <c r="G67" s="96"/>
      <c r="H67" s="377"/>
      <c r="I67" s="378"/>
      <c r="J67" s="100"/>
      <c r="K67" s="96"/>
      <c r="L67" s="377"/>
      <c r="M67" s="378"/>
      <c r="N67" s="100"/>
      <c r="O67" s="96"/>
      <c r="P67" s="377"/>
      <c r="Q67" s="378"/>
      <c r="R67" s="100"/>
      <c r="S67" s="96"/>
      <c r="T67" s="390"/>
      <c r="U67" s="391"/>
      <c r="V67" s="100"/>
      <c r="W67" s="96"/>
      <c r="X67" s="390"/>
      <c r="Y67" s="391"/>
      <c r="Z67" s="100"/>
      <c r="AA67" s="96"/>
      <c r="AB67" s="390"/>
      <c r="AC67" s="391"/>
      <c r="AD67" s="100"/>
      <c r="AE67" s="96"/>
      <c r="AF67" s="390"/>
      <c r="AG67" s="391"/>
      <c r="AH67" s="100"/>
      <c r="AI67" s="96"/>
      <c r="AJ67" s="390"/>
      <c r="AK67" s="391"/>
      <c r="AL67" s="100"/>
      <c r="AM67" s="96"/>
      <c r="AN67" s="390"/>
      <c r="AO67" s="391"/>
      <c r="AP67" s="100"/>
      <c r="AQ67" s="96"/>
      <c r="AR67" s="377"/>
      <c r="AS67" s="378"/>
      <c r="AT67" s="100"/>
      <c r="AU67" s="96"/>
      <c r="AV67" s="377"/>
      <c r="AW67" s="378"/>
      <c r="AX67" s="100"/>
    </row>
    <row r="68" spans="1:50">
      <c r="C68" s="96"/>
      <c r="D68" s="377"/>
      <c r="E68" s="378"/>
      <c r="F68" s="98"/>
      <c r="G68" s="96"/>
      <c r="H68" s="377"/>
      <c r="I68" s="378"/>
      <c r="J68" s="100"/>
      <c r="K68" s="96"/>
      <c r="L68" s="377"/>
      <c r="M68" s="378"/>
      <c r="N68" s="100"/>
      <c r="O68" s="96"/>
      <c r="P68" s="377"/>
      <c r="Q68" s="378"/>
      <c r="R68" s="100"/>
      <c r="S68" s="96"/>
      <c r="T68" s="390"/>
      <c r="U68" s="391"/>
      <c r="V68" s="100"/>
      <c r="W68" s="96"/>
      <c r="X68" s="390"/>
      <c r="Y68" s="391"/>
      <c r="Z68" s="100"/>
      <c r="AA68" s="96"/>
      <c r="AB68" s="390"/>
      <c r="AC68" s="391"/>
      <c r="AD68" s="100"/>
      <c r="AE68" s="96"/>
      <c r="AF68" s="390"/>
      <c r="AG68" s="391"/>
      <c r="AH68" s="100"/>
      <c r="AI68" s="96"/>
      <c r="AJ68" s="390"/>
      <c r="AK68" s="391"/>
      <c r="AL68" s="100"/>
      <c r="AM68" s="96"/>
      <c r="AN68" s="390"/>
      <c r="AO68" s="391"/>
      <c r="AP68" s="100"/>
      <c r="AQ68" s="96"/>
      <c r="AR68" s="377"/>
      <c r="AS68" s="378"/>
      <c r="AT68" s="100"/>
      <c r="AU68" s="96"/>
      <c r="AV68" s="377"/>
      <c r="AW68" s="378"/>
      <c r="AX68" s="100"/>
    </row>
    <row r="69" spans="1:50">
      <c r="C69" s="96"/>
      <c r="D69" s="377"/>
      <c r="E69" s="378"/>
      <c r="F69" s="98"/>
      <c r="G69" s="96"/>
      <c r="H69" s="377"/>
      <c r="I69" s="378"/>
      <c r="J69" s="100"/>
      <c r="K69" s="96"/>
      <c r="L69" s="377"/>
      <c r="M69" s="378"/>
      <c r="N69" s="100"/>
      <c r="O69" s="96"/>
      <c r="P69" s="377"/>
      <c r="Q69" s="378"/>
      <c r="R69" s="100"/>
      <c r="S69" s="96"/>
      <c r="T69" s="390"/>
      <c r="U69" s="391"/>
      <c r="V69" s="100"/>
      <c r="W69" s="96"/>
      <c r="X69" s="390"/>
      <c r="Y69" s="391"/>
      <c r="Z69" s="100"/>
      <c r="AA69" s="96"/>
      <c r="AB69" s="390"/>
      <c r="AC69" s="391"/>
      <c r="AD69" s="100"/>
      <c r="AE69" s="96"/>
      <c r="AF69" s="390"/>
      <c r="AG69" s="391"/>
      <c r="AH69" s="100"/>
      <c r="AI69" s="96"/>
      <c r="AJ69" s="390"/>
      <c r="AK69" s="391"/>
      <c r="AL69" s="100"/>
      <c r="AM69" s="96"/>
      <c r="AN69" s="390"/>
      <c r="AO69" s="391"/>
      <c r="AP69" s="100"/>
      <c r="AQ69" s="96"/>
      <c r="AR69" s="377"/>
      <c r="AS69" s="378"/>
      <c r="AT69" s="100"/>
      <c r="AU69" s="96"/>
      <c r="AV69" s="377"/>
      <c r="AW69" s="378"/>
      <c r="AX69" s="100"/>
    </row>
    <row r="70" spans="1:50">
      <c r="C70" s="96"/>
      <c r="D70" s="377"/>
      <c r="E70" s="378"/>
      <c r="F70" s="98"/>
      <c r="G70" s="96"/>
      <c r="H70" s="377"/>
      <c r="I70" s="378"/>
      <c r="J70" s="100"/>
      <c r="K70" s="96"/>
      <c r="L70" s="377"/>
      <c r="M70" s="378"/>
      <c r="N70" s="100"/>
      <c r="O70" s="96"/>
      <c r="P70" s="377"/>
      <c r="Q70" s="378"/>
      <c r="R70" s="100"/>
      <c r="S70" s="96"/>
      <c r="T70" s="377" t="s">
        <v>503</v>
      </c>
      <c r="U70" s="378"/>
      <c r="V70" s="100">
        <v>3742.92</v>
      </c>
      <c r="W70" s="96"/>
      <c r="X70" s="377" t="s">
        <v>501</v>
      </c>
      <c r="Y70" s="378"/>
      <c r="Z70" s="100">
        <f>3289.11+270.87</f>
        <v>3559.98</v>
      </c>
      <c r="AA70" s="96"/>
      <c r="AB70" s="390"/>
      <c r="AC70" s="391"/>
      <c r="AD70" s="100"/>
      <c r="AE70" s="96"/>
      <c r="AF70" s="390"/>
      <c r="AG70" s="391"/>
      <c r="AH70" s="100"/>
      <c r="AI70" s="96"/>
      <c r="AJ70" s="390"/>
      <c r="AK70" s="391"/>
      <c r="AL70" s="100"/>
      <c r="AM70" s="96"/>
      <c r="AN70" s="390"/>
      <c r="AO70" s="391"/>
      <c r="AP70" s="100"/>
      <c r="AQ70" s="96"/>
      <c r="AR70" s="377"/>
      <c r="AS70" s="378"/>
      <c r="AT70" s="100"/>
      <c r="AU70" s="96"/>
      <c r="AV70" s="377"/>
      <c r="AW70" s="378"/>
      <c r="AX70" s="100"/>
    </row>
    <row r="71" spans="1:50" ht="15.75" thickBot="1">
      <c r="C71" s="97"/>
      <c r="D71" s="375"/>
      <c r="E71" s="376"/>
      <c r="F71" s="99"/>
      <c r="G71" s="97"/>
      <c r="H71" s="375"/>
      <c r="I71" s="376"/>
      <c r="J71" s="101"/>
      <c r="K71" s="97"/>
      <c r="L71" s="375"/>
      <c r="M71" s="376"/>
      <c r="N71" s="101"/>
      <c r="O71" s="97"/>
      <c r="P71" s="375"/>
      <c r="Q71" s="376"/>
      <c r="R71" s="101"/>
      <c r="S71" s="97"/>
      <c r="T71" s="392" t="s">
        <v>504</v>
      </c>
      <c r="U71" s="393"/>
      <c r="V71" s="101">
        <v>1872.17</v>
      </c>
      <c r="W71" s="97"/>
      <c r="X71" s="392" t="s">
        <v>502</v>
      </c>
      <c r="Y71" s="393"/>
      <c r="Z71" s="101">
        <f>Z70-1484.91-429.89</f>
        <v>1645.1799999999998</v>
      </c>
      <c r="AA71" s="97"/>
      <c r="AB71" s="396"/>
      <c r="AC71" s="397"/>
      <c r="AD71" s="101"/>
      <c r="AE71" s="97"/>
      <c r="AF71" s="396"/>
      <c r="AG71" s="397"/>
      <c r="AH71" s="101"/>
      <c r="AI71" s="97"/>
      <c r="AJ71" s="396"/>
      <c r="AK71" s="397"/>
      <c r="AL71" s="101"/>
      <c r="AM71" s="97"/>
      <c r="AN71" s="396"/>
      <c r="AO71" s="397"/>
      <c r="AP71" s="101"/>
      <c r="AQ71" s="97"/>
      <c r="AR71" s="375"/>
      <c r="AS71" s="376"/>
      <c r="AT71" s="101"/>
      <c r="AU71" s="97"/>
      <c r="AV71" s="375"/>
      <c r="AW71" s="376"/>
      <c r="AX71" s="101"/>
    </row>
    <row r="72" spans="1:50">
      <c r="F72">
        <f>8-6.91</f>
        <v>1.0899999999999999</v>
      </c>
      <c r="V72">
        <f>V71/V70</f>
        <v>0.50018969147083026</v>
      </c>
      <c r="Z72">
        <f>Z71/Z70</f>
        <v>0.46213180972926809</v>
      </c>
    </row>
    <row r="73" spans="1:50">
      <c r="D73">
        <v>71</v>
      </c>
      <c r="F73">
        <f>F72*20</f>
        <v>21.799999999999997</v>
      </c>
      <c r="L73" s="119"/>
    </row>
    <row r="74" spans="1:50">
      <c r="A74" t="s">
        <v>233</v>
      </c>
      <c r="C74">
        <v>30</v>
      </c>
      <c r="D74">
        <f>100/C74</f>
        <v>3.3333333333333335</v>
      </c>
    </row>
    <row r="75" spans="1:50">
      <c r="A75" t="s">
        <v>234</v>
      </c>
      <c r="C75">
        <v>25</v>
      </c>
      <c r="D75">
        <f>C75*D74</f>
        <v>83.333333333333343</v>
      </c>
      <c r="Z75" s="111"/>
    </row>
    <row r="76" spans="1:50">
      <c r="D76">
        <f>D75-D73</f>
        <v>12.333333333333343</v>
      </c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3000000}"/>
    <hyperlink ref="S4:V4" location="'05'!I2:L19" display="ABRIL" xr:uid="{00000000-0004-0000-0000-000084000000}"/>
    <hyperlink ref="AA24" location="'07'!B82:G100" display="JULIO" xr:uid="{00000000-0004-0000-0000-000085000000}"/>
    <hyperlink ref="AA23" location="'07'!B62:G80" display="JULIO" xr:uid="{00000000-0004-0000-0000-000086000000}"/>
    <hyperlink ref="AA44" location="'07'!B482:G500" display="JULIO" xr:uid="{00000000-0004-0000-0000-000087000000}"/>
    <hyperlink ref="AA45" location="'07'!B502:G520" display="JULIO" xr:uid="{00000000-0004-0000-0000-000088000000}"/>
    <hyperlink ref="AA28" location="'07'!B162:G180" display="JULIO" xr:uid="{00000000-0004-0000-0000-000089000000}"/>
    <hyperlink ref="AA36" location="'07'!B322:G340" display="JULIO" xr:uid="{00000000-0004-0000-0000-00008A000000}"/>
    <hyperlink ref="AA42" location="'07'!B442:G460" display="JULIO" xr:uid="{00000000-0004-0000-0000-00008B000000}"/>
    <hyperlink ref="AA40" location="'07'!B402:G420" display="JULIO" xr:uid="{00000000-0004-0000-0000-00008C000000}"/>
    <hyperlink ref="AA38" location="'07'!B362:G380" display="JULIO" xr:uid="{00000000-0004-0000-0000-00008D000000}"/>
    <hyperlink ref="AA34" location="'07'!B282:G300" display="JULIO" xr:uid="{00000000-0004-0000-0000-00008E000000}"/>
    <hyperlink ref="AA32" location="'07'!B242:G260" display="JULIO" xr:uid="{00000000-0004-0000-0000-00008F000000}"/>
    <hyperlink ref="AA30" location="'07'!B202:G220" display="JULIO" xr:uid="{00000000-0004-0000-0000-000090000000}"/>
    <hyperlink ref="AA26" location="'07'!B122:G140" display="JULIO" xr:uid="{00000000-0004-0000-0000-000091000000}"/>
    <hyperlink ref="AA43" location="'07'!B462:G480" display="JULIO" xr:uid="{00000000-0004-0000-0000-000092000000}"/>
    <hyperlink ref="AA41" location="'07'!B422:G440" display="JULIO" xr:uid="{00000000-0004-0000-0000-000093000000}"/>
    <hyperlink ref="AA39" location="'07'!B382:G400" display="JULIO" xr:uid="{00000000-0004-0000-0000-000094000000}"/>
    <hyperlink ref="AA37" location="'07'!B342:G360" display="JULIO" xr:uid="{00000000-0004-0000-0000-000095000000}"/>
    <hyperlink ref="AA35" location="'07'!B302:G320" display="JULIO" xr:uid="{00000000-0004-0000-0000-000096000000}"/>
    <hyperlink ref="AA31" location="'07'!B222:G240" display="JULIO" xr:uid="{00000000-0004-0000-0000-000097000000}"/>
    <hyperlink ref="AA29" location="'07'!B182:G200" display="JULIO" xr:uid="{00000000-0004-0000-0000-000098000000}"/>
    <hyperlink ref="AA27" location="'07'!B142:G160" display="JULIO" xr:uid="{00000000-0004-0000-0000-000099000000}"/>
    <hyperlink ref="AA25" location="'07'!B102:G120" display="JULIO" xr:uid="{00000000-0004-0000-0000-00009A000000}"/>
    <hyperlink ref="AA20" location="'07'!B2:G20" display="JULIO" xr:uid="{00000000-0004-0000-0000-00009B000000}"/>
    <hyperlink ref="AA21" location="'07'!B22:G40" display="JULIO" xr:uid="{00000000-0004-0000-0000-00009C000000}"/>
    <hyperlink ref="AA22" location="'07'!B42:G60" display="JULIO" xr:uid="{00000000-0004-0000-0000-00009D000000}"/>
    <hyperlink ref="AA33" location="'07'!B262:G280" display="JULIO" xr:uid="{00000000-0004-0000-0000-00009E000000}"/>
    <hyperlink ref="AA4:AD4" location="'07'!I2:L19" display="JULIO" xr:uid="{00000000-0004-0000-0000-00009F000000}"/>
    <hyperlink ref="AE24" location="'08'!B82:G100" display="AGOSTO" xr:uid="{00000000-0004-0000-0000-0000A0000000}"/>
    <hyperlink ref="AE23" location="'08'!B62:G80" display="AGOSTO" xr:uid="{00000000-0004-0000-0000-0000A1000000}"/>
    <hyperlink ref="AE44" location="'08'!B482:G500" display="AGOSTO" xr:uid="{00000000-0004-0000-0000-0000A2000000}"/>
    <hyperlink ref="AE45" location="'08'!B502:G520" display="AGOSTO" xr:uid="{00000000-0004-0000-0000-0000A3000000}"/>
    <hyperlink ref="AE28" location="'08'!B162:G180" display="AGOSTO" xr:uid="{00000000-0004-0000-0000-0000A4000000}"/>
    <hyperlink ref="AE36" location="'08'!B322:G340" display="AGOSTO" xr:uid="{00000000-0004-0000-0000-0000A5000000}"/>
    <hyperlink ref="AE42" location="'08'!B442:G460" display="AGOSTO" xr:uid="{00000000-0004-0000-0000-0000A6000000}"/>
    <hyperlink ref="AE40" location="'08'!B402:G420" display="AGOSTO" xr:uid="{00000000-0004-0000-0000-0000A7000000}"/>
    <hyperlink ref="AE38" location="'08'!B362:G380" display="AGOSTO" xr:uid="{00000000-0004-0000-0000-0000A8000000}"/>
    <hyperlink ref="AE34" location="'08'!B282:G300" display="AGOSTO" xr:uid="{00000000-0004-0000-0000-0000A9000000}"/>
    <hyperlink ref="AE32" location="'08'!B242:G260" display="AGOSTO" xr:uid="{00000000-0004-0000-0000-0000AA000000}"/>
    <hyperlink ref="AE30" location="'08'!B202:G220" display="AGOSTO" xr:uid="{00000000-0004-0000-0000-0000AB000000}"/>
    <hyperlink ref="AE26" location="'08'!B122:G140" display="AGOSTO" xr:uid="{00000000-0004-0000-0000-0000AC000000}"/>
    <hyperlink ref="AE43" location="'08'!B462:G480" display="AGOSTO" xr:uid="{00000000-0004-0000-0000-0000AD000000}"/>
    <hyperlink ref="AE41" location="'08'!B422:G440" display="AGOSTO" xr:uid="{00000000-0004-0000-0000-0000AE000000}"/>
    <hyperlink ref="AE39" location="'08'!B382:G400" display="AGOSTO" xr:uid="{00000000-0004-0000-0000-0000AF000000}"/>
    <hyperlink ref="AE37" location="'08'!B342:G360" display="AGOSTO" xr:uid="{00000000-0004-0000-0000-0000B0000000}"/>
    <hyperlink ref="AE35" location="'08'!B302:G320" display="AGOSTO" xr:uid="{00000000-0004-0000-0000-0000B1000000}"/>
    <hyperlink ref="AE31" location="'08'!B222:G240" display="AGOSTO" xr:uid="{00000000-0004-0000-0000-0000B2000000}"/>
    <hyperlink ref="AE29" location="'08'!B182:G200" display="AGOSTO" xr:uid="{00000000-0004-0000-0000-0000B3000000}"/>
    <hyperlink ref="AE27" location="'08'!B142:G160" display="AGOSTO" xr:uid="{00000000-0004-0000-0000-0000B4000000}"/>
    <hyperlink ref="AE25" location="'08'!B102:G120" display="AGOSTO" xr:uid="{00000000-0004-0000-0000-0000B5000000}"/>
    <hyperlink ref="AE20" location="'08'!B2:G20" display="AGOSTO" xr:uid="{00000000-0004-0000-0000-0000B6000000}"/>
    <hyperlink ref="AE21" location="'08'!B22:G40" display="AGOSTO" xr:uid="{00000000-0004-0000-0000-0000B7000000}"/>
    <hyperlink ref="AE22" location="'08'!B42:G60" display="AGOSTO" xr:uid="{00000000-0004-0000-0000-0000B8000000}"/>
    <hyperlink ref="AE33" location="'08'!B262:G280" display="AGOSTO" xr:uid="{00000000-0004-0000-0000-0000B9000000}"/>
    <hyperlink ref="AE4:AH4" location="'08'!I2:L19" display="AGOSTO" xr:uid="{00000000-0004-0000-0000-0000BA000000}"/>
    <hyperlink ref="AI24" location="'09'!B82:G100" display="SEPT…" xr:uid="{00000000-0004-0000-0000-0000BB000000}"/>
    <hyperlink ref="AI23" location="'09'!B62:G80" display="SEPT…" xr:uid="{00000000-0004-0000-0000-0000BC000000}"/>
    <hyperlink ref="AI44" location="'09'!B482:G500" display="SEPT…" xr:uid="{00000000-0004-0000-0000-0000BD000000}"/>
    <hyperlink ref="AI45" location="'09'!B502:G520" display="SEPT…" xr:uid="{00000000-0004-0000-0000-0000BE000000}"/>
    <hyperlink ref="AI28" location="'09'!B162:G180" display="SEPT…" xr:uid="{00000000-0004-0000-0000-0000BF000000}"/>
    <hyperlink ref="AI36" location="'09'!B322:G340" display="SEPT…" xr:uid="{00000000-0004-0000-0000-0000C0000000}"/>
    <hyperlink ref="AI42" location="'09'!B442:G460" display="SEPT…" xr:uid="{00000000-0004-0000-0000-0000C1000000}"/>
    <hyperlink ref="AI40" location="'09'!B402:G420" display="SEPT…" xr:uid="{00000000-0004-0000-0000-0000C2000000}"/>
    <hyperlink ref="AI38" location="'09'!B362:G380" display="SEPT…" xr:uid="{00000000-0004-0000-0000-0000C3000000}"/>
    <hyperlink ref="AI34" location="'09'!B282:G300" display="SEPT…" xr:uid="{00000000-0004-0000-0000-0000C4000000}"/>
    <hyperlink ref="AI32" location="'09'!B242:G260" display="SEPT…" xr:uid="{00000000-0004-0000-0000-0000C5000000}"/>
    <hyperlink ref="AI30" location="'09'!B202:G220" display="SEPT…" xr:uid="{00000000-0004-0000-0000-0000C6000000}"/>
    <hyperlink ref="AI26" location="'09'!B122:G140" display="SEPT…" xr:uid="{00000000-0004-0000-0000-0000C7000000}"/>
    <hyperlink ref="AI43" location="'09'!B462:G480" display="SEPT…" xr:uid="{00000000-0004-0000-0000-0000C8000000}"/>
    <hyperlink ref="AI41" location="'09'!B422:G440" display="SEPT…" xr:uid="{00000000-0004-0000-0000-0000C9000000}"/>
    <hyperlink ref="AI39" location="'09'!B382:G400" display="SEPT…" xr:uid="{00000000-0004-0000-0000-0000CA000000}"/>
    <hyperlink ref="AI37" location="'09'!B342:G360" display="SEPT…" xr:uid="{00000000-0004-0000-0000-0000CB000000}"/>
    <hyperlink ref="AI35" location="'09'!B302:G320" display="SEPT…" xr:uid="{00000000-0004-0000-0000-0000CC000000}"/>
    <hyperlink ref="AI31" location="'09'!B222:G240" display="SEPT…" xr:uid="{00000000-0004-0000-0000-0000CD000000}"/>
    <hyperlink ref="AI29" location="'09'!B182:G200" display="SEPT…" xr:uid="{00000000-0004-0000-0000-0000CE000000}"/>
    <hyperlink ref="AI27" location="'09'!B142:G160" display="SEPT…" xr:uid="{00000000-0004-0000-0000-0000CF000000}"/>
    <hyperlink ref="AI25" location="'09'!B102:G120" display="SEPT…" xr:uid="{00000000-0004-0000-0000-0000D0000000}"/>
    <hyperlink ref="AI20" location="'09'!B2:G20" display="SEPT…" xr:uid="{00000000-0004-0000-0000-0000D1000000}"/>
    <hyperlink ref="AI21" location="'09'!B22:G40" display="SEPT…" xr:uid="{00000000-0004-0000-0000-0000D2000000}"/>
    <hyperlink ref="AI22" location="'09'!B42:G60" display="SEPT…" xr:uid="{00000000-0004-0000-0000-0000D3000000}"/>
    <hyperlink ref="AI33" location="'09'!B262:G280" display="SEPT…" xr:uid="{00000000-0004-0000-0000-0000D4000000}"/>
    <hyperlink ref="AI4:AL4" location="'09'!I2:L19" display="SEPTIEMBRE" xr:uid="{00000000-0004-0000-0000-0000D5000000}"/>
    <hyperlink ref="AM24" location="'10'!B82:G100" display="OCTUBRE" xr:uid="{00000000-0004-0000-0000-0000D6000000}"/>
    <hyperlink ref="AM23" location="'10'!B62:G80" display="OCTUBRE" xr:uid="{00000000-0004-0000-0000-0000D7000000}"/>
    <hyperlink ref="AM44" location="'10'!B482:G500" display="OCTUBRE" xr:uid="{00000000-0004-0000-0000-0000D8000000}"/>
    <hyperlink ref="AM45" location="'10'!B502:G520" display="OCTUBRE" xr:uid="{00000000-0004-0000-0000-0000D9000000}"/>
    <hyperlink ref="AM28" location="'10'!B162:G180" display="OCTUBRE" xr:uid="{00000000-0004-0000-0000-0000DA000000}"/>
    <hyperlink ref="AM36" location="'10'!B322:G340" display="OCTUBRE" xr:uid="{00000000-0004-0000-0000-0000DB000000}"/>
    <hyperlink ref="AM42" location="'10'!B442:G460" display="OCTUBRE" xr:uid="{00000000-0004-0000-0000-0000DC000000}"/>
    <hyperlink ref="AM40" location="'10'!B402:G420" display="OCTUBRE" xr:uid="{00000000-0004-0000-0000-0000DD000000}"/>
    <hyperlink ref="AM38" location="'10'!B362:G380" display="OCTUBRE" xr:uid="{00000000-0004-0000-0000-0000DE000000}"/>
    <hyperlink ref="AM34" location="'10'!B282:G300" display="OCTUBRE" xr:uid="{00000000-0004-0000-0000-0000DF000000}"/>
    <hyperlink ref="AM32" location="'10'!B242:G260" display="OCTUBRE" xr:uid="{00000000-0004-0000-0000-0000E0000000}"/>
    <hyperlink ref="AM30" location="'10'!B202:G220" display="OCTUBRE" xr:uid="{00000000-0004-0000-0000-0000E1000000}"/>
    <hyperlink ref="AM26" location="'10'!B122:G140" display="OCTUBRE" xr:uid="{00000000-0004-0000-0000-0000E2000000}"/>
    <hyperlink ref="AM43" location="'10'!B462:G480" display="OCTUBRE" xr:uid="{00000000-0004-0000-0000-0000E3000000}"/>
    <hyperlink ref="AM41" location="'10'!B422:G440" display="OCTUBRE" xr:uid="{00000000-0004-0000-0000-0000E4000000}"/>
    <hyperlink ref="AM39" location="'10'!B382:G400" display="OCTUBRE" xr:uid="{00000000-0004-0000-0000-0000E5000000}"/>
    <hyperlink ref="AM37" location="'10'!B342:G360" display="OCTUBRE" xr:uid="{00000000-0004-0000-0000-0000E6000000}"/>
    <hyperlink ref="AM35" location="'10'!B302:G320" display="OCTUBRE" xr:uid="{00000000-0004-0000-0000-0000E7000000}"/>
    <hyperlink ref="AM31" location="'10'!B222:G240" display="OCTUBRE" xr:uid="{00000000-0004-0000-0000-0000E8000000}"/>
    <hyperlink ref="AM29" location="'10'!B182:G200" display="OCTUBRE" xr:uid="{00000000-0004-0000-0000-0000E9000000}"/>
    <hyperlink ref="AM27" location="'10'!B142:G160" display="OCTUBRE" xr:uid="{00000000-0004-0000-0000-0000EA000000}"/>
    <hyperlink ref="AM25" location="'10'!B102:G120" display="OCTUBRE" xr:uid="{00000000-0004-0000-0000-0000EB000000}"/>
    <hyperlink ref="AM20" location="'10'!B2:G20" display="OCTUBRE" xr:uid="{00000000-0004-0000-0000-0000EC000000}"/>
    <hyperlink ref="AM21" location="'10'!B22:G40" display="OCTUBRE" xr:uid="{00000000-0004-0000-0000-0000ED000000}"/>
    <hyperlink ref="AM22" location="'10'!B42:G60" display="OCTUBRE" xr:uid="{00000000-0004-0000-0000-0000EE000000}"/>
    <hyperlink ref="AM33" location="'10'!B262:G280" display="OCTUBRE" xr:uid="{00000000-0004-0000-0000-0000EF000000}"/>
    <hyperlink ref="AM4:AP4" location="'10'!I2:L19" display="OCTUBRE" xr:uid="{00000000-0004-0000-0000-0000F0000000}"/>
    <hyperlink ref="AQ20" location="'11'!B2:G20" display="NOV…" xr:uid="{00000000-0004-0000-0000-0000F1000000}"/>
    <hyperlink ref="AQ4:AT4" location="'11'!I2:L19" display="NOVIEMBRE" xr:uid="{00000000-0004-0000-0000-0000F2000000}"/>
    <hyperlink ref="W24" location="'06'!B82:G100" display="JUNIO" xr:uid="{00000000-0004-0000-0000-0000F3000000}"/>
    <hyperlink ref="W23" location="'06'!B62:G80" display="JUNIO" xr:uid="{00000000-0004-0000-0000-0000F4000000}"/>
    <hyperlink ref="W44" location="'06'!B482:G500" display="JUNIO" xr:uid="{00000000-0004-0000-0000-0000F5000000}"/>
    <hyperlink ref="W45" location="'06'!B502:G520" display="JUNIO" xr:uid="{00000000-0004-0000-0000-0000F6000000}"/>
    <hyperlink ref="W28" location="'06'!B162:G180" display="JUNIO" xr:uid="{00000000-0004-0000-0000-0000F7000000}"/>
    <hyperlink ref="W36" location="'06'!B322:G340" display="JUNIO" xr:uid="{00000000-0004-0000-0000-0000F8000000}"/>
    <hyperlink ref="W42" location="'06'!B442:G460" display="JUNIO" xr:uid="{00000000-0004-0000-0000-0000F9000000}"/>
    <hyperlink ref="W40" location="'06'!B402:G420" display="JUNIO" xr:uid="{00000000-0004-0000-0000-0000FA000000}"/>
    <hyperlink ref="W38" location="'06'!B362:G380" display="JUNIO" xr:uid="{00000000-0004-0000-0000-0000FB000000}"/>
    <hyperlink ref="W34" location="'06'!B282:G300" display="JUNIO" xr:uid="{00000000-0004-0000-0000-0000FC000000}"/>
    <hyperlink ref="W32" location="'06'!B242:G260" display="JUNIO" xr:uid="{00000000-0004-0000-0000-0000FD000000}"/>
    <hyperlink ref="W30" location="'06'!B202:G220" display="JUNIO" xr:uid="{00000000-0004-0000-0000-0000FE000000}"/>
    <hyperlink ref="W26" location="'06'!B122:G140" display="JUNIO" xr:uid="{00000000-0004-0000-0000-0000FF000000}"/>
    <hyperlink ref="W43" location="'06'!B462:G480" display="JUNIO" xr:uid="{00000000-0004-0000-0000-000000010000}"/>
    <hyperlink ref="W41" location="'06'!B422:G440" display="JUNIO" xr:uid="{00000000-0004-0000-0000-000001010000}"/>
    <hyperlink ref="W39" location="'06'!B382:G400" display="JUNIO" xr:uid="{00000000-0004-0000-0000-000002010000}"/>
    <hyperlink ref="W37" location="'06'!B342:G360" display="JUNIO" xr:uid="{00000000-0004-0000-0000-000003010000}"/>
    <hyperlink ref="W35" location="'06'!B302:G320" display="JUNIO" xr:uid="{00000000-0004-0000-0000-000004010000}"/>
    <hyperlink ref="W31" location="'06'!B222:G240" display="JUNIO" xr:uid="{00000000-0004-0000-0000-000005010000}"/>
    <hyperlink ref="W29" location="'06'!B182:G200" display="JUNIO" xr:uid="{00000000-0004-0000-0000-000006010000}"/>
    <hyperlink ref="W27" location="'06'!B142:G160" display="JUNIO" xr:uid="{00000000-0004-0000-0000-000007010000}"/>
    <hyperlink ref="W25" location="'06'!B102:G120" display="JUNIO" xr:uid="{00000000-0004-0000-0000-000008010000}"/>
    <hyperlink ref="W20" location="'06'!B2:G20" display="JUNIO" xr:uid="{00000000-0004-0000-0000-000009010000}"/>
    <hyperlink ref="W21" location="'06'!B22:G40" display="JUNIO" xr:uid="{00000000-0004-0000-0000-00000A010000}"/>
    <hyperlink ref="W22" location="'06'!B42:G60" display="JUNIO" xr:uid="{00000000-0004-0000-0000-00000B010000}"/>
    <hyperlink ref="W33" location="'06'!B262:G280" display="JUNIO" xr:uid="{00000000-0004-0000-0000-00000C010000}"/>
    <hyperlink ref="AQ21" location="'11'!B22:G40" display="NOV…" xr:uid="{00000000-0004-0000-0000-00000D010000}"/>
    <hyperlink ref="AQ24" location="'11'!B82:G100" display="NOV…" xr:uid="{00000000-0004-0000-0000-00000E010000}"/>
    <hyperlink ref="AQ23" location="'11'!B62:G80" display="NOV…" xr:uid="{00000000-0004-0000-0000-00000F010000}"/>
    <hyperlink ref="AQ44" location="'11'!B482:G500" display="NOV…" xr:uid="{00000000-0004-0000-0000-000010010000}"/>
    <hyperlink ref="AQ45" location="'11'!B502:G520" display="NOV…" xr:uid="{00000000-0004-0000-0000-000011010000}"/>
    <hyperlink ref="AQ28" location="'11'!B162:G180" display="NOV…" xr:uid="{00000000-0004-0000-0000-000012010000}"/>
    <hyperlink ref="AQ36" location="'11'!B322:G340" display="NOV…" xr:uid="{00000000-0004-0000-0000-000013010000}"/>
    <hyperlink ref="AQ42" location="'11'!B442:G460" display="NOV…" xr:uid="{00000000-0004-0000-0000-000014010000}"/>
    <hyperlink ref="AQ40" location="'11'!B402:G420" display="NOV…" xr:uid="{00000000-0004-0000-0000-000015010000}"/>
    <hyperlink ref="AQ38" location="'11'!B362:G380" display="NOV…" xr:uid="{00000000-0004-0000-0000-000016010000}"/>
    <hyperlink ref="AQ34" location="'11'!B282:G300" display="NOV…" xr:uid="{00000000-0004-0000-0000-000017010000}"/>
    <hyperlink ref="AQ32" location="'11'!B242:G260" display="NOV…" xr:uid="{00000000-0004-0000-0000-000018010000}"/>
    <hyperlink ref="AQ30" location="'11'!B202:G220" display="NOV…" xr:uid="{00000000-0004-0000-0000-000019010000}"/>
    <hyperlink ref="AQ26" location="'11'!B122:G140" display="NOV…" xr:uid="{00000000-0004-0000-0000-00001A010000}"/>
    <hyperlink ref="AQ43" location="'11'!B462:G480" display="NOV…" xr:uid="{00000000-0004-0000-0000-00001B010000}"/>
    <hyperlink ref="AQ41" location="'11'!B422:G440" display="NOV…" xr:uid="{00000000-0004-0000-0000-00001C010000}"/>
    <hyperlink ref="AQ39" location="'11'!B382:G400" display="NOV…" xr:uid="{00000000-0004-0000-0000-00001D010000}"/>
    <hyperlink ref="AQ37" location="'11'!B342:G360" display="NOV…" xr:uid="{00000000-0004-0000-0000-00001E010000}"/>
    <hyperlink ref="AQ35" location="'11'!B302:G320" display="NOV…" xr:uid="{00000000-0004-0000-0000-00001F010000}"/>
    <hyperlink ref="AQ31" location="'11'!B222:G240" display="NOV…" xr:uid="{00000000-0004-0000-0000-000020010000}"/>
    <hyperlink ref="AQ29" location="'11'!B182:G200" display="NOV…" xr:uid="{00000000-0004-0000-0000-000021010000}"/>
    <hyperlink ref="AQ27" location="'11'!B142:G160" display="NOV…" xr:uid="{00000000-0004-0000-0000-000022010000}"/>
    <hyperlink ref="AQ25" location="'11'!B102:G120" display="NOV…" xr:uid="{00000000-0004-0000-0000-000023010000}"/>
    <hyperlink ref="AQ22" location="'11'!B42:G60" display="NOV…" xr:uid="{00000000-0004-0000-0000-000024010000}"/>
    <hyperlink ref="AQ33" location="'11'!B262:G280" display="NOV…" xr:uid="{00000000-0004-0000-0000-000025010000}"/>
    <hyperlink ref="AU24" location="'12'!B82:G100" display="DICIEMBRE" xr:uid="{00000000-0004-0000-0000-000026010000}"/>
    <hyperlink ref="AU23" location="'12'!B62:G80" display="DICIEMBRE" xr:uid="{00000000-0004-0000-0000-000027010000}"/>
    <hyperlink ref="AU44" location="'12'!B482:G500" display="DICIEMBRE" xr:uid="{00000000-0004-0000-0000-000028010000}"/>
    <hyperlink ref="AU45" location="'12'!B502:G520" display="DICIEMBRE" xr:uid="{00000000-0004-0000-0000-000029010000}"/>
    <hyperlink ref="AU28" location="'12'!B162:G180" display="DICIEMBRE" xr:uid="{00000000-0004-0000-0000-00002A010000}"/>
    <hyperlink ref="AU36" location="'12'!B322:G340" display="DICIEMBRE" xr:uid="{00000000-0004-0000-0000-00002B010000}"/>
    <hyperlink ref="AU42" location="'12'!B442:G460" display="DICIEMBRE" xr:uid="{00000000-0004-0000-0000-00002C010000}"/>
    <hyperlink ref="AU40" location="'12'!B402:G420" display="DICIEMBRE" xr:uid="{00000000-0004-0000-0000-00002D010000}"/>
    <hyperlink ref="AU38" location="'12'!B362:G380" display="DICIEMBRE" xr:uid="{00000000-0004-0000-0000-00002E010000}"/>
    <hyperlink ref="AU34" location="'12'!B282:G300" display="DICIEMBRE" xr:uid="{00000000-0004-0000-0000-00002F010000}"/>
    <hyperlink ref="AU32" location="'12'!B242:G260" display="DICIEMBRE" xr:uid="{00000000-0004-0000-0000-000030010000}"/>
    <hyperlink ref="AU30" location="'12'!B202:G220" display="DICIEMBRE" xr:uid="{00000000-0004-0000-0000-000031010000}"/>
    <hyperlink ref="AU26" location="'12'!B122:G140" display="DICIEMBRE" xr:uid="{00000000-0004-0000-0000-000032010000}"/>
    <hyperlink ref="AU43" location="'12'!B462:G480" display="DICIEMBRE" xr:uid="{00000000-0004-0000-0000-000033010000}"/>
    <hyperlink ref="AU41" location="'12'!B422:G440" display="DICIEMBRE" xr:uid="{00000000-0004-0000-0000-000034010000}"/>
    <hyperlink ref="AU39" location="'12'!B382:G400" display="DICIEMBRE" xr:uid="{00000000-0004-0000-0000-000035010000}"/>
    <hyperlink ref="AU37" location="'12'!B342:G360" display="DICIEMBRE" xr:uid="{00000000-0004-0000-0000-000036010000}"/>
    <hyperlink ref="AU35" location="'12'!B302:G320" display="DICIEMBRE" xr:uid="{00000000-0004-0000-0000-000037010000}"/>
    <hyperlink ref="AU31" location="'12'!B222:G240" display="DICIEMBRE" xr:uid="{00000000-0004-0000-0000-000038010000}"/>
    <hyperlink ref="AU29" location="'12'!B182:G200" display="DICIEMBRE" xr:uid="{00000000-0004-0000-0000-000039010000}"/>
    <hyperlink ref="AU27" location="'12'!B142:G160" display="DICIEMBRE" xr:uid="{00000000-0004-0000-0000-00003A010000}"/>
    <hyperlink ref="AU25" location="'12'!B102:G120" display="DICIEMBRE" xr:uid="{00000000-0004-0000-0000-00003B010000}"/>
    <hyperlink ref="AU20" location="'12'!B2:G20" display="DICIEMBRE" xr:uid="{00000000-0004-0000-0000-00003C010000}"/>
    <hyperlink ref="AU21" location="'12'!B22:G40" display="DICIEMBRE" xr:uid="{00000000-0004-0000-0000-00003D010000}"/>
    <hyperlink ref="AU22" location="'12'!B42:G60" display="DICIEMBRE" xr:uid="{00000000-0004-0000-0000-00003E010000}"/>
    <hyperlink ref="AU33" location="'12'!B262:G280" display="DICIEMBRE" xr:uid="{00000000-0004-0000-0000-00003F010000}"/>
    <hyperlink ref="AU4:AX4" location="'12'!I2:L19" display="DICIEMBRE" xr:uid="{00000000-0004-0000-0000-000040010000}"/>
    <hyperlink ref="S22" location="'05'!B42:G60" display="ABRIL" xr:uid="{00000000-0004-0000-0000-000041010000}"/>
    <hyperlink ref="S21" location="'05'!B22:G40" display="ABRIL" xr:uid="{00000000-0004-0000-0000-000042010000}"/>
    <hyperlink ref="S20" location="'05'!B2:G20" display="ABRIL" xr:uid="{00000000-0004-0000-0000-000043010000}"/>
    <hyperlink ref="C7:F7" location="'01'!I22:L69" display="INGRESADO" xr:uid="{00000000-0004-0000-0000-000044010000}"/>
    <hyperlink ref="G7:J7" location="'02'!I22:L69" display="INGRESADO" xr:uid="{00000000-0004-0000-0000-000045010000}"/>
    <hyperlink ref="K7:N7" location="'03'!I22:L69" display="INGRESADO" xr:uid="{00000000-0004-0000-0000-000046010000}"/>
    <hyperlink ref="O7:R7" location="'04'!I22:L69" display="INGRESADO" xr:uid="{00000000-0004-0000-0000-000047010000}"/>
    <hyperlink ref="S7:V7" location="'05'!I22:L69" display="INGRESADO" xr:uid="{00000000-0004-0000-0000-000048010000}"/>
    <hyperlink ref="W7:Z7" location="'06'!I22:L69" display="INGRESADO" xr:uid="{00000000-0004-0000-0000-000049010000}"/>
    <hyperlink ref="AA7:AD7" location="'07'!I22:L69" display="INGRESADO" xr:uid="{00000000-0004-0000-0000-00004A010000}"/>
    <hyperlink ref="AE7:AH7" location="'08'!I22:L69" display="INGRESADO" xr:uid="{00000000-0004-0000-0000-00004B010000}"/>
    <hyperlink ref="AI7:AL7" location="'09'!I22:L69" display="INGRESADO" xr:uid="{00000000-0004-0000-0000-00004C010000}"/>
    <hyperlink ref="AM7:AP7" location="'10'!I22:L69" display="INGRESADO" xr:uid="{00000000-0004-0000-0000-00004D010000}"/>
    <hyperlink ref="AQ7:AT7" location="'11'!I22:L69" display="INGRESADO" xr:uid="{00000000-0004-0000-0000-00004E010000}"/>
    <hyperlink ref="AU7:AX7" location="'12'!I22:L69" display="INGRESADO" xr:uid="{00000000-0004-0000-0000-00004F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16" workbookViewId="0">
      <selection activeCell="I22" sqref="I22:L2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55</v>
      </c>
      <c r="J4" s="105" t="s">
        <v>56</v>
      </c>
      <c r="K4" s="428" t="s">
        <v>57</v>
      </c>
      <c r="L4" s="429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0">
        <v>3839.35</v>
      </c>
      <c r="L5" s="431"/>
      <c r="M5" s="1"/>
      <c r="N5" s="1"/>
      <c r="R5" s="3"/>
    </row>
    <row r="6" spans="1:22" ht="15.75">
      <c r="A6" s="112">
        <f>'08'!A6+(B6-SUM(D6:F6))</f>
        <v>395.26</v>
      </c>
      <c r="B6" s="133">
        <v>403.08</v>
      </c>
      <c r="C6" s="19" t="s">
        <v>314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4">
        <v>620.12</v>
      </c>
      <c r="L6" s="415"/>
      <c r="M6" s="1" t="s">
        <v>163</v>
      </c>
      <c r="N6" s="1"/>
      <c r="R6" s="3"/>
    </row>
    <row r="7" spans="1:22" ht="15.75">
      <c r="A7" s="112">
        <f>'08'!A7+(B7-SUM(D7:F7))</f>
        <v>301.39</v>
      </c>
      <c r="B7" s="134">
        <v>67.180000000000007</v>
      </c>
      <c r="C7" s="16" t="s">
        <v>338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4">
        <v>7236.18</v>
      </c>
      <c r="L7" s="415"/>
      <c r="M7" s="1"/>
      <c r="N7" s="1"/>
      <c r="R7" s="3"/>
    </row>
    <row r="8" spans="1:22" ht="15.75">
      <c r="A8" s="112">
        <f>'08'!A8+(B8-SUM(D8:F8))</f>
        <v>-115.76999999999994</v>
      </c>
      <c r="B8" s="134">
        <v>103.67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4">
        <v>6305.62</v>
      </c>
      <c r="L8" s="415"/>
      <c r="M8" s="1"/>
      <c r="N8" s="1"/>
      <c r="R8" s="3"/>
    </row>
    <row r="9" spans="1:22" ht="15.75">
      <c r="A9" s="112">
        <f>'08'!A9+(B9-SUM(D9:F9))</f>
        <v>0</v>
      </c>
      <c r="B9" s="134">
        <v>22.59</v>
      </c>
      <c r="C9" s="16" t="s">
        <v>35</v>
      </c>
      <c r="D9" s="137"/>
      <c r="E9" s="138">
        <v>22.59</v>
      </c>
      <c r="F9" s="138"/>
      <c r="G9" s="16" t="s">
        <v>35</v>
      </c>
      <c r="H9" s="112"/>
      <c r="I9" s="108" t="s">
        <v>61</v>
      </c>
      <c r="J9" s="107" t="s">
        <v>155</v>
      </c>
      <c r="K9" s="414">
        <v>163.63</v>
      </c>
      <c r="L9" s="415"/>
      <c r="M9" s="1"/>
      <c r="N9" s="1"/>
      <c r="R9" s="3"/>
    </row>
    <row r="10" spans="1:22" ht="15.75">
      <c r="A10" s="112">
        <f>'08'!A10+(B10-SUM(D10:F10))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4">
        <v>1802.02</v>
      </c>
      <c r="L10" s="415"/>
      <c r="M10" s="1" t="s">
        <v>154</v>
      </c>
      <c r="N10" s="1"/>
      <c r="R10" s="3"/>
    </row>
    <row r="11" spans="1:22" ht="15.75">
      <c r="A11" s="112">
        <f>'08'!A11+(B11-SUM(D11:F11))</f>
        <v>30.240000000000002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14">
        <f>105+50</f>
        <v>155</v>
      </c>
      <c r="L11" s="415"/>
      <c r="M11" s="1"/>
      <c r="N11" s="1"/>
      <c r="R11" s="3"/>
    </row>
    <row r="12" spans="1:22" ht="15.75">
      <c r="A12" s="112">
        <f>'08'!A12+(B12-SUM(D12:F12))</f>
        <v>244.54000000000002</v>
      </c>
      <c r="B12" s="134">
        <v>25</v>
      </c>
      <c r="C12" s="16" t="s">
        <v>201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14">
        <f>5092.08+4044.26</f>
        <v>9136.34</v>
      </c>
      <c r="L12" s="415"/>
      <c r="M12" s="92"/>
      <c r="N12" s="1"/>
      <c r="R12" s="3"/>
    </row>
    <row r="13" spans="1:22" ht="15.75">
      <c r="A13" s="112">
        <f>'08'!A13+(B13-SUM(D13:F13))</f>
        <v>37</v>
      </c>
      <c r="B13" s="134">
        <v>6.5</v>
      </c>
      <c r="C13" s="16" t="s">
        <v>264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8">
        <f>SUM(K5:K18)</f>
        <v>29258.260000000002</v>
      </c>
      <c r="L19" s="439"/>
      <c r="M19" s="1"/>
      <c r="N19" s="1"/>
      <c r="R19" s="3"/>
    </row>
    <row r="20" spans="1:18" ht="16.5" thickBot="1">
      <c r="A20" s="112">
        <f>SUM(A6:A15)</f>
        <v>916.66000000000008</v>
      </c>
      <c r="B20" s="135">
        <f>SUM(B6:B19)</f>
        <v>670.26</v>
      </c>
      <c r="C20" s="17" t="s">
        <v>51</v>
      </c>
      <c r="D20" s="135">
        <f>SUM(D6:D19)</f>
        <v>0</v>
      </c>
      <c r="E20" s="135">
        <f>SUM(E6:E19)</f>
        <v>467.9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18319.900000000001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29</v>
      </c>
      <c r="J24" s="432" t="s">
        <v>85</v>
      </c>
      <c r="K24" s="433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19" t="str">
        <f>AÑO!A8</f>
        <v>Manolo Salario</v>
      </c>
      <c r="J25" s="422" t="s">
        <v>339</v>
      </c>
      <c r="K25" s="423"/>
      <c r="L25" s="231">
        <v>2573.7399999999998</v>
      </c>
      <c r="M25" s="1"/>
      <c r="R25" s="3"/>
    </row>
    <row r="26" spans="1:18" ht="15.75">
      <c r="A26" s="112">
        <f>'08'!A26+(B26-SUM(D26:F26))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'08'!A27+(B27-SUM(D27:F27))</f>
        <v>229.05999999999995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'08'!A28+(B28-SUM(D28:F28))</f>
        <v>134.11000000000001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'08'!A29+(B29-SUM(D29:F29))</f>
        <v>19.580000000000005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'08'!A30+(B30-SUM(D30:F30))</f>
        <v>191.27999999999997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266</v>
      </c>
      <c r="K30" s="423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/>
      <c r="K31" s="425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/>
      <c r="K32" s="425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212</v>
      </c>
      <c r="J35" s="422" t="s">
        <v>738</v>
      </c>
      <c r="K35" s="423"/>
      <c r="L35" s="231">
        <v>48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>
        <v>119.95</v>
      </c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1474.03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19" t="str">
        <f>AÑO!A11</f>
        <v>Finanazas</v>
      </c>
      <c r="J40" s="422"/>
      <c r="K40" s="423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Supermercado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19" t="str">
        <f>AÑO!A12</f>
        <v>Regalos</v>
      </c>
      <c r="J45" s="422" t="s">
        <v>728</v>
      </c>
      <c r="K45" s="423"/>
      <c r="L45" s="231">
        <v>100</v>
      </c>
      <c r="M45" s="1"/>
      <c r="R45" s="3"/>
    </row>
    <row r="46" spans="1:18" ht="15.75">
      <c r="A46" s="1"/>
      <c r="B46" s="133">
        <v>300</v>
      </c>
      <c r="C46" s="19"/>
      <c r="D46" s="137">
        <v>85.2</v>
      </c>
      <c r="E46" s="138"/>
      <c r="F46" s="138"/>
      <c r="G46" s="30" t="s">
        <v>734</v>
      </c>
      <c r="H46" s="1"/>
      <c r="I46" s="420"/>
      <c r="J46" s="424" t="s">
        <v>770</v>
      </c>
      <c r="K46" s="425"/>
      <c r="L46" s="229">
        <v>100</v>
      </c>
      <c r="M46" s="1"/>
      <c r="R46" s="3"/>
    </row>
    <row r="47" spans="1:18" ht="15.75">
      <c r="A47" s="1"/>
      <c r="B47" s="134"/>
      <c r="C47" s="16" t="s">
        <v>76</v>
      </c>
      <c r="D47" s="137">
        <v>8.68</v>
      </c>
      <c r="E47" s="138"/>
      <c r="F47" s="138"/>
      <c r="G47" s="16" t="s">
        <v>739</v>
      </c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 t="s">
        <v>725</v>
      </c>
      <c r="D48" s="137">
        <v>67.47</v>
      </c>
      <c r="E48" s="138"/>
      <c r="F48" s="138"/>
      <c r="G48" s="16" t="s">
        <v>743</v>
      </c>
      <c r="H48" s="1">
        <f>21*8</f>
        <v>168</v>
      </c>
      <c r="I48" s="420"/>
      <c r="J48" s="424"/>
      <c r="K48" s="425"/>
      <c r="L48" s="229"/>
      <c r="M48" s="1"/>
      <c r="R48" s="3"/>
    </row>
    <row r="49" spans="1:18" ht="15.75">
      <c r="A49" s="1"/>
      <c r="B49" s="134"/>
      <c r="C49" s="16"/>
      <c r="D49" s="137">
        <v>25</v>
      </c>
      <c r="E49" s="138"/>
      <c r="F49" s="138"/>
      <c r="G49" s="16" t="s">
        <v>744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>
        <v>21.12</v>
      </c>
      <c r="E50" s="138"/>
      <c r="F50" s="138"/>
      <c r="G50" s="16" t="s">
        <v>745</v>
      </c>
      <c r="H50" s="1"/>
      <c r="I50" s="419" t="str">
        <f>AÑO!A13</f>
        <v>Gubernamental</v>
      </c>
      <c r="J50" s="422" t="s">
        <v>736</v>
      </c>
      <c r="K50" s="423"/>
      <c r="L50" s="231">
        <v>1072.33</v>
      </c>
      <c r="M50" s="112"/>
      <c r="R50" s="3"/>
    </row>
    <row r="51" spans="1:18" ht="15.75">
      <c r="A51" s="1"/>
      <c r="B51" s="134"/>
      <c r="C51" s="16"/>
      <c r="D51" s="137">
        <v>3.4</v>
      </c>
      <c r="E51" s="138"/>
      <c r="F51" s="138"/>
      <c r="G51" s="16" t="s">
        <v>753</v>
      </c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>
        <v>7.9</v>
      </c>
      <c r="E52" s="138"/>
      <c r="F52" s="138"/>
      <c r="G52" s="16" t="s">
        <v>754</v>
      </c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>
        <v>65.930000000000007</v>
      </c>
      <c r="E53" s="138"/>
      <c r="F53" s="138"/>
      <c r="G53" s="16" t="s">
        <v>762</v>
      </c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22"/>
      <c r="K55" s="423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284.70000000000005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19" t="str">
        <f>AÑO!A15</f>
        <v>Alquiler Cartama</v>
      </c>
      <c r="J60" s="422" t="s">
        <v>737</v>
      </c>
      <c r="K60" s="423"/>
      <c r="L60" s="231">
        <v>676.35</v>
      </c>
      <c r="M60" s="1">
        <f>550+103.67+22.59</f>
        <v>676.26</v>
      </c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'08'!A66+(B66-SUM(D66:F78))</f>
        <v>219.67000000000007</v>
      </c>
      <c r="B66" s="133">
        <v>175</v>
      </c>
      <c r="C66" s="19" t="s">
        <v>31</v>
      </c>
      <c r="D66" s="137"/>
      <c r="E66" s="138"/>
      <c r="F66" s="138">
        <f>4+4+5</f>
        <v>13</v>
      </c>
      <c r="G66" s="19" t="s">
        <v>722</v>
      </c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/>
      <c r="C67" s="16"/>
      <c r="D67" s="137">
        <v>15</v>
      </c>
      <c r="E67" s="138"/>
      <c r="F67" s="138"/>
      <c r="G67" s="31" t="s">
        <v>723</v>
      </c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/>
      <c r="C68" s="16"/>
      <c r="D68" s="137"/>
      <c r="E68" s="138">
        <v>36.049999999999997</v>
      </c>
      <c r="F68" s="138"/>
      <c r="G68" s="16" t="s">
        <v>732</v>
      </c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>
        <v>24.3</v>
      </c>
      <c r="E69" s="138"/>
      <c r="F69" s="138"/>
      <c r="G69" s="16" t="s">
        <v>746</v>
      </c>
      <c r="H69" s="1"/>
      <c r="I69" s="434"/>
      <c r="J69" s="435"/>
      <c r="K69" s="436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31</v>
      </c>
      <c r="G70" s="16" t="s">
        <v>749</v>
      </c>
      <c r="H70" s="1"/>
      <c r="M70" s="1"/>
      <c r="R70" s="3"/>
    </row>
    <row r="71" spans="1:18" ht="15.75">
      <c r="A71" s="1"/>
      <c r="B71" s="134"/>
      <c r="C71" s="16"/>
      <c r="D71" s="137">
        <v>30.6</v>
      </c>
      <c r="E71" s="138"/>
      <c r="F71" s="138"/>
      <c r="G71" s="16" t="s">
        <v>761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'08'!A79+(B79-SUM(D79:F79))</f>
        <v>72.05</v>
      </c>
      <c r="B79" s="233">
        <f>5+100</f>
        <v>105</v>
      </c>
      <c r="C79" s="17" t="s">
        <v>769</v>
      </c>
      <c r="D79" s="135">
        <v>122.95</v>
      </c>
      <c r="E79" s="139"/>
      <c r="F79" s="139"/>
      <c r="G79" s="17" t="s">
        <v>763</v>
      </c>
      <c r="H79" s="1"/>
      <c r="M79" s="1"/>
      <c r="R79" s="3"/>
    </row>
    <row r="80" spans="1:18" ht="16.5" thickBot="1">
      <c r="A80" s="112">
        <f>SUM(A66:A79)</f>
        <v>291.72000000000008</v>
      </c>
      <c r="B80" s="233">
        <f>SUM(B66:B79)</f>
        <v>280</v>
      </c>
      <c r="C80" s="17" t="s">
        <v>51</v>
      </c>
      <c r="D80" s="135">
        <f>SUM(D66:D79)</f>
        <v>192.85000000000002</v>
      </c>
      <c r="E80" s="135">
        <f>SUM(E66:E79)</f>
        <v>36.049999999999997</v>
      </c>
      <c r="F80" s="135">
        <f>SUM(F66:F79)</f>
        <v>44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150</v>
      </c>
      <c r="C86" s="19" t="s">
        <v>197</v>
      </c>
      <c r="D86" s="137">
        <v>51.07</v>
      </c>
      <c r="E86" s="138"/>
      <c r="F86" s="138"/>
      <c r="G86" s="16" t="s">
        <v>733</v>
      </c>
      <c r="H86" s="1"/>
      <c r="M86" s="1"/>
      <c r="R86" s="3"/>
    </row>
    <row r="87" spans="1:18" ht="15.75">
      <c r="A87" s="1"/>
      <c r="B87" s="134"/>
      <c r="C87" s="16"/>
      <c r="D87" s="137">
        <v>43.61</v>
      </c>
      <c r="E87" s="138"/>
      <c r="F87" s="138"/>
      <c r="G87" s="16" t="s">
        <v>740</v>
      </c>
      <c r="H87" s="1"/>
      <c r="M87" s="1"/>
      <c r="R87" s="3"/>
    </row>
    <row r="88" spans="1:18" ht="15.75">
      <c r="A88" s="1"/>
      <c r="B88" s="134"/>
      <c r="C88" s="16"/>
      <c r="D88" s="137">
        <v>59.98</v>
      </c>
      <c r="E88" s="138"/>
      <c r="F88" s="138"/>
      <c r="G88" s="16" t="s">
        <v>759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154.66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'08'!A106+(B106-SUM(D106:F106))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'08'!A107+(B107-SUM(D107:F107))</f>
        <v>71.110000000000042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'08'!A108+(B108-SUM(D108:F108))</f>
        <v>583.09999999999991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3290.1800000000012</v>
      </c>
      <c r="B109" s="134">
        <v>67.53</v>
      </c>
      <c r="C109" s="18" t="s">
        <v>393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912.68</v>
      </c>
      <c r="B120" s="135">
        <f>SUM(B106:B119)</f>
        <v>445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'08'!A126+(B126-SUM(D126:F126))</f>
        <v>15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'08'!A127+(B127-SUM(D127:F128))</f>
        <v>12.5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816</v>
      </c>
      <c r="I127" s="113">
        <f>D127+D128+'08'!I127</f>
        <v>115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'08'!A129+(B129-SUM(D129:F129))</f>
        <v>5.9999999999998721E-2</v>
      </c>
      <c r="B129" s="134">
        <v>8</v>
      </c>
      <c r="C129" s="16" t="s">
        <v>160</v>
      </c>
      <c r="D129" s="137"/>
      <c r="E129" s="138">
        <v>7.99</v>
      </c>
      <c r="F129" s="138"/>
      <c r="G129" s="16" t="s">
        <v>160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27.5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>
        <v>44</v>
      </c>
      <c r="F166" s="138"/>
      <c r="G166" s="16" t="s">
        <v>629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44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/>
      <c r="E186" s="138">
        <f>55.89+95.49</f>
        <v>151.38</v>
      </c>
      <c r="F186" s="138"/>
      <c r="G186" s="16" t="s">
        <v>724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256.66000000000003</v>
      </c>
      <c r="C187" s="16" t="s">
        <v>209</v>
      </c>
      <c r="D187" s="137">
        <v>20.98</v>
      </c>
      <c r="E187" s="138"/>
      <c r="F187" s="138"/>
      <c r="G187" s="16" t="s">
        <v>729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>
        <v>89.02</v>
      </c>
      <c r="F188" s="138"/>
      <c r="G188" s="16" t="s">
        <v>751</v>
      </c>
      <c r="I188" s="1"/>
      <c r="J188" s="1"/>
      <c r="K188" s="1"/>
      <c r="L188" s="1"/>
    </row>
    <row r="189" spans="1:22" ht="15.75">
      <c r="B189" s="134"/>
      <c r="C189" s="16"/>
      <c r="D189" s="137">
        <v>32.94</v>
      </c>
      <c r="E189" s="138"/>
      <c r="F189" s="138"/>
      <c r="G189" s="16" t="s">
        <v>760</v>
      </c>
      <c r="H189" s="89">
        <f>9.99+8.99+6.99+3.99+7.99</f>
        <v>37.950000000000003</v>
      </c>
      <c r="I189" s="1" t="s">
        <v>758</v>
      </c>
      <c r="J189" s="1"/>
      <c r="K189" s="1"/>
      <c r="L189" s="1"/>
    </row>
    <row r="190" spans="1:22" ht="15.75">
      <c r="B190" s="134"/>
      <c r="C190" s="16"/>
      <c r="D190" s="137">
        <f>40.08-D288</f>
        <v>16.079999999999998</v>
      </c>
      <c r="E190" s="138"/>
      <c r="F190" s="138"/>
      <c r="G190" s="16" t="s">
        <v>764</v>
      </c>
      <c r="I190" s="1"/>
      <c r="J190" s="1"/>
      <c r="K190" s="1"/>
      <c r="L190" s="1"/>
    </row>
    <row r="191" spans="1:22" ht="15.75">
      <c r="B191" s="134"/>
      <c r="C191" s="16"/>
      <c r="D191" s="137">
        <v>12.09</v>
      </c>
      <c r="E191" s="138"/>
      <c r="F191" s="138"/>
      <c r="G191" s="16" t="s">
        <v>765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>
        <f>33.98+86.92-E328-E249</f>
        <v>37.950000000000017</v>
      </c>
      <c r="F192" s="138"/>
      <c r="G192" s="16" t="s">
        <v>768</v>
      </c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326.66000000000003</v>
      </c>
      <c r="C200" s="17" t="s">
        <v>51</v>
      </c>
      <c r="D200" s="135">
        <f>SUM(D186:D199)</f>
        <v>82.09</v>
      </c>
      <c r="E200" s="135">
        <f>SUM(E186:E199)</f>
        <v>278.35000000000002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/>
      <c r="E206" s="138">
        <v>12.5</v>
      </c>
      <c r="F206" s="138"/>
      <c r="G206" s="16" t="s">
        <v>630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12.5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9" ht="15.75" thickBot="1">
      <c r="B241" s="5"/>
      <c r="C241" s="3"/>
      <c r="D241" s="5"/>
      <c r="E241" s="5"/>
    </row>
    <row r="242" spans="1:9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9" ht="15" customHeight="1" thickBot="1">
      <c r="B243" s="411"/>
      <c r="C243" s="412"/>
      <c r="D243" s="412"/>
      <c r="E243" s="412"/>
      <c r="F243" s="412"/>
      <c r="G243" s="413"/>
    </row>
    <row r="244" spans="1:9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9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9" ht="15" customHeight="1">
      <c r="A246" s="112">
        <f>'08'!A246+(B246-SUM(D246:F255))+B247</f>
        <v>0</v>
      </c>
      <c r="B246" s="134">
        <v>50</v>
      </c>
      <c r="C246" s="27" t="s">
        <v>340</v>
      </c>
      <c r="D246" s="137">
        <v>105.14</v>
      </c>
      <c r="E246" s="138"/>
      <c r="F246" s="138"/>
      <c r="G246" s="16" t="s">
        <v>726</v>
      </c>
    </row>
    <row r="247" spans="1:9" ht="15" customHeight="1">
      <c r="A247" s="112"/>
      <c r="B247" s="134">
        <v>343.08</v>
      </c>
      <c r="C247" s="16" t="s">
        <v>209</v>
      </c>
      <c r="D247" s="137">
        <v>203.92</v>
      </c>
      <c r="E247" s="138"/>
      <c r="F247" s="138"/>
      <c r="G247" s="16" t="s">
        <v>750</v>
      </c>
    </row>
    <row r="248" spans="1:9" ht="15.75">
      <c r="A248" s="112"/>
      <c r="B248" s="134"/>
      <c r="C248" s="16"/>
      <c r="D248" s="137">
        <v>48.05</v>
      </c>
      <c r="E248" s="138"/>
      <c r="F248" s="138"/>
      <c r="G248" s="16" t="s">
        <v>766</v>
      </c>
      <c r="H248" s="89">
        <f>33.98+1.99</f>
        <v>35.97</v>
      </c>
      <c r="I248" s="89" t="s">
        <v>758</v>
      </c>
    </row>
    <row r="249" spans="1:9" ht="15.75">
      <c r="A249" s="112"/>
      <c r="B249" s="134"/>
      <c r="C249" s="16"/>
      <c r="D249" s="137"/>
      <c r="E249" s="138">
        <v>35.97</v>
      </c>
      <c r="F249" s="138"/>
      <c r="G249" s="16" t="s">
        <v>768</v>
      </c>
    </row>
    <row r="250" spans="1:9" ht="15.75">
      <c r="A250" s="112"/>
      <c r="B250" s="134"/>
      <c r="C250" s="16"/>
      <c r="D250" s="137"/>
      <c r="E250" s="138"/>
      <c r="F250" s="138"/>
      <c r="G250" s="16"/>
    </row>
    <row r="251" spans="1:9" ht="15.75">
      <c r="A251" s="112"/>
      <c r="B251" s="134"/>
      <c r="C251" s="16"/>
      <c r="D251" s="137"/>
      <c r="E251" s="138"/>
      <c r="F251" s="138"/>
      <c r="G251" s="16"/>
    </row>
    <row r="252" spans="1:9" ht="15.75">
      <c r="A252" s="112"/>
      <c r="B252" s="134"/>
      <c r="C252" s="16"/>
      <c r="D252" s="137"/>
      <c r="E252" s="138"/>
      <c r="F252" s="138"/>
      <c r="G252" s="16"/>
    </row>
    <row r="253" spans="1:9" ht="15.75">
      <c r="A253" s="112"/>
      <c r="B253" s="134"/>
      <c r="C253" s="16"/>
      <c r="D253" s="137"/>
      <c r="E253" s="138"/>
      <c r="F253" s="138"/>
      <c r="G253" s="16"/>
    </row>
    <row r="254" spans="1:9" ht="15.75">
      <c r="A254" s="112"/>
      <c r="B254" s="134"/>
      <c r="C254" s="16"/>
      <c r="D254" s="137"/>
      <c r="E254" s="138"/>
      <c r="F254" s="138"/>
      <c r="G254" s="16"/>
    </row>
    <row r="255" spans="1:9" ht="15.75">
      <c r="A255" s="112"/>
      <c r="B255" s="134"/>
      <c r="C255" s="16"/>
      <c r="D255" s="137"/>
      <c r="E255" s="138"/>
      <c r="F255" s="138"/>
      <c r="G255" s="16"/>
    </row>
    <row r="256" spans="1:9" ht="15.75">
      <c r="A256" s="112">
        <f>'08'!A256+(B256-SUM(D256:F256))</f>
        <v>40</v>
      </c>
      <c r="B256" s="134">
        <v>5</v>
      </c>
      <c r="C256" s="16" t="s">
        <v>347</v>
      </c>
      <c r="D256" s="137"/>
      <c r="E256" s="138"/>
      <c r="F256" s="138"/>
      <c r="G256" s="16"/>
    </row>
    <row r="257" spans="1:8" ht="15.75">
      <c r="A257" s="112">
        <f>'08'!A257+(B257-SUM(D257:F257))</f>
        <v>444.78000000000009</v>
      </c>
      <c r="B257" s="134">
        <v>40</v>
      </c>
      <c r="C257" s="16" t="s">
        <v>674</v>
      </c>
      <c r="D257" s="137"/>
      <c r="E257" s="138">
        <f>100.67+100.67</f>
        <v>201.34</v>
      </c>
      <c r="F257" s="138"/>
      <c r="G257" s="16" t="s">
        <v>343</v>
      </c>
      <c r="H257" s="89">
        <f>1208-(100.67*4)</f>
        <v>805.31999999999994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484.78000000000009</v>
      </c>
      <c r="B260" s="135">
        <f>SUM(B246:B259)</f>
        <v>438.08</v>
      </c>
      <c r="C260" s="17" t="s">
        <v>51</v>
      </c>
      <c r="D260" s="135">
        <f>SUM(D246:D259)</f>
        <v>357.11</v>
      </c>
      <c r="E260" s="135">
        <f>SUM(E246:E259)</f>
        <v>237.31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55</v>
      </c>
      <c r="E266" s="138"/>
      <c r="F266" s="138"/>
      <c r="G266" s="16" t="s">
        <v>721</v>
      </c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55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1:8" ht="15" customHeight="1" thickBot="1">
      <c r="B283" s="411"/>
      <c r="C283" s="412"/>
      <c r="D283" s="412"/>
      <c r="E283" s="412"/>
      <c r="F283" s="412"/>
      <c r="G283" s="413"/>
    </row>
    <row r="284" spans="1:8">
      <c r="B284" s="400" t="s">
        <v>8</v>
      </c>
      <c r="C284" s="401"/>
      <c r="D284" s="400" t="s">
        <v>9</v>
      </c>
      <c r="E284" s="408"/>
      <c r="F284" s="408"/>
      <c r="G284" s="401"/>
    </row>
    <row r="285" spans="1:8" ht="15.75">
      <c r="A285" s="1" t="s">
        <v>181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1:8" ht="15.75">
      <c r="A286" s="112">
        <f>'08'!A286+(SUM(B286:B298)-SUM(D286:F298))</f>
        <v>228.40999999999988</v>
      </c>
      <c r="B286" s="133">
        <v>50</v>
      </c>
      <c r="C286" s="19" t="s">
        <v>31</v>
      </c>
      <c r="D286" s="137"/>
      <c r="E286" s="138">
        <v>44</v>
      </c>
      <c r="F286" s="138"/>
      <c r="G286" s="16" t="s">
        <v>629</v>
      </c>
      <c r="H286" s="113"/>
    </row>
    <row r="287" spans="1:8" ht="15.75">
      <c r="A287" s="112"/>
      <c r="B287" s="134"/>
      <c r="C287" s="16"/>
      <c r="D287" s="137"/>
      <c r="E287" s="138"/>
      <c r="F287" s="138">
        <v>3</v>
      </c>
      <c r="G287" s="16" t="s">
        <v>748</v>
      </c>
      <c r="H287" s="92"/>
    </row>
    <row r="288" spans="1:8" ht="15.75">
      <c r="A288" s="112"/>
      <c r="B288" s="134"/>
      <c r="C288" s="16"/>
      <c r="D288" s="137">
        <v>24</v>
      </c>
      <c r="E288" s="138"/>
      <c r="F288" s="138"/>
      <c r="G288" s="16" t="s">
        <v>767</v>
      </c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'08'!A299+(B299-SUM(D299:F299))</f>
        <v>60</v>
      </c>
      <c r="B299" s="135">
        <v>40</v>
      </c>
      <c r="C299" s="17" t="s">
        <v>704</v>
      </c>
      <c r="D299" s="135"/>
      <c r="E299" s="139"/>
      <c r="F299" s="139"/>
      <c r="G299" s="17"/>
    </row>
    <row r="300" spans="1:8" ht="16.5" thickBot="1">
      <c r="A300" s="112">
        <f>SUM(A286:A299)</f>
        <v>288.40999999999985</v>
      </c>
      <c r="B300" s="135">
        <f>SUM(B286:B299)</f>
        <v>90</v>
      </c>
      <c r="C300" s="17" t="s">
        <v>51</v>
      </c>
      <c r="D300" s="135">
        <f>SUM(D286:D299)</f>
        <v>24</v>
      </c>
      <c r="E300" s="135">
        <f>SUM(E286:E299)</f>
        <v>44</v>
      </c>
      <c r="F300" s="135">
        <f>SUM(F286:F299)</f>
        <v>3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1:8" ht="15" customHeight="1" thickBot="1">
      <c r="B303" s="411"/>
      <c r="C303" s="412"/>
      <c r="D303" s="412"/>
      <c r="E303" s="412"/>
      <c r="F303" s="412"/>
      <c r="G303" s="413"/>
    </row>
    <row r="304" spans="1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130</v>
      </c>
      <c r="C306" s="19" t="s">
        <v>660</v>
      </c>
      <c r="D306" s="137"/>
      <c r="E306" s="138"/>
      <c r="F306" s="138">
        <v>60</v>
      </c>
      <c r="G306" s="16" t="s">
        <v>741</v>
      </c>
    </row>
    <row r="307" spans="2:7">
      <c r="B307" s="134"/>
      <c r="C307" s="27"/>
      <c r="D307" s="137">
        <v>35.96</v>
      </c>
      <c r="E307" s="138"/>
      <c r="F307" s="138"/>
      <c r="G307" s="16" t="s">
        <v>742</v>
      </c>
    </row>
    <row r="308" spans="2:7">
      <c r="B308" s="134"/>
      <c r="C308" s="27"/>
      <c r="D308" s="137">
        <v>40.549999999999997</v>
      </c>
      <c r="E308" s="138"/>
      <c r="F308" s="138"/>
      <c r="G308" s="16" t="s">
        <v>747</v>
      </c>
    </row>
    <row r="309" spans="2:7">
      <c r="B309" s="134"/>
      <c r="C309" s="16"/>
      <c r="D309" s="137"/>
      <c r="E309" s="138"/>
      <c r="F309" s="138">
        <v>60</v>
      </c>
      <c r="G309" s="16" t="s">
        <v>771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76.509999999999991</v>
      </c>
      <c r="E320" s="135">
        <f>SUM(E306:E319)</f>
        <v>0</v>
      </c>
      <c r="F320" s="135">
        <f>SUM(F306:F319)</f>
        <v>120</v>
      </c>
      <c r="G320" s="17" t="s">
        <v>51</v>
      </c>
    </row>
    <row r="321" spans="2:9" ht="15.75" thickBot="1"/>
    <row r="322" spans="2:9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9" ht="15" customHeight="1" thickBot="1">
      <c r="B323" s="405"/>
      <c r="C323" s="406"/>
      <c r="D323" s="406"/>
      <c r="E323" s="406"/>
      <c r="F323" s="406"/>
      <c r="G323" s="407"/>
    </row>
    <row r="324" spans="2:9">
      <c r="B324" s="400" t="s">
        <v>8</v>
      </c>
      <c r="C324" s="401"/>
      <c r="D324" s="400" t="s">
        <v>9</v>
      </c>
      <c r="E324" s="408"/>
      <c r="F324" s="408"/>
      <c r="G324" s="401"/>
    </row>
    <row r="325" spans="2:9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9">
      <c r="B326" s="133">
        <v>90</v>
      </c>
      <c r="C326" s="19"/>
      <c r="D326" s="137">
        <f>2.82+23.05</f>
        <v>25.87</v>
      </c>
      <c r="E326" s="138"/>
      <c r="F326" s="138"/>
      <c r="G326" s="16" t="s">
        <v>727</v>
      </c>
    </row>
    <row r="327" spans="2:9">
      <c r="B327" s="134">
        <v>100</v>
      </c>
      <c r="C327" s="16" t="s">
        <v>728</v>
      </c>
      <c r="D327" s="137">
        <v>15</v>
      </c>
      <c r="E327" s="138"/>
      <c r="F327" s="138"/>
      <c r="G327" s="16" t="s">
        <v>755</v>
      </c>
    </row>
    <row r="328" spans="2:9">
      <c r="B328" s="134">
        <v>155.97</v>
      </c>
      <c r="C328" s="16" t="s">
        <v>209</v>
      </c>
      <c r="D328" s="137"/>
      <c r="E328" s="138">
        <v>46.98</v>
      </c>
      <c r="F328" s="138"/>
      <c r="G328" s="16" t="s">
        <v>768</v>
      </c>
      <c r="H328" s="89">
        <f>9.99+34.99+2</f>
        <v>46.980000000000004</v>
      </c>
      <c r="I328" s="89" t="s">
        <v>758</v>
      </c>
    </row>
    <row r="329" spans="2:9">
      <c r="B329" s="134"/>
      <c r="C329" s="16"/>
      <c r="D329" s="137"/>
      <c r="E329" s="138"/>
      <c r="F329" s="138"/>
      <c r="G329" s="16"/>
    </row>
    <row r="330" spans="2:9">
      <c r="B330" s="134"/>
      <c r="C330" s="16"/>
      <c r="D330" s="137"/>
      <c r="E330" s="138"/>
      <c r="F330" s="138"/>
      <c r="G330" s="16"/>
    </row>
    <row r="331" spans="2:9">
      <c r="B331" s="134"/>
      <c r="C331" s="16"/>
      <c r="D331" s="137"/>
      <c r="E331" s="138"/>
      <c r="F331" s="138"/>
      <c r="G331" s="16"/>
    </row>
    <row r="332" spans="2:9">
      <c r="B332" s="134"/>
      <c r="C332" s="16"/>
      <c r="D332" s="137"/>
      <c r="E332" s="138"/>
      <c r="F332" s="138"/>
      <c r="G332" s="16"/>
    </row>
    <row r="333" spans="2:9">
      <c r="B333" s="134"/>
      <c r="C333" s="16"/>
      <c r="D333" s="137"/>
      <c r="E333" s="138"/>
      <c r="F333" s="138"/>
      <c r="G333" s="16"/>
    </row>
    <row r="334" spans="2:9">
      <c r="B334" s="134"/>
      <c r="C334" s="16"/>
      <c r="D334" s="137"/>
      <c r="E334" s="138"/>
      <c r="F334" s="138"/>
      <c r="G334" s="16"/>
    </row>
    <row r="335" spans="2:9">
      <c r="B335" s="134"/>
      <c r="C335" s="16"/>
      <c r="D335" s="137"/>
      <c r="E335" s="138"/>
      <c r="F335" s="138"/>
      <c r="G335" s="16"/>
    </row>
    <row r="336" spans="2:9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345.97</v>
      </c>
      <c r="C340" s="17" t="s">
        <v>51</v>
      </c>
      <c r="D340" s="135">
        <f>SUM(D326:D339)</f>
        <v>40.870000000000005</v>
      </c>
      <c r="E340" s="135">
        <f>SUM(E326:E339)</f>
        <v>46.98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2" t="str">
        <f>AÑO!A37</f>
        <v>Imprevistos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75">
      <c r="A345" s="1" t="s">
        <v>181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1:7" ht="15.75">
      <c r="A346" s="112">
        <f>'08'!A346+(B346-SUM(D346:F357))</f>
        <v>230.73</v>
      </c>
      <c r="B346" s="133">
        <v>0</v>
      </c>
      <c r="C346" s="19" t="s">
        <v>195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'08'!A358+(B358-SUM(D358:F358))</f>
        <v>70</v>
      </c>
      <c r="B358" s="134">
        <v>35</v>
      </c>
      <c r="C358" s="16" t="s">
        <v>671</v>
      </c>
      <c r="D358" s="137"/>
      <c r="E358" s="138"/>
      <c r="F358" s="138"/>
      <c r="G358" s="16"/>
    </row>
    <row r="359" spans="1:7" ht="16.5" thickBot="1">
      <c r="A359" s="112">
        <f>'08'!A359+(B359-SUM(D359:F359))</f>
        <v>20</v>
      </c>
      <c r="B359" s="135">
        <v>10</v>
      </c>
      <c r="C359" s="17" t="s">
        <v>670</v>
      </c>
      <c r="D359" s="135"/>
      <c r="E359" s="139"/>
      <c r="F359" s="139"/>
      <c r="G359" s="17"/>
    </row>
    <row r="360" spans="1:7" ht="16.5" thickBot="1">
      <c r="A360" s="112">
        <f>SUM(A346:A359)</f>
        <v>320.73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1:7">
      <c r="B366" s="133">
        <v>65</v>
      </c>
      <c r="C366" s="19" t="s">
        <v>31</v>
      </c>
      <c r="D366" s="137"/>
      <c r="E366" s="138"/>
      <c r="F366" s="138">
        <f>3+3.5+4.5+4.5+4.5+3.5+4+4.7+2.8+4.5+3.5</f>
        <v>43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730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3.09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AÑO!AI17</f>
        <v>4981.9699999999993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0</v>
      </c>
      <c r="C426" s="19" t="s">
        <v>227</v>
      </c>
      <c r="D426" s="137"/>
      <c r="E426" s="138"/>
      <c r="F426" s="138"/>
      <c r="G426" s="16"/>
    </row>
    <row r="427" spans="1:7">
      <c r="A427" s="113">
        <v>100</v>
      </c>
      <c r="B427" s="134"/>
      <c r="C427" s="16"/>
      <c r="D427" s="137"/>
      <c r="E427" s="138"/>
      <c r="F427" s="138"/>
      <c r="G427" s="16"/>
    </row>
    <row r="428" spans="1:7">
      <c r="A428" s="113">
        <f>103.67+22.59</f>
        <v>126.26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695.71</v>
      </c>
      <c r="B430" s="134"/>
      <c r="C430" s="16"/>
      <c r="D430" s="137"/>
      <c r="E430" s="138"/>
      <c r="F430" s="138"/>
      <c r="G430" s="16"/>
    </row>
    <row r="431" spans="1:7">
      <c r="A431" s="113">
        <v>60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731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NULO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'08'!A466+(B466-SUM(D466:F466))</f>
        <v>-550</v>
      </c>
      <c r="B466" s="134">
        <v>0</v>
      </c>
      <c r="C466" s="16" t="s">
        <v>286</v>
      </c>
      <c r="D466" s="137"/>
      <c r="E466" s="138"/>
      <c r="F466" s="138"/>
      <c r="G466" s="16"/>
    </row>
    <row r="467" spans="1:7" ht="15.75">
      <c r="A467" s="112">
        <f>'08'!A467+(B467-SUM(D467:F467))</f>
        <v>-407.79</v>
      </c>
      <c r="B467" s="134">
        <v>50</v>
      </c>
      <c r="C467" s="16" t="s">
        <v>391</v>
      </c>
      <c r="D467" s="137"/>
      <c r="E467" s="138"/>
      <c r="F467" s="138"/>
      <c r="G467" s="16"/>
    </row>
    <row r="468" spans="1:7" ht="15.75">
      <c r="A468" s="112">
        <f>'08'!A468+(B468-SUM(D468:F468))</f>
        <v>168.4</v>
      </c>
      <c r="B468" s="134">
        <f>15</f>
        <v>15</v>
      </c>
      <c r="C468" s="16" t="s">
        <v>183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-789.39</v>
      </c>
      <c r="B480" s="135">
        <f>SUM(B466:B479)</f>
        <v>65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>
        <v>5</v>
      </c>
      <c r="G506" s="16" t="s">
        <v>752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5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900-000000000000}"/>
    <hyperlink ref="I2:L3" location="AÑO!AI4:AL5" display="SALDO REAL" xr:uid="{00000000-0004-0000-0900-000001000000}"/>
    <hyperlink ref="I22" location="Trimestre!C39:F40" display="TELÉFONO" xr:uid="{00000000-0004-0000-0900-000002000000}"/>
    <hyperlink ref="I22:L23" location="AÑO!AI7:AL17" display="INGRESOS" xr:uid="{00000000-0004-0000-0900-000003000000}"/>
    <hyperlink ref="B2" location="Trimestre!C25:F26" display="HIPOTECA" xr:uid="{00000000-0004-0000-0900-000004000000}"/>
    <hyperlink ref="B2:G3" location="AÑO!AI20:AL20" display="AÑO!AI20:AL20" xr:uid="{00000000-0004-0000-0900-000005000000}"/>
    <hyperlink ref="B22" location="Trimestre!C25:F26" display="HIPOTECA" xr:uid="{00000000-0004-0000-0900-000006000000}"/>
    <hyperlink ref="B22:G23" location="AÑO!AI21:AL21" display="AÑO!AI21:AL21" xr:uid="{00000000-0004-0000-0900-000007000000}"/>
    <hyperlink ref="B42" location="Trimestre!C25:F26" display="HIPOTECA" xr:uid="{00000000-0004-0000-0900-000008000000}"/>
    <hyperlink ref="B42:G43" location="AÑO!AI22:AL22" display="AÑO!AI22:AL22" xr:uid="{00000000-0004-0000-0900-000009000000}"/>
    <hyperlink ref="B62" location="Trimestre!C25:F26" display="HIPOTECA" xr:uid="{00000000-0004-0000-0900-00000A000000}"/>
    <hyperlink ref="B62:G63" location="AÑO!AI23:AL23" display="AÑO!AI23:AL23" xr:uid="{00000000-0004-0000-0900-00000B000000}"/>
    <hyperlink ref="B82" location="Trimestre!C25:F26" display="HIPOTECA" xr:uid="{00000000-0004-0000-0900-00000C000000}"/>
    <hyperlink ref="B82:G83" location="AÑO!AI24:AL24" display="AÑO!AI24:AL24" xr:uid="{00000000-0004-0000-0900-00000D000000}"/>
    <hyperlink ref="B102" location="Trimestre!C25:F26" display="HIPOTECA" xr:uid="{00000000-0004-0000-0900-00000E000000}"/>
    <hyperlink ref="B102:G103" location="AÑO!AI25:AL25" display="AÑO!AI25:AL25" xr:uid="{00000000-0004-0000-0900-00000F000000}"/>
    <hyperlink ref="B122" location="Trimestre!C25:F26" display="HIPOTECA" xr:uid="{00000000-0004-0000-0900-000010000000}"/>
    <hyperlink ref="B122:G123" location="AÑO!AI26:AL26" display="AÑO!AI26:AL26" xr:uid="{00000000-0004-0000-0900-000011000000}"/>
    <hyperlink ref="B142" location="Trimestre!C25:F26" display="HIPOTECA" xr:uid="{00000000-0004-0000-0900-000012000000}"/>
    <hyperlink ref="B142:G143" location="AÑO!AI27:AL27" display="AÑO!AI27:AL27" xr:uid="{00000000-0004-0000-0900-000013000000}"/>
    <hyperlink ref="B162" location="Trimestre!C25:F26" display="HIPOTECA" xr:uid="{00000000-0004-0000-0900-000014000000}"/>
    <hyperlink ref="B162:G163" location="AÑO!AI28:AL28" display="AÑO!AI28:AL28" xr:uid="{00000000-0004-0000-0900-000015000000}"/>
    <hyperlink ref="B182" location="Trimestre!C25:F26" display="HIPOTECA" xr:uid="{00000000-0004-0000-0900-000016000000}"/>
    <hyperlink ref="B182:G183" location="AÑO!AI29:AL29" display="AÑO!AI29:AL29" xr:uid="{00000000-0004-0000-0900-000017000000}"/>
    <hyperlink ref="B202" location="Trimestre!C25:F26" display="HIPOTECA" xr:uid="{00000000-0004-0000-0900-000018000000}"/>
    <hyperlink ref="B202:G203" location="AÑO!AI30:AL30" display="AÑO!AI30:AL30" xr:uid="{00000000-0004-0000-0900-000019000000}"/>
    <hyperlink ref="B222" location="Trimestre!C25:F26" display="HIPOTECA" xr:uid="{00000000-0004-0000-0900-00001A000000}"/>
    <hyperlink ref="B222:G223" location="AÑO!AI31:AL31" display="AÑO!AI31:AL31" xr:uid="{00000000-0004-0000-0900-00001B000000}"/>
    <hyperlink ref="B242" location="Trimestre!C25:F26" display="HIPOTECA" xr:uid="{00000000-0004-0000-0900-00001C000000}"/>
    <hyperlink ref="B242:G243" location="AÑO!AI32:AL32" display="AÑO!AI32:AL32" xr:uid="{00000000-0004-0000-0900-00001D000000}"/>
    <hyperlink ref="B262" location="Trimestre!C25:F26" display="HIPOTECA" xr:uid="{00000000-0004-0000-0900-00001E000000}"/>
    <hyperlink ref="B262:G263" location="AÑO!AI33:AL33" display="AÑO!AI33:AL33" xr:uid="{00000000-0004-0000-0900-00001F000000}"/>
    <hyperlink ref="B282" location="Trimestre!C25:F26" display="HIPOTECA" xr:uid="{00000000-0004-0000-0900-000020000000}"/>
    <hyperlink ref="B282:G283" location="AÑO!AI34:AL34" display="AÑO!AI34:AL34" xr:uid="{00000000-0004-0000-0900-000021000000}"/>
    <hyperlink ref="B302" location="Trimestre!C25:F26" display="HIPOTECA" xr:uid="{00000000-0004-0000-0900-000022000000}"/>
    <hyperlink ref="B302:G303" location="AÑO!AI35:AL35" display="AÑO!AI35:AL35" xr:uid="{00000000-0004-0000-0900-000023000000}"/>
    <hyperlink ref="B322" location="Trimestre!C25:F26" display="HIPOTECA" xr:uid="{00000000-0004-0000-0900-000024000000}"/>
    <hyperlink ref="B322:G323" location="AÑO!AI36:AL36" display="AÑO!AI36:AL36" xr:uid="{00000000-0004-0000-0900-000025000000}"/>
    <hyperlink ref="B342" location="Trimestre!C25:F26" display="HIPOTECA" xr:uid="{00000000-0004-0000-0900-000026000000}"/>
    <hyperlink ref="B342:G343" location="AÑO!AI37:AL37" display="AÑO!AI37:AL37" xr:uid="{00000000-0004-0000-0900-000027000000}"/>
    <hyperlink ref="B362" location="Trimestre!C25:F26" display="HIPOTECA" xr:uid="{00000000-0004-0000-0900-000028000000}"/>
    <hyperlink ref="B362:G363" location="AÑO!AI38:AL38" display="AÑO!AI38:AL38" xr:uid="{00000000-0004-0000-0900-000029000000}"/>
    <hyperlink ref="B382" location="Trimestre!C25:F26" display="HIPOTECA" xr:uid="{00000000-0004-0000-0900-00002A000000}"/>
    <hyperlink ref="B382:G383" location="AÑO!AI39:AL39" display="AÑO!AI39:AL39" xr:uid="{00000000-0004-0000-0900-00002B000000}"/>
    <hyperlink ref="B402" location="Trimestre!C25:F26" display="HIPOTECA" xr:uid="{00000000-0004-0000-0900-00002C000000}"/>
    <hyperlink ref="B402:G403" location="AÑO!AI40:AL40" display="AÑO!AI40:AL40" xr:uid="{00000000-0004-0000-0900-00002D000000}"/>
    <hyperlink ref="B422" location="Trimestre!C25:F26" display="HIPOTECA" xr:uid="{00000000-0004-0000-0900-00002E000000}"/>
    <hyperlink ref="B422:G423" location="AÑO!AI41:AL41" display="AÑO!AI41:AL41" xr:uid="{00000000-0004-0000-0900-00002F000000}"/>
    <hyperlink ref="B442" location="Trimestre!C25:F26" display="HIPOTECA" xr:uid="{00000000-0004-0000-0900-000030000000}"/>
    <hyperlink ref="B442:G443" location="AÑO!AI42:AL42" display="AÑO!AI42:AL42" xr:uid="{00000000-0004-0000-0900-000031000000}"/>
    <hyperlink ref="B462" location="Trimestre!C25:F26" display="HIPOTECA" xr:uid="{00000000-0004-0000-0900-000032000000}"/>
    <hyperlink ref="B462:G463" location="AÑO!AI43:AL43" display="AÑO!AI43:AL43" xr:uid="{00000000-0004-0000-0900-000033000000}"/>
    <hyperlink ref="B482" location="Trimestre!C25:F26" display="HIPOTECA" xr:uid="{00000000-0004-0000-0900-000034000000}"/>
    <hyperlink ref="B482:G483" location="AÑO!AI44:AL44" display="AÑO!AI44:AL44" xr:uid="{00000000-0004-0000-0900-000035000000}"/>
    <hyperlink ref="B502" location="Trimestre!C25:F26" display="HIPOTECA" xr:uid="{00000000-0004-0000-0900-000036000000}"/>
    <hyperlink ref="B502:G503" location="AÑO!AI45:AL45" display="AÑO!AI45:AL45" xr:uid="{00000000-0004-0000-0900-000037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18" workbookViewId="0">
      <selection activeCell="L55" sqref="L55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2" style="89" bestFit="1" customWidth="1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55</v>
      </c>
      <c r="J4" s="105" t="s">
        <v>56</v>
      </c>
      <c r="K4" s="428" t="s">
        <v>57</v>
      </c>
      <c r="L4" s="429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14">
        <v>3984.38</v>
      </c>
      <c r="L5" s="415"/>
      <c r="M5" s="1"/>
      <c r="N5" s="1"/>
      <c r="R5" s="3"/>
    </row>
    <row r="6" spans="1:22" ht="15.75">
      <c r="A6" s="112">
        <f>'09'!A6+(B6-SUM(D6:F6))</f>
        <v>395.26</v>
      </c>
      <c r="B6" s="133">
        <v>389.26</v>
      </c>
      <c r="C6" s="19" t="s">
        <v>772</v>
      </c>
      <c r="D6" s="137"/>
      <c r="E6" s="138">
        <v>389.26</v>
      </c>
      <c r="F6" s="138"/>
      <c r="G6" s="16" t="s">
        <v>30</v>
      </c>
      <c r="H6" s="1"/>
      <c r="I6" s="108" t="s">
        <v>58</v>
      </c>
      <c r="J6" s="107" t="s">
        <v>60</v>
      </c>
      <c r="K6" s="414">
        <v>620.12</v>
      </c>
      <c r="L6" s="415"/>
      <c r="M6" s="1" t="s">
        <v>163</v>
      </c>
      <c r="N6" s="1"/>
      <c r="R6" s="3"/>
    </row>
    <row r="7" spans="1:22" ht="15.75">
      <c r="A7" s="112">
        <f>'09'!A7+(B7-SUM(D7:F7))</f>
        <v>368.57</v>
      </c>
      <c r="B7" s="134">
        <v>67.180000000000007</v>
      </c>
      <c r="C7" s="16" t="s">
        <v>338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4">
        <v>8003.5599999999995</v>
      </c>
      <c r="L7" s="415"/>
      <c r="M7" s="1"/>
      <c r="N7" s="1"/>
      <c r="R7" s="3"/>
    </row>
    <row r="8" spans="1:22" ht="15.75">
      <c r="A8" s="112">
        <f>'09'!A8+(B8-SUM(D8:F8))</f>
        <v>-213.64999999999992</v>
      </c>
      <c r="B8" s="134">
        <v>0</v>
      </c>
      <c r="C8" s="16" t="s">
        <v>33</v>
      </c>
      <c r="D8" s="137"/>
      <c r="E8" s="113">
        <v>97.88</v>
      </c>
      <c r="F8" s="138"/>
      <c r="G8" s="16" t="s">
        <v>33</v>
      </c>
      <c r="H8" s="1"/>
      <c r="I8" s="108" t="s">
        <v>61</v>
      </c>
      <c r="J8" s="107" t="s">
        <v>63</v>
      </c>
      <c r="K8" s="414">
        <v>6305.62</v>
      </c>
      <c r="L8" s="415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155</v>
      </c>
      <c r="K9" s="414">
        <v>157.43</v>
      </c>
      <c r="L9" s="415"/>
      <c r="M9" s="1"/>
      <c r="N9" s="1"/>
      <c r="R9" s="3"/>
    </row>
    <row r="10" spans="1:22" ht="15.75">
      <c r="A10" s="112">
        <f>'09'!A10+(B10-SUM(D10:F10))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4">
        <v>1802.02</v>
      </c>
      <c r="L10" s="415"/>
      <c r="M10" s="1" t="s">
        <v>154</v>
      </c>
      <c r="N10" s="1"/>
      <c r="R10" s="3"/>
    </row>
    <row r="11" spans="1:22" ht="15.75">
      <c r="A11" s="112">
        <f>'09'!A11+(B11-SUM(D11:F11))</f>
        <v>30.240000000000002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4">
        <f>60+20</f>
        <v>80</v>
      </c>
      <c r="L11" s="415"/>
      <c r="M11" s="1"/>
      <c r="N11" s="1"/>
      <c r="R11" s="3"/>
    </row>
    <row r="12" spans="1:22" ht="15.75">
      <c r="A12" s="112">
        <f>'09'!A12+(B12-SUM(D12:F12))</f>
        <v>244.54000000000002</v>
      </c>
      <c r="B12" s="134">
        <v>0</v>
      </c>
      <c r="C12" s="16" t="s">
        <v>201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14">
        <f>5092.08+4044.26</f>
        <v>9136.34</v>
      </c>
      <c r="L12" s="415"/>
      <c r="M12" s="92"/>
      <c r="N12" s="1"/>
      <c r="R12" s="3"/>
    </row>
    <row r="13" spans="1:22" ht="15.75">
      <c r="A13" s="112">
        <f>'09'!A13+(B13-SUM(D13:F13))</f>
        <v>43.5</v>
      </c>
      <c r="B13" s="134">
        <v>6.5</v>
      </c>
      <c r="C13" s="16" t="s">
        <v>264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8">
        <f>SUM(K5:K18)</f>
        <v>30089.47</v>
      </c>
      <c r="L19" s="439"/>
      <c r="M19" s="1"/>
      <c r="N19" s="1"/>
      <c r="R19" s="3"/>
    </row>
    <row r="20" spans="1:18" ht="16.5" thickBot="1">
      <c r="A20" s="112">
        <f>SUM(A6:A15)</f>
        <v>892.46</v>
      </c>
      <c r="B20" s="135">
        <f>SUM(B6:B19)</f>
        <v>505.18</v>
      </c>
      <c r="C20" s="17" t="s">
        <v>51</v>
      </c>
      <c r="D20" s="135">
        <f>SUM(D6:D19)</f>
        <v>0</v>
      </c>
      <c r="E20" s="135">
        <f>SUM(E6:E19)</f>
        <v>529.38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19151.11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29</v>
      </c>
      <c r="J24" s="432" t="s">
        <v>85</v>
      </c>
      <c r="K24" s="433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19" t="str">
        <f>AÑO!A8</f>
        <v>Manolo Salario</v>
      </c>
      <c r="J25" s="422"/>
      <c r="K25" s="423"/>
      <c r="L25" s="231">
        <v>2617.69</v>
      </c>
      <c r="M25" s="1"/>
      <c r="R25" s="3"/>
    </row>
    <row r="26" spans="1:18" ht="15.75">
      <c r="A26" s="112">
        <f>'09'!A26+(B26-SUM(D26:F26))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'09'!A27+(B27-SUM(D27:F27))</f>
        <v>233.06999999999994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'09'!A28+(B28-SUM(D28:F28))</f>
        <v>69.920000000000016</v>
      </c>
      <c r="B28" s="134">
        <v>40</v>
      </c>
      <c r="C28" s="27" t="s">
        <v>39</v>
      </c>
      <c r="D28" s="137">
        <v>104.19</v>
      </c>
      <c r="E28" s="138"/>
      <c r="F28" s="138"/>
      <c r="G28" s="16" t="s">
        <v>39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'09'!A29+(B29-SUM(D29:F29))</f>
        <v>19.630000000000006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'09'!A30+(B30-SUM(D30:F30))</f>
        <v>191.27999999999997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368</v>
      </c>
      <c r="K30" s="423"/>
      <c r="L30" s="231">
        <v>374.86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564</v>
      </c>
      <c r="K31" s="425"/>
      <c r="L31" s="229">
        <v>30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799</v>
      </c>
      <c r="K32" s="425"/>
      <c r="L32" s="229">
        <f>10.59</f>
        <v>10.59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 t="s">
        <v>266</v>
      </c>
      <c r="K33" s="425"/>
      <c r="L33" s="229">
        <v>183.6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212</v>
      </c>
      <c r="J35" s="422"/>
      <c r="K35" s="423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1413.9</v>
      </c>
      <c r="B40" s="135">
        <f>SUM(B26:B39)</f>
        <v>1148</v>
      </c>
      <c r="C40" s="17" t="s">
        <v>51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19" t="str">
        <f>AÑO!A11</f>
        <v>Finanazas</v>
      </c>
      <c r="J40" s="422" t="s">
        <v>362</v>
      </c>
      <c r="K40" s="423"/>
      <c r="L40" s="231">
        <v>0.89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 t="s">
        <v>58</v>
      </c>
      <c r="K41" s="425"/>
      <c r="L41" s="229">
        <v>0.02</v>
      </c>
      <c r="M41" s="1"/>
      <c r="R41" s="3"/>
    </row>
    <row r="42" spans="1:18" ht="15.6" customHeight="1">
      <c r="A42" s="1"/>
      <c r="B42" s="402" t="str">
        <f>AÑO!A22</f>
        <v>Supermercado</v>
      </c>
      <c r="C42" s="409"/>
      <c r="D42" s="409"/>
      <c r="E42" s="409"/>
      <c r="F42" s="409"/>
      <c r="G42" s="410"/>
      <c r="H42" s="1"/>
      <c r="I42" s="420"/>
      <c r="J42" s="424" t="s">
        <v>802</v>
      </c>
      <c r="K42" s="425"/>
      <c r="L42" s="229">
        <v>52.06</v>
      </c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19" t="str">
        <f>AÑO!A12</f>
        <v>Regalos</v>
      </c>
      <c r="J45" s="422"/>
      <c r="K45" s="423"/>
      <c r="L45" s="231"/>
      <c r="M45" s="1"/>
      <c r="R45" s="3"/>
    </row>
    <row r="46" spans="1:18" ht="15.75">
      <c r="A46" s="1"/>
      <c r="B46" s="133">
        <v>300</v>
      </c>
      <c r="C46" s="19"/>
      <c r="D46" s="137">
        <f>93.65-D146-D246</f>
        <v>30.310000000000006</v>
      </c>
      <c r="E46" s="138"/>
      <c r="F46" s="138"/>
      <c r="G46" s="30" t="s">
        <v>777</v>
      </c>
      <c r="H46" s="1"/>
      <c r="I46" s="420"/>
      <c r="J46" s="424"/>
      <c r="K46" s="425"/>
      <c r="L46" s="229"/>
      <c r="M46" s="1"/>
      <c r="R46" s="3"/>
    </row>
    <row r="47" spans="1:18" ht="15.75">
      <c r="A47" s="1"/>
      <c r="B47" s="134"/>
      <c r="C47" s="16"/>
      <c r="D47" s="137">
        <v>41.73</v>
      </c>
      <c r="E47" s="138"/>
      <c r="F47" s="138"/>
      <c r="G47" s="16" t="s">
        <v>780</v>
      </c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/>
      <c r="D48" s="137">
        <v>6.18</v>
      </c>
      <c r="E48" s="138"/>
      <c r="F48" s="138"/>
      <c r="G48" s="16" t="s">
        <v>781</v>
      </c>
      <c r="H48" s="1"/>
      <c r="I48" s="420"/>
      <c r="J48" s="424"/>
      <c r="K48" s="425"/>
      <c r="L48" s="229"/>
      <c r="M48" s="1"/>
      <c r="R48" s="3"/>
    </row>
    <row r="49" spans="1:18" ht="15.75">
      <c r="A49" s="1"/>
      <c r="B49" s="134"/>
      <c r="C49" s="16"/>
      <c r="D49" s="137">
        <v>52.88</v>
      </c>
      <c r="E49" s="138"/>
      <c r="F49" s="138"/>
      <c r="G49" s="16" t="s">
        <v>788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>
        <v>9.35</v>
      </c>
      <c r="E50" s="138"/>
      <c r="F50" s="138"/>
      <c r="G50" s="16" t="s">
        <v>795</v>
      </c>
      <c r="H50" s="1"/>
      <c r="I50" s="419" t="str">
        <f>AÑO!A13</f>
        <v>Gubernamental</v>
      </c>
      <c r="J50" s="422" t="s">
        <v>736</v>
      </c>
      <c r="K50" s="423"/>
      <c r="L50" s="231">
        <v>95.8</v>
      </c>
      <c r="M50" s="1"/>
      <c r="R50" s="3"/>
    </row>
    <row r="51" spans="1:18" ht="15.75">
      <c r="A51" s="1"/>
      <c r="B51" s="134"/>
      <c r="C51" s="16"/>
      <c r="D51" s="137">
        <v>3.34</v>
      </c>
      <c r="E51" s="138"/>
      <c r="F51" s="138"/>
      <c r="G51" s="16" t="s">
        <v>796</v>
      </c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>
        <v>40.39</v>
      </c>
      <c r="E52" s="138"/>
      <c r="F52" s="138"/>
      <c r="G52" s="16" t="s">
        <v>797</v>
      </c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>
        <v>9.61</v>
      </c>
      <c r="E53" s="138"/>
      <c r="F53" s="138"/>
      <c r="G53" s="16" t="s">
        <v>798</v>
      </c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>
        <v>16.88</v>
      </c>
      <c r="E54" s="138"/>
      <c r="F54" s="138"/>
      <c r="G54" s="16" t="s">
        <v>800</v>
      </c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>
        <v>21.85</v>
      </c>
      <c r="E55" s="138"/>
      <c r="F55" s="138"/>
      <c r="G55" s="16" t="s">
        <v>808</v>
      </c>
      <c r="H55" s="1"/>
      <c r="I55" s="419" t="str">
        <f>AÑO!A14</f>
        <v>Mutualite/DKV</v>
      </c>
      <c r="J55" s="422" t="s">
        <v>404</v>
      </c>
      <c r="K55" s="423"/>
      <c r="L55" s="231">
        <f>14.27+14.27+14.27+14.27</f>
        <v>57.08</v>
      </c>
      <c r="M55" s="1"/>
      <c r="R55" s="3"/>
    </row>
    <row r="56" spans="1:18" ht="15.75">
      <c r="A56" s="1"/>
      <c r="B56" s="134"/>
      <c r="C56" s="16"/>
      <c r="D56" s="137">
        <v>94.69</v>
      </c>
      <c r="E56" s="138"/>
      <c r="F56" s="138"/>
      <c r="G56" s="16" t="s">
        <v>809</v>
      </c>
      <c r="H56" s="1"/>
      <c r="I56" s="420"/>
      <c r="J56" s="424"/>
      <c r="K56" s="425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327.21000000000004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19" t="str">
        <f>AÑO!A15</f>
        <v>Alquiler Cartama</v>
      </c>
      <c r="J60" s="422" t="s">
        <v>37</v>
      </c>
      <c r="K60" s="423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'09'!A66+(B66-SUM(D66:F78))+B67</f>
        <v>274.5200000000001</v>
      </c>
      <c r="B66" s="133">
        <v>175</v>
      </c>
      <c r="C66" s="19" t="s">
        <v>31</v>
      </c>
      <c r="D66" s="137">
        <v>13.5</v>
      </c>
      <c r="E66" s="138"/>
      <c r="F66" s="138"/>
      <c r="G66" s="16" t="s">
        <v>779</v>
      </c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/>
      <c r="C67" s="16"/>
      <c r="D67" s="137">
        <v>42</v>
      </c>
      <c r="E67" s="138"/>
      <c r="F67" s="138"/>
      <c r="G67" s="31" t="s">
        <v>789</v>
      </c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/>
      <c r="C68" s="16"/>
      <c r="D68" s="137">
        <v>31</v>
      </c>
      <c r="E68" s="138"/>
      <c r="F68" s="138"/>
      <c r="G68" s="16" t="s">
        <v>794</v>
      </c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>
        <v>33.65</v>
      </c>
      <c r="E69" s="138"/>
      <c r="F69" s="138"/>
      <c r="G69" s="16" t="s">
        <v>827</v>
      </c>
      <c r="H69" s="1"/>
      <c r="I69" s="434"/>
      <c r="J69" s="435"/>
      <c r="K69" s="436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'09'!A79+(B79-SUM(D79:F79))</f>
        <v>33.819999999999993</v>
      </c>
      <c r="B79" s="233">
        <v>10</v>
      </c>
      <c r="C79" s="17" t="s">
        <v>230</v>
      </c>
      <c r="D79" s="135">
        <f>22.3+25.93</f>
        <v>48.230000000000004</v>
      </c>
      <c r="E79" s="139"/>
      <c r="F79" s="139"/>
      <c r="G79" s="17" t="s">
        <v>822</v>
      </c>
      <c r="H79" s="1"/>
      <c r="M79" s="1"/>
      <c r="R79" s="3"/>
    </row>
    <row r="80" spans="1:18" ht="16.5" thickBot="1">
      <c r="A80" s="112">
        <f>SUM(A66:A79)</f>
        <v>308.34000000000009</v>
      </c>
      <c r="B80" s="233">
        <f>SUM(B66:B79)</f>
        <v>185</v>
      </c>
      <c r="C80" s="17" t="s">
        <v>51</v>
      </c>
      <c r="D80" s="135">
        <f>SUM(D66:D79)</f>
        <v>168.38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150</v>
      </c>
      <c r="C86" s="19" t="s">
        <v>197</v>
      </c>
      <c r="D86" s="137">
        <v>1</v>
      </c>
      <c r="E86" s="138"/>
      <c r="F86" s="138"/>
      <c r="G86" s="16" t="s">
        <v>776</v>
      </c>
      <c r="H86" s="1"/>
      <c r="M86" s="1"/>
      <c r="R86" s="3"/>
    </row>
    <row r="87" spans="1:18" ht="15.75">
      <c r="A87" s="1"/>
      <c r="B87" s="134"/>
      <c r="C87" s="16"/>
      <c r="D87" s="137">
        <v>48.95</v>
      </c>
      <c r="E87" s="138"/>
      <c r="F87" s="138"/>
      <c r="G87" s="16" t="s">
        <v>785</v>
      </c>
      <c r="H87" s="1"/>
      <c r="M87" s="1"/>
      <c r="R87" s="3"/>
    </row>
    <row r="88" spans="1:18" ht="15.75">
      <c r="A88" s="1"/>
      <c r="B88" s="134"/>
      <c r="C88" s="16"/>
      <c r="D88" s="137"/>
      <c r="E88" s="138">
        <v>2</v>
      </c>
      <c r="F88" s="138"/>
      <c r="G88" s="16" t="s">
        <v>787</v>
      </c>
      <c r="H88" s="1"/>
      <c r="M88" s="1"/>
      <c r="R88" s="3"/>
    </row>
    <row r="89" spans="1:18" ht="15.75">
      <c r="A89" s="1"/>
      <c r="B89" s="134"/>
      <c r="C89" s="16"/>
      <c r="D89" s="137">
        <v>49.91</v>
      </c>
      <c r="E89" s="138"/>
      <c r="F89" s="138"/>
      <c r="G89" s="16" t="s">
        <v>806</v>
      </c>
      <c r="H89" s="1"/>
      <c r="M89" s="1"/>
      <c r="R89" s="3"/>
    </row>
    <row r="90" spans="1:18" ht="15.75">
      <c r="A90" s="1"/>
      <c r="B90" s="134"/>
      <c r="C90" s="16"/>
      <c r="D90" s="137">
        <v>2</v>
      </c>
      <c r="E90" s="138"/>
      <c r="F90" s="138"/>
      <c r="G90" s="16" t="s">
        <v>807</v>
      </c>
      <c r="H90" s="1"/>
      <c r="M90" s="1"/>
      <c r="R90" s="3"/>
    </row>
    <row r="91" spans="1:18" ht="15.75">
      <c r="A91" s="1"/>
      <c r="B91" s="134"/>
      <c r="C91" s="16"/>
      <c r="D91" s="137">
        <v>49.91</v>
      </c>
      <c r="E91" s="138"/>
      <c r="F91" s="138"/>
      <c r="G91" s="16" t="s">
        <v>810</v>
      </c>
      <c r="H91" s="1"/>
      <c r="M91" s="1"/>
      <c r="R91" s="3"/>
    </row>
    <row r="92" spans="1:18" ht="15.75">
      <c r="A92" s="1"/>
      <c r="B92" s="134"/>
      <c r="C92" s="16"/>
      <c r="D92" s="137">
        <v>44.51</v>
      </c>
      <c r="E92" s="138"/>
      <c r="F92" s="138"/>
      <c r="G92" s="16" t="s">
        <v>831</v>
      </c>
      <c r="H92" s="1"/>
      <c r="M92" s="1"/>
      <c r="R92" s="3"/>
    </row>
    <row r="93" spans="1:18" ht="15.75">
      <c r="A93" s="1"/>
      <c r="B93" s="134"/>
      <c r="C93" s="16"/>
      <c r="D93" s="137"/>
      <c r="E93" s="138">
        <v>11.9</v>
      </c>
      <c r="F93" s="138"/>
      <c r="G93" s="16" t="s">
        <v>833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196.27999999999997</v>
      </c>
      <c r="E100" s="135">
        <f>SUM(E86:E99)</f>
        <v>13.9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'09'!A106+(B106-SUM(D106:F106))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'09'!A107+(B107-SUM(D107:F107))</f>
        <v>71.200000000000045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'09'!A108+(B108-SUM(D108:F108))</f>
        <v>633.09999999999991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'09'!A109+(B109-SUM(D109:F109))+B110+B111</f>
        <v>3674.0415974244993</v>
      </c>
      <c r="B109" s="134">
        <v>80</v>
      </c>
      <c r="C109" s="18" t="s">
        <v>393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300</v>
      </c>
      <c r="C110" s="16" t="s">
        <v>350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3.8615974244978917</v>
      </c>
      <c r="C111" s="16" t="s">
        <v>802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962.77</v>
      </c>
      <c r="B120" s="135">
        <f>SUM(B106:B119)</f>
        <v>761.33159742449789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'09'!A126+(B126-SUM(D126:F126))</f>
        <v>15</v>
      </c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'09'!A127+(B127-SUM(D127:F128))</f>
        <v>17.5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816</v>
      </c>
      <c r="I127" s="113">
        <f>D127+D128+'09'!I127</f>
        <v>125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I128" s="113"/>
      <c r="M128" s="1"/>
      <c r="R128" s="3"/>
    </row>
    <row r="129" spans="1:18" ht="15.75">
      <c r="A129" s="112">
        <f>'09'!A129+(B129-SUM(D129:F129))</f>
        <v>6.9999999999998508E-2</v>
      </c>
      <c r="B129" s="134">
        <v>8</v>
      </c>
      <c r="C129" s="16" t="s">
        <v>160</v>
      </c>
      <c r="D129" s="137"/>
      <c r="E129" s="138">
        <v>7.99</v>
      </c>
      <c r="F129" s="138"/>
      <c r="G129" s="16" t="s">
        <v>160</v>
      </c>
      <c r="H129" s="1"/>
      <c r="M129" s="1"/>
      <c r="R129" s="3"/>
    </row>
    <row r="130" spans="1:18" ht="15.75">
      <c r="A130" s="112">
        <f>'09'!A130+(B130-SUM(D130:F130))</f>
        <v>-62.5</v>
      </c>
      <c r="B130" s="134">
        <v>2.5</v>
      </c>
      <c r="C130" s="16" t="s">
        <v>825</v>
      </c>
      <c r="D130" s="137">
        <v>65</v>
      </c>
      <c r="E130" s="138"/>
      <c r="F130" s="138"/>
      <c r="G130" s="16" t="s">
        <v>826</v>
      </c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32.5</v>
      </c>
      <c r="B140" s="135">
        <f>SUM(B126:B139)</f>
        <v>53</v>
      </c>
      <c r="C140" s="17" t="s">
        <v>51</v>
      </c>
      <c r="D140" s="135">
        <f>SUM(D126:D139)</f>
        <v>102.5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>
        <f>29.38+32.98-7.35-8.25</f>
        <v>46.76</v>
      </c>
      <c r="E146" s="138"/>
      <c r="F146" s="138"/>
      <c r="G146" s="16" t="s">
        <v>777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46.76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>
        <f>38</f>
        <v>38</v>
      </c>
      <c r="E186" s="138"/>
      <c r="F186" s="138"/>
      <c r="G186" s="16" t="s">
        <v>782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37.46</v>
      </c>
      <c r="E187" s="138"/>
      <c r="F187" s="138"/>
      <c r="G187" s="16" t="s">
        <v>790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14.98</v>
      </c>
      <c r="E188" s="138"/>
      <c r="F188" s="138"/>
      <c r="G188" s="16" t="s">
        <v>793</v>
      </c>
      <c r="I188" s="1"/>
      <c r="J188" s="1"/>
      <c r="K188" s="1"/>
      <c r="L188" s="1"/>
    </row>
    <row r="189" spans="1:22" ht="15.75">
      <c r="B189" s="134"/>
      <c r="C189" s="16"/>
      <c r="D189" s="137">
        <v>28.95</v>
      </c>
      <c r="E189" s="138"/>
      <c r="F189" s="138"/>
      <c r="G189" s="16" t="s">
        <v>818</v>
      </c>
      <c r="I189" s="1"/>
      <c r="J189" s="1"/>
      <c r="K189" s="1"/>
      <c r="L189" s="1"/>
    </row>
    <row r="190" spans="1:22" ht="15.75">
      <c r="B190" s="134"/>
      <c r="C190" s="16"/>
      <c r="D190" s="137">
        <v>14.4</v>
      </c>
      <c r="E190" s="138"/>
      <c r="F190" s="138"/>
      <c r="G190" s="16" t="s">
        <v>819</v>
      </c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133.79000000000002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>
        <v>23.5</v>
      </c>
      <c r="E206" s="138"/>
      <c r="F206" s="138"/>
      <c r="G206" s="16" t="s">
        <v>823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23.5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7" ht="15" customHeight="1">
      <c r="A246" s="112">
        <f>'09'!A246+(B246-SUM(D246:F255))</f>
        <v>-21.53</v>
      </c>
      <c r="B246" s="134">
        <v>50</v>
      </c>
      <c r="C246" s="27" t="s">
        <v>340</v>
      </c>
      <c r="D246" s="137">
        <f>2.99+15.99-2.4</f>
        <v>16.580000000000002</v>
      </c>
      <c r="E246" s="138"/>
      <c r="F246" s="138"/>
      <c r="G246" s="16" t="s">
        <v>777</v>
      </c>
    </row>
    <row r="247" spans="1:7" ht="15" customHeight="1">
      <c r="A247" s="112"/>
      <c r="B247" s="134"/>
      <c r="C247" s="16"/>
      <c r="D247" s="137">
        <f>43.03-D53</f>
        <v>33.42</v>
      </c>
      <c r="E247" s="138"/>
      <c r="F247" s="138"/>
      <c r="G247" s="16" t="s">
        <v>798</v>
      </c>
    </row>
    <row r="248" spans="1:7" ht="15.75">
      <c r="A248" s="112"/>
      <c r="B248" s="134"/>
      <c r="C248" s="16"/>
      <c r="D248" s="137">
        <v>15.24</v>
      </c>
      <c r="E248" s="138"/>
      <c r="F248" s="138"/>
      <c r="G248" s="16" t="s">
        <v>805</v>
      </c>
    </row>
    <row r="249" spans="1:7" ht="15.75">
      <c r="A249" s="112"/>
      <c r="B249" s="134"/>
      <c r="C249" s="16"/>
      <c r="D249" s="137">
        <v>6.29</v>
      </c>
      <c r="E249" s="138"/>
      <c r="F249" s="138"/>
      <c r="G249" s="16" t="s">
        <v>820</v>
      </c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'09'!A256+(B256-SUM(D256:F256))</f>
        <v>45</v>
      </c>
      <c r="B256" s="134">
        <v>5</v>
      </c>
      <c r="C256" s="16" t="s">
        <v>347</v>
      </c>
      <c r="D256" s="137"/>
      <c r="E256" s="138"/>
      <c r="F256" s="138"/>
      <c r="G256" s="16"/>
    </row>
    <row r="257" spans="1:9" ht="15.75">
      <c r="A257" s="112">
        <f>'09'!A257+(B257-SUM(D257:F257))</f>
        <v>384.11000000000007</v>
      </c>
      <c r="B257" s="134">
        <v>40</v>
      </c>
      <c r="C257" s="16" t="s">
        <v>735</v>
      </c>
      <c r="D257" s="137"/>
      <c r="E257" s="138">
        <v>100.67</v>
      </c>
      <c r="F257" s="138"/>
      <c r="G257" s="16" t="s">
        <v>343</v>
      </c>
      <c r="H257" s="89">
        <f>1208-(100.67*5)</f>
        <v>704.65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407.58000000000004</v>
      </c>
      <c r="B260" s="135">
        <f>SUM(B246:B259)</f>
        <v>95</v>
      </c>
      <c r="C260" s="17" t="s">
        <v>51</v>
      </c>
      <c r="D260" s="135">
        <f>SUM(D246:D259)</f>
        <v>71.53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9" ht="15" customHeight="1" thickBot="1">
      <c r="B263" s="411"/>
      <c r="C263" s="412"/>
      <c r="D263" s="412"/>
      <c r="E263" s="412"/>
      <c r="F263" s="412"/>
      <c r="G263" s="413"/>
    </row>
    <row r="264" spans="1:9">
      <c r="B264" s="400" t="s">
        <v>8</v>
      </c>
      <c r="C264" s="401"/>
      <c r="D264" s="400" t="s">
        <v>9</v>
      </c>
      <c r="E264" s="408"/>
      <c r="F264" s="408"/>
      <c r="G264" s="401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>
        <v>50</v>
      </c>
      <c r="C266" s="19"/>
      <c r="D266" s="137">
        <v>22</v>
      </c>
      <c r="E266" s="138"/>
      <c r="F266" s="138"/>
      <c r="G266" s="16" t="s">
        <v>775</v>
      </c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  <c r="I271" s="89">
        <f>46/96</f>
        <v>0.47916666666666669</v>
      </c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22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1:8" ht="15" customHeight="1" thickBot="1">
      <c r="B283" s="411"/>
      <c r="C283" s="412"/>
      <c r="D283" s="412"/>
      <c r="E283" s="412"/>
      <c r="F283" s="412"/>
      <c r="G283" s="413"/>
    </row>
    <row r="284" spans="1:8">
      <c r="B284" s="400" t="s">
        <v>8</v>
      </c>
      <c r="C284" s="401"/>
      <c r="D284" s="400" t="s">
        <v>9</v>
      </c>
      <c r="E284" s="408"/>
      <c r="F284" s="408"/>
      <c r="G284" s="401"/>
    </row>
    <row r="285" spans="1:8" ht="15.75">
      <c r="A285" s="1" t="s">
        <v>181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1:8" ht="15.75">
      <c r="A286" s="112">
        <f>'09'!A286+(SUM(B286:B298)-SUM(D286:F298))</f>
        <v>232.50999999999988</v>
      </c>
      <c r="B286" s="133">
        <v>50</v>
      </c>
      <c r="C286" s="19" t="s">
        <v>31</v>
      </c>
      <c r="D286" s="137">
        <v>8.5</v>
      </c>
      <c r="E286" s="138"/>
      <c r="F286" s="138"/>
      <c r="G286" s="16" t="s">
        <v>783</v>
      </c>
      <c r="H286" s="113"/>
    </row>
    <row r="287" spans="1:8" ht="15.75">
      <c r="A287" s="112"/>
      <c r="B287" s="134"/>
      <c r="C287" s="16"/>
      <c r="D287" s="137">
        <v>17.95</v>
      </c>
      <c r="E287" s="138"/>
      <c r="F287" s="138"/>
      <c r="G287" s="16" t="s">
        <v>784</v>
      </c>
      <c r="H287" s="92"/>
    </row>
    <row r="288" spans="1:8" ht="15.75">
      <c r="A288" s="112"/>
      <c r="B288" s="134"/>
      <c r="C288" s="16"/>
      <c r="D288" s="137">
        <v>10.45</v>
      </c>
      <c r="E288" s="138"/>
      <c r="F288" s="138"/>
      <c r="G288" s="16" t="s">
        <v>821</v>
      </c>
    </row>
    <row r="289" spans="1:8" ht="15.75">
      <c r="A289" s="112"/>
      <c r="B289" s="134"/>
      <c r="C289" s="16"/>
      <c r="D289" s="137">
        <v>9</v>
      </c>
      <c r="E289" s="138"/>
      <c r="F289" s="138"/>
      <c r="G289" s="16" t="s">
        <v>824</v>
      </c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'09'!A299+(B299-SUM(D299:F299))</f>
        <v>100</v>
      </c>
      <c r="B299" s="135">
        <v>40</v>
      </c>
      <c r="C299" s="17" t="s">
        <v>704</v>
      </c>
      <c r="D299" s="135"/>
      <c r="E299" s="139"/>
      <c r="F299" s="139"/>
      <c r="G299" s="17"/>
    </row>
    <row r="300" spans="1:8" ht="16.5" thickBot="1">
      <c r="A300" s="112">
        <f>SUM(A286:A299)</f>
        <v>332.50999999999988</v>
      </c>
      <c r="B300" s="135">
        <f>SUM(B286:B299)</f>
        <v>90</v>
      </c>
      <c r="C300" s="17" t="s">
        <v>51</v>
      </c>
      <c r="D300" s="135">
        <f>SUM(D286:D299)</f>
        <v>45.9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1:8" ht="15" customHeight="1" thickBot="1">
      <c r="B303" s="411"/>
      <c r="C303" s="412"/>
      <c r="D303" s="412"/>
      <c r="E303" s="412"/>
      <c r="F303" s="412"/>
      <c r="G303" s="413"/>
    </row>
    <row r="304" spans="1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130</v>
      </c>
      <c r="C306" s="19" t="s">
        <v>660</v>
      </c>
      <c r="D306" s="137">
        <f>37.5+37.5</f>
        <v>75</v>
      </c>
      <c r="E306" s="138"/>
      <c r="F306" s="138"/>
      <c r="G306" s="16" t="s">
        <v>786</v>
      </c>
    </row>
    <row r="307" spans="2:7">
      <c r="B307" s="134">
        <f>28.54*2</f>
        <v>57.08</v>
      </c>
      <c r="C307" s="27" t="s">
        <v>404</v>
      </c>
      <c r="D307" s="137"/>
      <c r="E307" s="138"/>
      <c r="F307" s="138">
        <v>50</v>
      </c>
      <c r="G307" s="16" t="s">
        <v>791</v>
      </c>
    </row>
    <row r="308" spans="2:7">
      <c r="B308" s="134"/>
      <c r="C308" s="27"/>
      <c r="D308" s="137">
        <v>35.96</v>
      </c>
      <c r="E308" s="138"/>
      <c r="F308" s="138"/>
      <c r="G308" s="16" t="s">
        <v>792</v>
      </c>
    </row>
    <row r="309" spans="2:7">
      <c r="B309" s="134"/>
      <c r="C309" s="16"/>
      <c r="D309" s="137">
        <v>16.21</v>
      </c>
      <c r="E309" s="138"/>
      <c r="F309" s="138"/>
      <c r="G309" s="16" t="s">
        <v>812</v>
      </c>
    </row>
    <row r="310" spans="2:7">
      <c r="B310" s="134"/>
      <c r="C310" s="16"/>
      <c r="D310" s="137"/>
      <c r="E310" s="138"/>
      <c r="F310" s="138">
        <v>50</v>
      </c>
      <c r="G310" s="16" t="s">
        <v>811</v>
      </c>
    </row>
    <row r="311" spans="2:7">
      <c r="B311" s="134"/>
      <c r="C311" s="16"/>
      <c r="D311" s="137">
        <v>3.02</v>
      </c>
      <c r="E311" s="138"/>
      <c r="F311" s="138">
        <v>0.5</v>
      </c>
      <c r="G311" s="16" t="s">
        <v>813</v>
      </c>
    </row>
    <row r="312" spans="2:7">
      <c r="B312" s="134"/>
      <c r="C312" s="16"/>
      <c r="D312" s="137"/>
      <c r="E312" s="138"/>
      <c r="F312" s="138">
        <v>60</v>
      </c>
      <c r="G312" s="16" t="s">
        <v>815</v>
      </c>
    </row>
    <row r="313" spans="2:7">
      <c r="B313" s="134"/>
      <c r="C313" s="16"/>
      <c r="D313" s="137">
        <v>5.3</v>
      </c>
      <c r="E313" s="138"/>
      <c r="F313" s="138"/>
      <c r="G313" s="16" t="s">
        <v>817</v>
      </c>
    </row>
    <row r="314" spans="2:7">
      <c r="B314" s="134"/>
      <c r="C314" s="16"/>
      <c r="D314" s="137">
        <v>12.95</v>
      </c>
      <c r="E314" s="138"/>
      <c r="F314" s="138"/>
      <c r="G314" s="16" t="s">
        <v>830</v>
      </c>
    </row>
    <row r="315" spans="2:7">
      <c r="B315" s="134"/>
      <c r="C315" s="16"/>
      <c r="D315" s="137">
        <f>34.75+33.65</f>
        <v>68.400000000000006</v>
      </c>
      <c r="E315" s="138"/>
      <c r="F315" s="138"/>
      <c r="G315" s="16" t="s">
        <v>828</v>
      </c>
    </row>
    <row r="316" spans="2:7">
      <c r="B316" s="134"/>
      <c r="C316" s="16"/>
      <c r="D316" s="137">
        <f>10+10+3+10+3+2</f>
        <v>38</v>
      </c>
      <c r="E316" s="138"/>
      <c r="F316" s="138"/>
      <c r="G316" s="16" t="s">
        <v>829</v>
      </c>
    </row>
    <row r="317" spans="2:7">
      <c r="B317" s="134"/>
      <c r="C317" s="16"/>
      <c r="D317" s="137"/>
      <c r="E317" s="138"/>
      <c r="F317" s="138">
        <v>4.5</v>
      </c>
      <c r="G317" s="16" t="s">
        <v>834</v>
      </c>
    </row>
    <row r="318" spans="2:7">
      <c r="B318" s="134"/>
      <c r="C318" s="16"/>
      <c r="D318" s="137"/>
      <c r="E318" s="138"/>
      <c r="F318" s="138">
        <v>84.93</v>
      </c>
      <c r="G318" s="16" t="s">
        <v>835</v>
      </c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187.07999999999998</v>
      </c>
      <c r="C320" s="17" t="s">
        <v>51</v>
      </c>
      <c r="D320" s="135">
        <f>SUM(D306:D319)</f>
        <v>254.84000000000003</v>
      </c>
      <c r="E320" s="135">
        <f>SUM(E306:E319)</f>
        <v>0</v>
      </c>
      <c r="F320" s="135">
        <f>SUM(F306:F319)</f>
        <v>249.93</v>
      </c>
      <c r="G320" s="17" t="s">
        <v>51</v>
      </c>
    </row>
    <row r="321" spans="2:7" ht="15.75" thickBot="1"/>
    <row r="322" spans="2:7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/>
      <c r="E326" s="138"/>
      <c r="F326" s="138">
        <v>5</v>
      </c>
      <c r="G326" s="16" t="s">
        <v>778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5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2" t="str">
        <f>AÑO!A37</f>
        <v>Imprevistos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75">
      <c r="A345" s="1" t="s">
        <v>181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1:7" ht="15.75">
      <c r="A346" s="112">
        <f>'09'!A346+(B346-SUM(D346:F357))</f>
        <v>230.73</v>
      </c>
      <c r="B346" s="133">
        <v>0</v>
      </c>
      <c r="C346" s="19" t="s">
        <v>195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'09'!A358+(B358-SUM(D358:F358))</f>
        <v>105</v>
      </c>
      <c r="B358" s="134">
        <v>35</v>
      </c>
      <c r="C358" s="16" t="s">
        <v>671</v>
      </c>
      <c r="D358" s="137"/>
      <c r="E358" s="138"/>
      <c r="F358" s="138"/>
      <c r="G358" s="16"/>
    </row>
    <row r="359" spans="1:7" ht="16.5" thickBot="1">
      <c r="A359" s="112">
        <f>'09'!A359+(B359-SUM(D359:F359))</f>
        <v>30</v>
      </c>
      <c r="B359" s="135">
        <v>10</v>
      </c>
      <c r="C359" s="17" t="s">
        <v>670</v>
      </c>
      <c r="D359" s="135"/>
      <c r="E359" s="139"/>
      <c r="F359" s="139"/>
      <c r="G359" s="17"/>
    </row>
    <row r="360" spans="1:7" ht="16.5" thickBot="1">
      <c r="A360" s="112">
        <f>SUM(A346:A359)</f>
        <v>365.73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1:7">
      <c r="B366" s="133">
        <v>65</v>
      </c>
      <c r="C366" s="19" t="s">
        <v>31</v>
      </c>
      <c r="D366" s="137">
        <f>4.5</f>
        <v>4.5</v>
      </c>
      <c r="E366" s="138"/>
      <c r="F366" s="138">
        <f>4+4.5+4.5</f>
        <v>13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4.5</v>
      </c>
      <c r="E380" s="135">
        <f>SUM(E366:E379)</f>
        <v>0</v>
      </c>
      <c r="F380" s="135">
        <f>SUM(F366:F379)</f>
        <v>13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1400</v>
      </c>
      <c r="C387" s="16" t="s">
        <v>350</v>
      </c>
      <c r="D387" s="137"/>
      <c r="E387" s="138"/>
      <c r="F387" s="138"/>
      <c r="G387" s="16"/>
    </row>
    <row r="388" spans="2:7">
      <c r="B388" s="134">
        <v>18.020787980990161</v>
      </c>
      <c r="C388" s="16" t="s">
        <v>802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1433.0207879809902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3.15</v>
      </c>
      <c r="E406" s="138"/>
      <c r="F406" s="138"/>
      <c r="G406" s="16" t="s">
        <v>774</v>
      </c>
    </row>
    <row r="407" spans="2:7">
      <c r="B407" s="134">
        <v>0.89</v>
      </c>
      <c r="C407" s="16" t="s">
        <v>362</v>
      </c>
      <c r="D407" s="137"/>
      <c r="E407" s="138"/>
      <c r="F407" s="138"/>
      <c r="G407" s="16"/>
    </row>
    <row r="408" spans="2:7">
      <c r="B408" s="134">
        <v>0.02</v>
      </c>
      <c r="C408" s="16" t="s">
        <v>58</v>
      </c>
      <c r="D408" s="137"/>
      <c r="E408" s="138"/>
      <c r="F408" s="138"/>
      <c r="G408" s="16"/>
    </row>
    <row r="409" spans="2:7">
      <c r="B409" s="134">
        <v>1244.26</v>
      </c>
      <c r="C409" s="16" t="s">
        <v>350</v>
      </c>
      <c r="D409" s="137"/>
      <c r="E409" s="138"/>
      <c r="F409" s="138"/>
      <c r="G409" s="16"/>
    </row>
    <row r="410" spans="2:7">
      <c r="B410" s="134">
        <v>16.016104038019154</v>
      </c>
      <c r="C410" s="16" t="s">
        <v>802</v>
      </c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1311.1861040380193</v>
      </c>
      <c r="C420" s="17" t="s">
        <v>51</v>
      </c>
      <c r="D420" s="135">
        <f>SUM(D406:D419)</f>
        <v>3.15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AÑO!AM17</f>
        <v>3972.5899999999997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-37.460000000000036</v>
      </c>
      <c r="C426" s="19" t="s">
        <v>227</v>
      </c>
      <c r="D426" s="137"/>
      <c r="E426" s="138"/>
      <c r="F426" s="138"/>
      <c r="G426" s="16"/>
    </row>
    <row r="427" spans="1:7">
      <c r="A427" s="113">
        <v>0.89</v>
      </c>
      <c r="B427" s="134"/>
      <c r="C427" s="16"/>
      <c r="D427" s="137"/>
      <c r="E427" s="138"/>
      <c r="F427" s="138"/>
      <c r="G427" s="16"/>
    </row>
    <row r="428" spans="1:7">
      <c r="A428" s="113">
        <v>0.02</v>
      </c>
      <c r="B428" s="134"/>
      <c r="C428" s="16"/>
      <c r="D428" s="137"/>
      <c r="E428" s="138"/>
      <c r="F428" s="138"/>
      <c r="G428" s="16"/>
    </row>
    <row r="429" spans="1:7">
      <c r="A429" s="113">
        <v>52.06</v>
      </c>
      <c r="B429" s="134"/>
      <c r="C429" s="16"/>
      <c r="D429" s="137"/>
      <c r="E429" s="138"/>
      <c r="F429" s="138"/>
      <c r="G429" s="16"/>
    </row>
    <row r="430" spans="1:7">
      <c r="A430" s="113">
        <f>28.54*2</f>
        <v>57.08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-37.460000000000036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-4044.26</v>
      </c>
      <c r="C446" s="19" t="s">
        <v>350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731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-4044.26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NULO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'09'!A466+(B466-SUM(D466:F466))+(B469-550)</f>
        <v>0</v>
      </c>
      <c r="B466" s="134">
        <v>0</v>
      </c>
      <c r="C466" s="16" t="s">
        <v>286</v>
      </c>
      <c r="D466" s="137"/>
      <c r="E466" s="138"/>
      <c r="F466" s="138"/>
      <c r="G466" s="16"/>
    </row>
    <row r="467" spans="1:7" ht="15.75">
      <c r="A467" s="112">
        <f>'09'!A467+(B467-SUM(D467:F467))+(B469-550)+B470</f>
        <v>227.71919055649221</v>
      </c>
      <c r="B467" s="134">
        <v>71.349999999999994</v>
      </c>
      <c r="C467" s="16" t="s">
        <v>391</v>
      </c>
      <c r="D467" s="137"/>
      <c r="E467" s="138"/>
      <c r="F467" s="138"/>
      <c r="G467" s="16"/>
    </row>
    <row r="468" spans="1:7" ht="15.75">
      <c r="A468" s="112">
        <f>'09'!A468+(B468-SUM(D468:F468))</f>
        <v>183.4</v>
      </c>
      <c r="B468" s="134">
        <f>15</f>
        <v>15</v>
      </c>
      <c r="C468" s="16" t="s">
        <v>183</v>
      </c>
      <c r="D468" s="137"/>
      <c r="E468" s="138"/>
      <c r="F468" s="138"/>
      <c r="G468" s="16"/>
    </row>
    <row r="469" spans="1:7">
      <c r="B469" s="134">
        <v>1100</v>
      </c>
      <c r="C469" s="16" t="s">
        <v>350</v>
      </c>
      <c r="D469" s="137"/>
      <c r="E469" s="138"/>
      <c r="F469" s="138"/>
      <c r="G469" s="16"/>
    </row>
    <row r="470" spans="1:7">
      <c r="B470" s="134">
        <v>14.15919055649227</v>
      </c>
      <c r="C470" s="16" t="s">
        <v>802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411.11919055649219</v>
      </c>
      <c r="B480" s="135">
        <f>SUM(B466:B479)</f>
        <v>1200.5091905564923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>
        <v>81.98</v>
      </c>
      <c r="F506" s="138"/>
      <c r="G506" s="16" t="s">
        <v>832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81.98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A00-000000000000}"/>
    <hyperlink ref="I2:L3" location="AÑO!AM4:AP5" display="SALDO REAL" xr:uid="{00000000-0004-0000-0A00-000001000000}"/>
    <hyperlink ref="I22" location="Trimestre!C39:F40" display="TELÉFONO" xr:uid="{00000000-0004-0000-0A00-000002000000}"/>
    <hyperlink ref="I22:L23" location="AÑO!AM7:AP17" display="INGRESOS" xr:uid="{00000000-0004-0000-0A00-000003000000}"/>
    <hyperlink ref="B2" location="Trimestre!C25:F26" display="HIPOTECA" xr:uid="{00000000-0004-0000-0A00-000004000000}"/>
    <hyperlink ref="B2:G3" location="AÑO!AM20:AP20" display="AÑO!AM20:AP20" xr:uid="{00000000-0004-0000-0A00-000005000000}"/>
    <hyperlink ref="B22" location="Trimestre!C25:F26" display="HIPOTECA" xr:uid="{00000000-0004-0000-0A00-000006000000}"/>
    <hyperlink ref="B22:G23" location="AÑO!AM21:AP21" display="AÑO!AM21:AP21" xr:uid="{00000000-0004-0000-0A00-000007000000}"/>
    <hyperlink ref="B42" location="Trimestre!C25:F26" display="HIPOTECA" xr:uid="{00000000-0004-0000-0A00-000008000000}"/>
    <hyperlink ref="B42:G43" location="AÑO!AM22:AP22" display="AÑO!AM22:AP22" xr:uid="{00000000-0004-0000-0A00-000009000000}"/>
    <hyperlink ref="B62" location="Trimestre!C25:F26" display="HIPOTECA" xr:uid="{00000000-0004-0000-0A00-00000A000000}"/>
    <hyperlink ref="B62:G63" location="AÑO!AM23:AP23" display="AÑO!AM23:AP23" xr:uid="{00000000-0004-0000-0A00-00000B000000}"/>
    <hyperlink ref="B82" location="Trimestre!C25:F26" display="HIPOTECA" xr:uid="{00000000-0004-0000-0A00-00000C000000}"/>
    <hyperlink ref="B82:G83" location="AÑO!AM24:AP24" display="AÑO!AM24:AP24" xr:uid="{00000000-0004-0000-0A00-00000D000000}"/>
    <hyperlink ref="B102" location="Trimestre!C25:F26" display="HIPOTECA" xr:uid="{00000000-0004-0000-0A00-00000E000000}"/>
    <hyperlink ref="B102:G103" location="AÑO!AM25:AP25" display="AÑO!AM25:AP25" xr:uid="{00000000-0004-0000-0A00-00000F000000}"/>
    <hyperlink ref="B122" location="Trimestre!C25:F26" display="HIPOTECA" xr:uid="{00000000-0004-0000-0A00-000010000000}"/>
    <hyperlink ref="B122:G123" location="AÑO!AM26:AP26" display="AÑO!AM26:AP26" xr:uid="{00000000-0004-0000-0A00-000011000000}"/>
    <hyperlink ref="B142" location="Trimestre!C25:F26" display="HIPOTECA" xr:uid="{00000000-0004-0000-0A00-000012000000}"/>
    <hyperlink ref="B142:G143" location="AÑO!AM27:AP27" display="AÑO!AM27:AP27" xr:uid="{00000000-0004-0000-0A00-000013000000}"/>
    <hyperlink ref="B162" location="Trimestre!C25:F26" display="HIPOTECA" xr:uid="{00000000-0004-0000-0A00-000014000000}"/>
    <hyperlink ref="B162:G163" location="AÑO!AM28:AP28" display="AÑO!AM28:AP28" xr:uid="{00000000-0004-0000-0A00-000015000000}"/>
    <hyperlink ref="B182" location="Trimestre!C25:F26" display="HIPOTECA" xr:uid="{00000000-0004-0000-0A00-000016000000}"/>
    <hyperlink ref="B182:G183" location="AÑO!AM29:AP29" display="AÑO!AM29:AP29" xr:uid="{00000000-0004-0000-0A00-000017000000}"/>
    <hyperlink ref="B202" location="Trimestre!C25:F26" display="HIPOTECA" xr:uid="{00000000-0004-0000-0A00-000018000000}"/>
    <hyperlink ref="B202:G203" location="AÑO!AM30:AP30" display="AÑO!AM30:AP30" xr:uid="{00000000-0004-0000-0A00-000019000000}"/>
    <hyperlink ref="B222" location="Trimestre!C25:F26" display="HIPOTECA" xr:uid="{00000000-0004-0000-0A00-00001A000000}"/>
    <hyperlink ref="B222:G223" location="AÑO!AM31:AP31" display="AÑO!AM31:AP31" xr:uid="{00000000-0004-0000-0A00-00001B000000}"/>
    <hyperlink ref="B242" location="Trimestre!C25:F26" display="HIPOTECA" xr:uid="{00000000-0004-0000-0A00-00001C000000}"/>
    <hyperlink ref="B242:G243" location="AÑO!AM32:AP32" display="AÑO!AM32:AP32" xr:uid="{00000000-0004-0000-0A00-00001D000000}"/>
    <hyperlink ref="B262" location="Trimestre!C25:F26" display="HIPOTECA" xr:uid="{00000000-0004-0000-0A00-00001E000000}"/>
    <hyperlink ref="B262:G263" location="AÑO!AM33:AP33" display="AÑO!AM33:AP33" xr:uid="{00000000-0004-0000-0A00-00001F000000}"/>
    <hyperlink ref="B282" location="Trimestre!C25:F26" display="HIPOTECA" xr:uid="{00000000-0004-0000-0A00-000020000000}"/>
    <hyperlink ref="B282:G283" location="AÑO!AM34:AP34" display="AÑO!AM34:AP34" xr:uid="{00000000-0004-0000-0A00-000021000000}"/>
    <hyperlink ref="B302" location="Trimestre!C25:F26" display="HIPOTECA" xr:uid="{00000000-0004-0000-0A00-000022000000}"/>
    <hyperlink ref="B302:G303" location="AÑO!AM35:AP35" display="AÑO!AM35:AP35" xr:uid="{00000000-0004-0000-0A00-000023000000}"/>
    <hyperlink ref="B322" location="Trimestre!C25:F26" display="HIPOTECA" xr:uid="{00000000-0004-0000-0A00-000024000000}"/>
    <hyperlink ref="B322:G323" location="AÑO!AM36:AP36" display="AÑO!AM36:AP36" xr:uid="{00000000-0004-0000-0A00-000025000000}"/>
    <hyperlink ref="B342" location="Trimestre!C25:F26" display="HIPOTECA" xr:uid="{00000000-0004-0000-0A00-000026000000}"/>
    <hyperlink ref="B342:G343" location="AÑO!AM37:AP37" display="AÑO!AM37:AP37" xr:uid="{00000000-0004-0000-0A00-000027000000}"/>
    <hyperlink ref="B362" location="Trimestre!C25:F26" display="HIPOTECA" xr:uid="{00000000-0004-0000-0A00-000028000000}"/>
    <hyperlink ref="B362:G363" location="AÑO!AM38:AP38" display="AÑO!AM38:AP38" xr:uid="{00000000-0004-0000-0A00-000029000000}"/>
    <hyperlink ref="B382" location="Trimestre!C25:F26" display="HIPOTECA" xr:uid="{00000000-0004-0000-0A00-00002A000000}"/>
    <hyperlink ref="B382:G383" location="AÑO!AM39:AP39" display="AÑO!AM39:AP39" xr:uid="{00000000-0004-0000-0A00-00002B000000}"/>
    <hyperlink ref="B402" location="Trimestre!C25:F26" display="HIPOTECA" xr:uid="{00000000-0004-0000-0A00-00002C000000}"/>
    <hyperlink ref="B402:G403" location="AÑO!AM40:AP40" display="AÑO!AM40:AP40" xr:uid="{00000000-0004-0000-0A00-00002D000000}"/>
    <hyperlink ref="B422" location="Trimestre!C25:F26" display="HIPOTECA" xr:uid="{00000000-0004-0000-0A00-00002E000000}"/>
    <hyperlink ref="B422:G423" location="AÑO!AM41:AP41" display="AÑO!AM41:AP41" xr:uid="{00000000-0004-0000-0A00-00002F000000}"/>
    <hyperlink ref="B442" location="Trimestre!C25:F26" display="HIPOTECA" xr:uid="{00000000-0004-0000-0A00-000030000000}"/>
    <hyperlink ref="B442:G443" location="AÑO!AM42:AP42" display="AÑO!AM42:AP42" xr:uid="{00000000-0004-0000-0A00-000031000000}"/>
    <hyperlink ref="B462" location="Trimestre!C25:F26" display="HIPOTECA" xr:uid="{00000000-0004-0000-0A00-000032000000}"/>
    <hyperlink ref="B462:G463" location="AÑO!AM43:AP43" display="AÑO!AM43:AP43" xr:uid="{00000000-0004-0000-0A00-000033000000}"/>
    <hyperlink ref="B482" location="Trimestre!C25:F26" display="HIPOTECA" xr:uid="{00000000-0004-0000-0A00-000034000000}"/>
    <hyperlink ref="B482:G483" location="AÑO!AM44:AP44" display="AÑO!AM44:AP44" xr:uid="{00000000-0004-0000-0A00-000035000000}"/>
    <hyperlink ref="B502" location="Trimestre!C25:F26" display="HIPOTECA" xr:uid="{00000000-0004-0000-0A00-000036000000}"/>
    <hyperlink ref="B502:G503" location="AÑO!AM45:AP45" display="AÑO!AM45:AP45" xr:uid="{00000000-0004-0000-0A00-000037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opLeftCell="A64" workbookViewId="0">
      <selection activeCell="L77" sqref="L7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191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55</v>
      </c>
      <c r="J4" s="105" t="s">
        <v>56</v>
      </c>
      <c r="K4" s="428" t="s">
        <v>57</v>
      </c>
      <c r="L4" s="429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0">
        <v>4501.8900000000003</v>
      </c>
      <c r="L5" s="431"/>
      <c r="M5" s="1"/>
      <c r="N5" s="1"/>
      <c r="R5" s="3"/>
    </row>
    <row r="6" spans="1:22" ht="15.75">
      <c r="A6" s="112">
        <f>'10'!A6+(B6-SUM(D6:F6))</f>
        <v>784.52</v>
      </c>
      <c r="B6" s="133">
        <v>389.26</v>
      </c>
      <c r="C6" s="19" t="s">
        <v>772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14">
        <v>620.14</v>
      </c>
      <c r="L6" s="415"/>
      <c r="M6" s="1" t="s">
        <v>163</v>
      </c>
      <c r="N6" s="1"/>
      <c r="R6" s="3"/>
    </row>
    <row r="7" spans="1:22" ht="15.75">
      <c r="A7" s="112">
        <f>'10'!A7+(B7-SUM(D7:F7))</f>
        <v>435.75</v>
      </c>
      <c r="B7" s="134">
        <v>67.180000000000007</v>
      </c>
      <c r="C7" s="16" t="s">
        <v>338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4">
        <f>7374.65</f>
        <v>7374.65</v>
      </c>
      <c r="L7" s="415"/>
      <c r="M7" s="1"/>
      <c r="N7" s="1"/>
      <c r="R7" s="3"/>
    </row>
    <row r="8" spans="1:22" ht="15.75">
      <c r="A8" s="112">
        <f>'10'!A8+(B8-SUM(D8:F8))</f>
        <v>-115.76999999999992</v>
      </c>
      <c r="B8" s="134">
        <v>97.88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4">
        <v>6307.51</v>
      </c>
      <c r="L8" s="415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155</v>
      </c>
      <c r="K9" s="414">
        <f>4292.78+2.31</f>
        <v>4295.09</v>
      </c>
      <c r="L9" s="415"/>
      <c r="M9" s="1"/>
      <c r="N9" s="1"/>
      <c r="R9" s="3"/>
    </row>
    <row r="10" spans="1:22" ht="15.75">
      <c r="A10" s="112">
        <f>'10'!A10+(B10-SUM(D10:F10))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4">
        <v>1802.02</v>
      </c>
      <c r="L10" s="415"/>
      <c r="M10" s="1" t="s">
        <v>154</v>
      </c>
      <c r="N10" s="1"/>
      <c r="R10" s="3"/>
    </row>
    <row r="11" spans="1:22" ht="15.75">
      <c r="A11" s="112">
        <f>'10'!A11+(B11-SUM(D11:F11))</f>
        <v>30.25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14">
        <f>40+70</f>
        <v>110</v>
      </c>
      <c r="L11" s="415"/>
      <c r="M11" s="1"/>
      <c r="N11" s="1"/>
      <c r="R11" s="3"/>
    </row>
    <row r="12" spans="1:22" ht="15.75">
      <c r="A12" s="112">
        <f>'10'!A12+(B12-SUM(D12:F12))</f>
        <v>244.54000000000002</v>
      </c>
      <c r="B12" s="134">
        <v>0</v>
      </c>
      <c r="C12" s="16" t="s">
        <v>201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14">
        <f>5092.08</f>
        <v>5092.08</v>
      </c>
      <c r="L12" s="415"/>
      <c r="M12" s="92"/>
      <c r="N12" s="1"/>
      <c r="R12" s="3"/>
    </row>
    <row r="13" spans="1:22" ht="15.75">
      <c r="A13" s="112">
        <f>'10'!A13+(B13-SUM(D13:F13))</f>
        <v>50</v>
      </c>
      <c r="B13" s="134">
        <v>6.5</v>
      </c>
      <c r="C13" s="16" t="s">
        <v>264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8">
        <f>SUM(K5:K18)</f>
        <v>30103.380000000005</v>
      </c>
      <c r="L19" s="439"/>
      <c r="M19" s="1"/>
      <c r="N19" s="1"/>
      <c r="R19" s="3"/>
    </row>
    <row r="20" spans="1:18" ht="16.5" thickBot="1">
      <c r="A20" s="112">
        <f>SUM(A6:A15)</f>
        <v>1453.29</v>
      </c>
      <c r="B20" s="135">
        <f>SUM(B6:B19)</f>
        <v>603.05999999999995</v>
      </c>
      <c r="C20" s="17" t="s">
        <v>51</v>
      </c>
      <c r="D20" s="135">
        <f>SUM(D6:D19)</f>
        <v>0</v>
      </c>
      <c r="E20" s="135">
        <f>SUM(E6:E19)</f>
        <v>42.230000000000004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23209.280000000006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29</v>
      </c>
      <c r="J24" s="432" t="s">
        <v>85</v>
      </c>
      <c r="K24" s="433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19" t="str">
        <f>AÑO!A8</f>
        <v>Manolo Salario</v>
      </c>
      <c r="J25" s="422" t="s">
        <v>339</v>
      </c>
      <c r="K25" s="423"/>
      <c r="L25" s="231">
        <v>2588.0700000000002</v>
      </c>
      <c r="M25" s="1"/>
      <c r="R25" s="3"/>
    </row>
    <row r="26" spans="1:18" ht="15.75">
      <c r="A26" s="112">
        <f>'10'!A26+(B26-SUM(D26:F26))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'10'!A27+(B27-SUM(D27:F27))</f>
        <v>237.07999999999993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'10'!A28+(B28-SUM(D28:F28))</f>
        <v>109.92000000000002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'10'!A29+(B29-SUM(D29:F29))</f>
        <v>19.010000000000005</v>
      </c>
      <c r="B29" s="134">
        <v>18</v>
      </c>
      <c r="C29" s="27" t="s">
        <v>36</v>
      </c>
      <c r="D29" s="137">
        <v>18.62</v>
      </c>
      <c r="E29" s="138"/>
      <c r="F29" s="138"/>
      <c r="G29" s="16" t="s">
        <v>36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'10'!A30+(B30-SUM(D30:F30))</f>
        <v>191.27999999999997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368</v>
      </c>
      <c r="K30" s="423"/>
      <c r="L30" s="231">
        <v>151.59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626</v>
      </c>
      <c r="K31" s="425"/>
      <c r="L31" s="229">
        <v>151.19999999999999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/>
      <c r="K32" s="425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212</v>
      </c>
      <c r="J35" s="422"/>
      <c r="K35" s="423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1457.29</v>
      </c>
      <c r="B40" s="135">
        <f>SUM(B26:B39)</f>
        <v>1148</v>
      </c>
      <c r="C40" s="17" t="s">
        <v>51</v>
      </c>
      <c r="D40" s="135">
        <f>SUM(D26:D39)</f>
        <v>1104.6099999999999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19" t="str">
        <f>AÑO!A11</f>
        <v>Finanazas</v>
      </c>
      <c r="J40" s="422" t="s">
        <v>838</v>
      </c>
      <c r="K40" s="423"/>
      <c r="L40" s="231">
        <f>21.42+21.42</f>
        <v>42.84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Supermercado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19" t="str">
        <f>AÑO!A12</f>
        <v>Regalos</v>
      </c>
      <c r="J45" s="422" t="s">
        <v>844</v>
      </c>
      <c r="K45" s="423"/>
      <c r="L45" s="231">
        <v>30</v>
      </c>
      <c r="M45" s="1"/>
      <c r="R45" s="3"/>
    </row>
    <row r="46" spans="1:18" ht="15.75">
      <c r="A46" s="1"/>
      <c r="B46" s="133">
        <v>300</v>
      </c>
      <c r="C46" s="19"/>
      <c r="D46" s="137">
        <v>17.73</v>
      </c>
      <c r="E46" s="138"/>
      <c r="F46" s="138"/>
      <c r="G46" s="30" t="s">
        <v>843</v>
      </c>
      <c r="H46" s="1"/>
      <c r="I46" s="420"/>
      <c r="J46" s="424" t="s">
        <v>859</v>
      </c>
      <c r="K46" s="425"/>
      <c r="L46" s="229">
        <v>250</v>
      </c>
      <c r="M46" s="1"/>
      <c r="R46" s="3"/>
    </row>
    <row r="47" spans="1:18" ht="15.75">
      <c r="A47" s="1"/>
      <c r="B47" s="134"/>
      <c r="C47" s="16"/>
      <c r="D47" s="137">
        <v>37.79</v>
      </c>
      <c r="E47" s="138"/>
      <c r="F47" s="138"/>
      <c r="G47" s="16" t="s">
        <v>855</v>
      </c>
      <c r="H47" s="1"/>
      <c r="I47" s="420"/>
      <c r="J47" s="424" t="s">
        <v>860</v>
      </c>
      <c r="K47" s="425"/>
      <c r="L47" s="229">
        <v>150</v>
      </c>
      <c r="M47" s="1"/>
      <c r="R47" s="3"/>
    </row>
    <row r="48" spans="1:18" ht="15.75">
      <c r="A48" s="1"/>
      <c r="B48" s="134"/>
      <c r="C48" s="16"/>
      <c r="D48" s="137">
        <v>38.520000000000003</v>
      </c>
      <c r="E48" s="138"/>
      <c r="F48" s="138"/>
      <c r="G48" s="16" t="s">
        <v>857</v>
      </c>
      <c r="H48" s="1"/>
      <c r="I48" s="420"/>
      <c r="J48" s="424"/>
      <c r="K48" s="425"/>
      <c r="L48" s="229"/>
      <c r="M48" s="1"/>
      <c r="R48" s="3"/>
    </row>
    <row r="49" spans="1:18" ht="15.75">
      <c r="A49" s="1"/>
      <c r="B49" s="134"/>
      <c r="C49" s="16"/>
      <c r="D49" s="137">
        <v>54.99</v>
      </c>
      <c r="E49" s="138"/>
      <c r="F49" s="138"/>
      <c r="G49" s="16" t="s">
        <v>863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>
        <v>43.71</v>
      </c>
      <c r="E50" s="138"/>
      <c r="F50" s="138"/>
      <c r="G50" s="16" t="s">
        <v>868</v>
      </c>
      <c r="H50" s="1"/>
      <c r="I50" s="419" t="str">
        <f>AÑO!A13</f>
        <v>Gubernamental</v>
      </c>
      <c r="J50" s="422" t="s">
        <v>849</v>
      </c>
      <c r="K50" s="423"/>
      <c r="L50" s="231">
        <v>95.8</v>
      </c>
      <c r="M50" s="1"/>
      <c r="R50" s="3"/>
    </row>
    <row r="51" spans="1:18" ht="15.75">
      <c r="A51" s="1"/>
      <c r="B51" s="134"/>
      <c r="C51" s="16"/>
      <c r="D51" s="137">
        <v>49.94</v>
      </c>
      <c r="E51" s="138"/>
      <c r="F51" s="138"/>
      <c r="G51" s="16" t="s">
        <v>873</v>
      </c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>
        <v>71.34</v>
      </c>
      <c r="E52" s="138"/>
      <c r="F52" s="138"/>
      <c r="G52" s="16" t="s">
        <v>875</v>
      </c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>
        <v>82.18</v>
      </c>
      <c r="E53" s="138"/>
      <c r="F53" s="138"/>
      <c r="G53" s="16" t="s">
        <v>877</v>
      </c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22" t="s">
        <v>848</v>
      </c>
      <c r="K55" s="423"/>
      <c r="L55" s="231">
        <v>300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24" t="s">
        <v>627</v>
      </c>
      <c r="K56" s="425"/>
      <c r="L56" s="229">
        <f>20.27+14.27+21.94+14.27+22.27</f>
        <v>93.02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396.2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19" t="str">
        <f>AÑO!A15</f>
        <v>Alquiler Cartama</v>
      </c>
      <c r="J60" s="422" t="s">
        <v>841</v>
      </c>
      <c r="K60" s="423"/>
      <c r="L60" s="231">
        <v>647.88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'10'!A66+(B66-SUM(D66:F78))+B67</f>
        <v>296.32000000000011</v>
      </c>
      <c r="B66" s="133">
        <v>175</v>
      </c>
      <c r="C66" s="19" t="s">
        <v>31</v>
      </c>
      <c r="D66" s="137">
        <v>17.45</v>
      </c>
      <c r="E66" s="138"/>
      <c r="F66" s="138"/>
      <c r="G66" s="19" t="s">
        <v>842</v>
      </c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/>
      <c r="C67" s="16"/>
      <c r="D67" s="137">
        <v>41</v>
      </c>
      <c r="E67" s="138"/>
      <c r="F67" s="138"/>
      <c r="G67" s="31" t="s">
        <v>858</v>
      </c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/>
      <c r="C68" s="16"/>
      <c r="D68" s="137">
        <v>17.8</v>
      </c>
      <c r="E68" s="138"/>
      <c r="F68" s="138"/>
      <c r="G68" s="16" t="s">
        <v>862</v>
      </c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>
        <v>24.35</v>
      </c>
      <c r="E69" s="138"/>
      <c r="F69" s="138"/>
      <c r="G69" s="16" t="s">
        <v>870</v>
      </c>
      <c r="H69" s="1"/>
      <c r="I69" s="434"/>
      <c r="J69" s="435"/>
      <c r="K69" s="436"/>
      <c r="L69" s="232"/>
      <c r="M69" s="1"/>
      <c r="R69" s="3"/>
    </row>
    <row r="70" spans="1:18" ht="15.75">
      <c r="A70" s="1"/>
      <c r="B70" s="134"/>
      <c r="C70" s="16"/>
      <c r="D70" s="137">
        <v>25.8</v>
      </c>
      <c r="E70" s="138"/>
      <c r="F70" s="138"/>
      <c r="G70" s="16" t="s">
        <v>869</v>
      </c>
      <c r="H70" s="1"/>
      <c r="M70" s="1"/>
      <c r="R70" s="3"/>
    </row>
    <row r="71" spans="1:18" ht="15.75">
      <c r="A71" s="1"/>
      <c r="B71" s="134"/>
      <c r="C71" s="16"/>
      <c r="D71" s="137">
        <v>26.8</v>
      </c>
      <c r="E71" s="138"/>
      <c r="F71" s="138"/>
      <c r="G71" s="16" t="s">
        <v>878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'10'!A79+(B79-SUM(D79:F79))</f>
        <v>43.819999999999993</v>
      </c>
      <c r="B79" s="233">
        <v>10</v>
      </c>
      <c r="C79" s="17" t="s">
        <v>230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340.1400000000001</v>
      </c>
      <c r="B80" s="233">
        <f>SUM(B66:B79)</f>
        <v>185</v>
      </c>
      <c r="C80" s="17" t="s">
        <v>51</v>
      </c>
      <c r="D80" s="135">
        <f>SUM(D66:D79)</f>
        <v>153.19999999999999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150</v>
      </c>
      <c r="C86" s="19" t="s">
        <v>197</v>
      </c>
      <c r="D86" s="137">
        <v>43.28</v>
      </c>
      <c r="E86" s="138"/>
      <c r="F86" s="138"/>
      <c r="G86" s="16" t="s">
        <v>879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43.28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'10'!A106+(B106-SUM(D106:F106))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'10'!A107+(B107-SUM(D107:F107))</f>
        <v>71.290000000000049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'10'!A108+(B108-SUM(D108:F108))</f>
        <v>683.09999999999991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3754.0415974244993</v>
      </c>
      <c r="B109" s="134">
        <v>80</v>
      </c>
      <c r="C109" s="18" t="s">
        <v>393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1012.86</v>
      </c>
      <c r="B120" s="135">
        <f>SUM(B106:B119)</f>
        <v>457.47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'10'!A126+(B126-SUM(D126:F126))</f>
        <v>15</v>
      </c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'10'!A127+(B127-SUM(D127:F128))</f>
        <v>22.5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816</v>
      </c>
      <c r="I127" s="113">
        <f>D127+D128+'10'!I127</f>
        <v>135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'10'!A129+(B129-SUM(D129:F129))</f>
        <v>7.9999999999998295E-2</v>
      </c>
      <c r="B129" s="134">
        <v>8</v>
      </c>
      <c r="C129" s="16" t="s">
        <v>160</v>
      </c>
      <c r="D129" s="137"/>
      <c r="E129" s="138">
        <v>7.99</v>
      </c>
      <c r="F129" s="138"/>
      <c r="G129" s="16" t="s">
        <v>160</v>
      </c>
      <c r="H129" s="1"/>
      <c r="M129" s="1"/>
      <c r="R129" s="3"/>
    </row>
    <row r="130" spans="1:18" ht="15.75">
      <c r="A130" s="112">
        <f>'10'!A130+(B130-SUM(D130:F130))</f>
        <v>-60</v>
      </c>
      <c r="B130" s="134">
        <v>2.5</v>
      </c>
      <c r="C130" s="16" t="s">
        <v>825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37.5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>
        <v>16.579999999999998</v>
      </c>
      <c r="E146" s="138"/>
      <c r="F146" s="138"/>
      <c r="G146" s="16" t="s">
        <v>865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>
        <v>64.16</v>
      </c>
      <c r="E186" s="138"/>
      <c r="F186" s="138"/>
      <c r="G186" s="16" t="s">
        <v>871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64.16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7" ht="15" customHeight="1">
      <c r="A246" s="112">
        <f>'10'!A246+(B246-SUM(D246:F255))</f>
        <v>28.47</v>
      </c>
      <c r="B246" s="134">
        <v>50</v>
      </c>
      <c r="C246" s="27" t="s">
        <v>340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'10'!A256+(B256-SUM(D256:F256))</f>
        <v>50</v>
      </c>
      <c r="B256" s="134">
        <v>5</v>
      </c>
      <c r="C256" s="16" t="s">
        <v>347</v>
      </c>
      <c r="D256" s="137"/>
      <c r="E256" s="138"/>
      <c r="F256" s="138"/>
      <c r="G256" s="16"/>
    </row>
    <row r="257" spans="1:9" ht="15.75">
      <c r="A257" s="112">
        <f>'10'!A257+(B257-SUM(D257:F257))</f>
        <v>424.11000000000007</v>
      </c>
      <c r="B257" s="134">
        <v>40</v>
      </c>
      <c r="C257" s="16" t="s">
        <v>804</v>
      </c>
      <c r="D257" s="137"/>
      <c r="E257" s="138"/>
      <c r="F257" s="138"/>
      <c r="G257" s="16" t="s">
        <v>343</v>
      </c>
      <c r="H257" s="89">
        <f>1208-(100.67*6)</f>
        <v>603.98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502.58000000000004</v>
      </c>
      <c r="B260" s="135">
        <f>SUM(B246:B259)</f>
        <v>95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9" ht="15" customHeight="1" thickBot="1">
      <c r="B263" s="411"/>
      <c r="C263" s="412"/>
      <c r="D263" s="412"/>
      <c r="E263" s="412"/>
      <c r="F263" s="412"/>
      <c r="G263" s="413"/>
    </row>
    <row r="264" spans="1:9">
      <c r="B264" s="400" t="s">
        <v>8</v>
      </c>
      <c r="C264" s="401"/>
      <c r="D264" s="400" t="s">
        <v>9</v>
      </c>
      <c r="E264" s="408"/>
      <c r="F264" s="408"/>
      <c r="G264" s="401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>
        <v>50</v>
      </c>
      <c r="C266" s="19"/>
      <c r="D266" s="137"/>
      <c r="E266" s="138"/>
      <c r="F266" s="138"/>
      <c r="G266" s="16"/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1:8" ht="15" customHeight="1" thickBot="1">
      <c r="B283" s="411"/>
      <c r="C283" s="412"/>
      <c r="D283" s="412"/>
      <c r="E283" s="412"/>
      <c r="F283" s="412"/>
      <c r="G283" s="413"/>
    </row>
    <row r="284" spans="1:8">
      <c r="B284" s="400" t="s">
        <v>8</v>
      </c>
      <c r="C284" s="401"/>
      <c r="D284" s="400" t="s">
        <v>9</v>
      </c>
      <c r="E284" s="408"/>
      <c r="F284" s="408"/>
      <c r="G284" s="401"/>
    </row>
    <row r="285" spans="1:8" ht="15.75">
      <c r="A285" s="1" t="s">
        <v>181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1:8" ht="15.75">
      <c r="A286" s="112">
        <f>'10'!A286+(SUM(B286:B298)-SUM(D286:F298))</f>
        <v>282.50999999999988</v>
      </c>
      <c r="B286" s="133">
        <v>50</v>
      </c>
      <c r="C286" s="19" t="s">
        <v>31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'10'!A299+(B299-SUM(D299:F299))</f>
        <v>140</v>
      </c>
      <c r="B299" s="135">
        <v>40</v>
      </c>
      <c r="C299" s="17" t="s">
        <v>704</v>
      </c>
      <c r="D299" s="135"/>
      <c r="E299" s="139"/>
      <c r="F299" s="139"/>
      <c r="G299" s="17"/>
    </row>
    <row r="300" spans="1:8" ht="16.5" thickBot="1">
      <c r="A300" s="112">
        <f>SUM(A286:A299)</f>
        <v>422.50999999999988</v>
      </c>
      <c r="B300" s="135">
        <f>SUM(B286:B299)</f>
        <v>90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1:8" ht="15" customHeight="1" thickBot="1">
      <c r="B303" s="411"/>
      <c r="C303" s="412"/>
      <c r="D303" s="412"/>
      <c r="E303" s="412"/>
      <c r="F303" s="412"/>
      <c r="G303" s="413"/>
    </row>
    <row r="304" spans="1:8">
      <c r="B304" s="400" t="s">
        <v>8</v>
      </c>
      <c r="C304" s="401"/>
      <c r="D304" s="400" t="s">
        <v>9</v>
      </c>
      <c r="E304" s="408"/>
      <c r="F304" s="408"/>
      <c r="G304" s="401"/>
    </row>
    <row r="305" spans="2:8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8">
      <c r="B306" s="133">
        <v>130</v>
      </c>
      <c r="C306" s="19" t="s">
        <v>660</v>
      </c>
      <c r="D306" s="137"/>
      <c r="E306" s="138"/>
      <c r="F306" s="138">
        <v>80</v>
      </c>
      <c r="G306" s="16" t="s">
        <v>847</v>
      </c>
    </row>
    <row r="307" spans="2:8">
      <c r="B307" s="134">
        <v>300</v>
      </c>
      <c r="C307" s="27" t="s">
        <v>851</v>
      </c>
      <c r="D307" s="137">
        <v>82.87</v>
      </c>
      <c r="E307" s="138"/>
      <c r="F307" s="138"/>
      <c r="G307" s="16" t="s">
        <v>850</v>
      </c>
    </row>
    <row r="308" spans="2:8">
      <c r="B308" s="134">
        <f>L56</f>
        <v>93.02</v>
      </c>
      <c r="C308" s="27" t="s">
        <v>404</v>
      </c>
      <c r="D308" s="137">
        <v>33</v>
      </c>
      <c r="E308" s="138"/>
      <c r="F308" s="138"/>
      <c r="G308" s="16" t="s">
        <v>854</v>
      </c>
    </row>
    <row r="309" spans="2:8">
      <c r="B309" s="134"/>
      <c r="C309" s="16"/>
      <c r="D309" s="137">
        <v>40.18</v>
      </c>
      <c r="E309" s="138"/>
      <c r="F309" s="138"/>
      <c r="G309" s="16" t="s">
        <v>856</v>
      </c>
      <c r="H309" s="89">
        <f>40*0.3</f>
        <v>12</v>
      </c>
    </row>
    <row r="310" spans="2:8">
      <c r="B310" s="134"/>
      <c r="C310" s="16"/>
      <c r="D310" s="137"/>
      <c r="E310" s="138"/>
      <c r="F310" s="138">
        <v>150</v>
      </c>
      <c r="G310" s="16" t="s">
        <v>861</v>
      </c>
      <c r="H310" s="89">
        <f>40-12</f>
        <v>28</v>
      </c>
    </row>
    <row r="311" spans="2:8">
      <c r="B311" s="134"/>
      <c r="C311" s="16"/>
      <c r="D311" s="137">
        <v>33</v>
      </c>
      <c r="E311" s="138"/>
      <c r="F311" s="138"/>
      <c r="G311" s="16" t="s">
        <v>864</v>
      </c>
    </row>
    <row r="312" spans="2:8">
      <c r="B312" s="134"/>
      <c r="C312" s="16"/>
      <c r="D312" s="137">
        <v>50</v>
      </c>
      <c r="E312" s="138"/>
      <c r="F312" s="138"/>
      <c r="G312" s="16" t="s">
        <v>867</v>
      </c>
    </row>
    <row r="313" spans="2:8">
      <c r="B313" s="134"/>
      <c r="C313" s="16"/>
      <c r="D313" s="137"/>
      <c r="E313" s="138"/>
      <c r="F313" s="138"/>
      <c r="G313" s="16"/>
    </row>
    <row r="314" spans="2:8">
      <c r="B314" s="134"/>
      <c r="C314" s="16"/>
      <c r="D314" s="137"/>
      <c r="E314" s="138"/>
      <c r="F314" s="138"/>
      <c r="G314" s="16"/>
    </row>
    <row r="315" spans="2:8">
      <c r="B315" s="134"/>
      <c r="C315" s="16"/>
      <c r="D315" s="137"/>
      <c r="E315" s="138"/>
      <c r="F315" s="138"/>
      <c r="G315" s="16"/>
    </row>
    <row r="316" spans="2:8">
      <c r="B316" s="134"/>
      <c r="C316" s="16"/>
      <c r="D316" s="137"/>
      <c r="E316" s="138"/>
      <c r="F316" s="138"/>
      <c r="G316" s="16"/>
    </row>
    <row r="317" spans="2:8">
      <c r="B317" s="134"/>
      <c r="C317" s="16"/>
      <c r="D317" s="137"/>
      <c r="E317" s="138"/>
      <c r="F317" s="138"/>
      <c r="G317" s="16"/>
    </row>
    <row r="318" spans="2:8">
      <c r="B318" s="134"/>
      <c r="C318" s="16"/>
      <c r="D318" s="137"/>
      <c r="E318" s="138"/>
      <c r="F318" s="138"/>
      <c r="G318" s="16"/>
    </row>
    <row r="319" spans="2:8" ht="15.75" thickBot="1">
      <c r="B319" s="135"/>
      <c r="C319" s="17"/>
      <c r="D319" s="135"/>
      <c r="E319" s="139"/>
      <c r="F319" s="139"/>
      <c r="G319" s="17"/>
    </row>
    <row r="320" spans="2:8" ht="15.75" thickBot="1">
      <c r="B320" s="135">
        <f>SUM(B306:B319)</f>
        <v>523.02</v>
      </c>
      <c r="C320" s="17" t="s">
        <v>51</v>
      </c>
      <c r="D320" s="135">
        <f>SUM(D306:D319)</f>
        <v>239.05</v>
      </c>
      <c r="E320" s="135">
        <f>SUM(E306:E319)</f>
        <v>0</v>
      </c>
      <c r="F320" s="135">
        <f>SUM(F306:F319)</f>
        <v>230</v>
      </c>
      <c r="G320" s="17" t="s">
        <v>51</v>
      </c>
    </row>
    <row r="321" spans="2:7" ht="15.75" thickBot="1"/>
    <row r="322" spans="2:7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/>
      <c r="E326" s="138"/>
      <c r="F326" s="138">
        <v>15</v>
      </c>
      <c r="G326" s="16" t="s">
        <v>846</v>
      </c>
    </row>
    <row r="327" spans="2:7">
      <c r="B327" s="134">
        <v>30</v>
      </c>
      <c r="C327" s="16" t="s">
        <v>845</v>
      </c>
      <c r="D327" s="137"/>
      <c r="E327" s="138"/>
      <c r="F327" s="138"/>
      <c r="G327" s="16"/>
    </row>
    <row r="328" spans="2:7">
      <c r="B328" s="134">
        <v>250</v>
      </c>
      <c r="C328" s="16" t="s">
        <v>859</v>
      </c>
      <c r="D328" s="137"/>
      <c r="E328" s="138"/>
      <c r="F328" s="138"/>
      <c r="G328" s="16"/>
    </row>
    <row r="329" spans="2:7">
      <c r="B329" s="134">
        <v>150</v>
      </c>
      <c r="C329" s="16" t="s">
        <v>860</v>
      </c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520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15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2" t="str">
        <f>AÑO!A37</f>
        <v>Imprevistos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75">
      <c r="A345" s="1" t="s">
        <v>181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1:7" ht="15.75">
      <c r="A346" s="112">
        <f>'10'!A346+(B346-SUM(D346:F357))</f>
        <v>230.73</v>
      </c>
      <c r="B346" s="133">
        <v>0</v>
      </c>
      <c r="C346" s="19" t="s">
        <v>195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'10'!A358+(B358-SUM(D358:F358))</f>
        <v>140</v>
      </c>
      <c r="B358" s="134">
        <v>35</v>
      </c>
      <c r="C358" s="16" t="s">
        <v>671</v>
      </c>
      <c r="D358" s="137"/>
      <c r="E358" s="138"/>
      <c r="F358" s="138"/>
      <c r="G358" s="16"/>
    </row>
    <row r="359" spans="1:7" ht="16.5" thickBot="1">
      <c r="A359" s="112">
        <f>'10'!A359+(B359-SUM(D359:F359))</f>
        <v>-25</v>
      </c>
      <c r="B359" s="135">
        <v>10</v>
      </c>
      <c r="C359" s="17" t="s">
        <v>803</v>
      </c>
      <c r="D359" s="135">
        <v>65</v>
      </c>
      <c r="E359" s="139"/>
      <c r="F359" s="139"/>
      <c r="G359" s="17" t="s">
        <v>837</v>
      </c>
    </row>
    <row r="360" spans="1:7" ht="16.5" thickBot="1">
      <c r="A360" s="112">
        <f>SUM(A346:A359)</f>
        <v>345.73</v>
      </c>
      <c r="B360" s="135">
        <f>SUM(B346:B359)</f>
        <v>45</v>
      </c>
      <c r="C360" s="17" t="s">
        <v>51</v>
      </c>
      <c r="D360" s="135">
        <f>SUM(D346:D359)</f>
        <v>65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1:7">
      <c r="B366" s="133">
        <v>65</v>
      </c>
      <c r="C366" s="19" t="s">
        <v>31</v>
      </c>
      <c r="D366" s="137"/>
      <c r="E366" s="138"/>
      <c r="F366" s="138">
        <f>4.5</f>
        <v>4.5</v>
      </c>
      <c r="G366" s="31" t="s">
        <v>65</v>
      </c>
    </row>
    <row r="367" spans="1:7">
      <c r="B367" s="134"/>
      <c r="C367" s="16"/>
      <c r="D367" s="137">
        <v>44.53</v>
      </c>
      <c r="E367" s="138"/>
      <c r="F367" s="138"/>
      <c r="G367" s="31" t="s">
        <v>866</v>
      </c>
    </row>
    <row r="368" spans="1:7">
      <c r="B368" s="134"/>
      <c r="C368" s="16"/>
      <c r="D368" s="137">
        <v>34</v>
      </c>
      <c r="E368" s="138"/>
      <c r="F368" s="138"/>
      <c r="G368" s="16" t="s">
        <v>874</v>
      </c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78.53</v>
      </c>
      <c r="E380" s="135">
        <f>SUM(E366:E379)</f>
        <v>0</v>
      </c>
      <c r="F380" s="135">
        <f>SUM(F366:F379)</f>
        <v>4.5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2.31</v>
      </c>
      <c r="E406" s="138"/>
      <c r="F406" s="138"/>
      <c r="G406" s="16" t="s">
        <v>836</v>
      </c>
    </row>
    <row r="407" spans="2:7">
      <c r="B407" s="134">
        <v>42.84</v>
      </c>
      <c r="C407" s="16" t="s">
        <v>838</v>
      </c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92.84</v>
      </c>
      <c r="C420" s="17" t="s">
        <v>51</v>
      </c>
      <c r="D420" s="135">
        <f>SUM(D406:D419)</f>
        <v>2.31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AÑO!AQ17</f>
        <v>4500.4000000000005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-363.34000000000015</v>
      </c>
      <c r="C426" s="19" t="s">
        <v>227</v>
      </c>
      <c r="D426" s="137"/>
      <c r="E426" s="138"/>
      <c r="F426" s="138"/>
      <c r="G426" s="16"/>
    </row>
    <row r="427" spans="1:7">
      <c r="A427" s="113">
        <v>42.84</v>
      </c>
      <c r="B427" s="134"/>
      <c r="C427" s="16"/>
      <c r="D427" s="137"/>
      <c r="E427" s="138"/>
      <c r="F427" s="138"/>
      <c r="G427" s="16"/>
    </row>
    <row r="428" spans="1:7">
      <c r="A428" s="113">
        <v>30</v>
      </c>
      <c r="B428" s="134"/>
      <c r="C428" s="16"/>
      <c r="D428" s="137"/>
      <c r="E428" s="138"/>
      <c r="F428" s="138"/>
      <c r="G428" s="16"/>
    </row>
    <row r="429" spans="1:7">
      <c r="A429" s="113">
        <v>300</v>
      </c>
      <c r="B429" s="134"/>
      <c r="C429" s="16"/>
      <c r="D429" s="137"/>
      <c r="E429" s="138"/>
      <c r="F429" s="138"/>
      <c r="G429" s="16"/>
    </row>
    <row r="430" spans="1:7">
      <c r="A430" s="113">
        <f>L56</f>
        <v>93.02</v>
      </c>
      <c r="B430" s="134"/>
      <c r="C430" s="16"/>
      <c r="D430" s="137"/>
      <c r="E430" s="138"/>
      <c r="F430" s="138"/>
      <c r="G430" s="16"/>
    </row>
    <row r="431" spans="1:7">
      <c r="A431" s="113">
        <f>150+250</f>
        <v>400</v>
      </c>
      <c r="B431" s="134"/>
      <c r="C431" s="16"/>
      <c r="D431" s="137"/>
      <c r="E431" s="138"/>
      <c r="F431" s="138"/>
      <c r="G431" s="16"/>
    </row>
    <row r="432" spans="1:7">
      <c r="A432" s="113">
        <v>97.88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-363.34000000000015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731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NULO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'10'!A466+(B466-SUM(D466:F466))</f>
        <v>0</v>
      </c>
      <c r="B466" s="134">
        <v>0</v>
      </c>
      <c r="C466" s="16" t="s">
        <v>286</v>
      </c>
      <c r="D466" s="137"/>
      <c r="E466" s="138"/>
      <c r="F466" s="138"/>
      <c r="G466" s="16"/>
    </row>
    <row r="467" spans="1:7" ht="15.75">
      <c r="A467" s="112">
        <f>'10'!A467+(B467-SUM(D467:F467))</f>
        <v>299.06919055649223</v>
      </c>
      <c r="B467" s="134">
        <v>71.349999999999994</v>
      </c>
      <c r="C467" s="16" t="s">
        <v>391</v>
      </c>
      <c r="D467" s="137"/>
      <c r="E467" s="138"/>
      <c r="F467" s="138"/>
      <c r="G467" s="16"/>
    </row>
    <row r="468" spans="1:7" ht="15.75">
      <c r="A468" s="112">
        <f>'10'!A468+(B468-SUM(D468:F468))</f>
        <v>198.4</v>
      </c>
      <c r="B468" s="134">
        <f>15</f>
        <v>15</v>
      </c>
      <c r="C468" s="16" t="s">
        <v>183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497.46919055649221</v>
      </c>
      <c r="B480" s="135">
        <f>SUM(B466:B479)</f>
        <v>86.35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>
        <v>10</v>
      </c>
      <c r="G506" s="16" t="s">
        <v>876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10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B00-000000000000}"/>
    <hyperlink ref="I2:L3" location="AÑO!AQ4:AT5" display="SALDO REAL" xr:uid="{00000000-0004-0000-0B00-000001000000}"/>
    <hyperlink ref="I22" location="Trimestre!C39:F40" display="TELÉFONO" xr:uid="{00000000-0004-0000-0B00-000002000000}"/>
    <hyperlink ref="I22:L23" location="AÑO!AQ7:AT17" display="INGRESOS" xr:uid="{00000000-0004-0000-0B00-000003000000}"/>
    <hyperlink ref="B2" location="Trimestre!C25:F26" display="HIPOTECA" xr:uid="{00000000-0004-0000-0B00-000004000000}"/>
    <hyperlink ref="B2:G3" location="AÑO!AQ20:AT20" display="AÑO!AQ20:AT20" xr:uid="{00000000-0004-0000-0B00-000005000000}"/>
    <hyperlink ref="B22" location="Trimestre!C25:F26" display="HIPOTECA" xr:uid="{00000000-0004-0000-0B00-000006000000}"/>
    <hyperlink ref="B22:G23" location="AÑO!AQ21:AT21" display="AÑO!AQ21:AT21" xr:uid="{00000000-0004-0000-0B00-000007000000}"/>
    <hyperlink ref="B42" location="Trimestre!C25:F26" display="HIPOTECA" xr:uid="{00000000-0004-0000-0B00-000008000000}"/>
    <hyperlink ref="B42:G43" location="AÑO!AQ22:AT22" display="AÑO!AQ22:AT22" xr:uid="{00000000-0004-0000-0B00-000009000000}"/>
    <hyperlink ref="B62" location="Trimestre!C25:F26" display="HIPOTECA" xr:uid="{00000000-0004-0000-0B00-00000A000000}"/>
    <hyperlink ref="B62:G63" location="AÑO!AQ23:AT23" display="AÑO!AQ23:AT23" xr:uid="{00000000-0004-0000-0B00-00000B000000}"/>
    <hyperlink ref="B82" location="Trimestre!C25:F26" display="HIPOTECA" xr:uid="{00000000-0004-0000-0B00-00000C000000}"/>
    <hyperlink ref="B82:G83" location="AÑO!AQ24:AT24" display="AÑO!AQ24:AT24" xr:uid="{00000000-0004-0000-0B00-00000D000000}"/>
    <hyperlink ref="B102" location="Trimestre!C25:F26" display="HIPOTECA" xr:uid="{00000000-0004-0000-0B00-00000E000000}"/>
    <hyperlink ref="B102:G103" location="AÑO!AQ25:AT25" display="AÑO!AQ25:AT25" xr:uid="{00000000-0004-0000-0B00-00000F000000}"/>
    <hyperlink ref="B122" location="Trimestre!C25:F26" display="HIPOTECA" xr:uid="{00000000-0004-0000-0B00-000010000000}"/>
    <hyperlink ref="B122:G123" location="AÑO!AQ26:AT26" display="AÑO!AQ26:AT26" xr:uid="{00000000-0004-0000-0B00-000011000000}"/>
    <hyperlink ref="B142" location="Trimestre!C25:F26" display="HIPOTECA" xr:uid="{00000000-0004-0000-0B00-000012000000}"/>
    <hyperlink ref="B142:G143" location="AÑO!AQ27:AT27" display="AÑO!AQ27:AT27" xr:uid="{00000000-0004-0000-0B00-000013000000}"/>
    <hyperlink ref="B162" location="Trimestre!C25:F26" display="HIPOTECA" xr:uid="{00000000-0004-0000-0B00-000014000000}"/>
    <hyperlink ref="B162:G163" location="AÑO!AQ28:AT28" display="AÑO!AQ28:AT28" xr:uid="{00000000-0004-0000-0B00-000015000000}"/>
    <hyperlink ref="B182" location="Trimestre!C25:F26" display="HIPOTECA" xr:uid="{00000000-0004-0000-0B00-000016000000}"/>
    <hyperlink ref="B182:G183" location="AÑO!AQ29:AT29" display="AÑO!AQ29:AT29" xr:uid="{00000000-0004-0000-0B00-000017000000}"/>
    <hyperlink ref="B202" location="Trimestre!C25:F26" display="HIPOTECA" xr:uid="{00000000-0004-0000-0B00-000018000000}"/>
    <hyperlink ref="B202:G203" location="AÑO!AQ30:AT30" display="AÑO!AQ30:AT30" xr:uid="{00000000-0004-0000-0B00-000019000000}"/>
    <hyperlink ref="B222" location="Trimestre!C25:F26" display="HIPOTECA" xr:uid="{00000000-0004-0000-0B00-00001A000000}"/>
    <hyperlink ref="B222:G223" location="AÑO!AQ31:AT31" display="AÑO!AQ31:AT31" xr:uid="{00000000-0004-0000-0B00-00001B000000}"/>
    <hyperlink ref="B242" location="Trimestre!C25:F26" display="HIPOTECA" xr:uid="{00000000-0004-0000-0B00-00001C000000}"/>
    <hyperlink ref="B242:G243" location="AÑO!AQ32:AT32" display="AÑO!AQ32:AT32" xr:uid="{00000000-0004-0000-0B00-00001D000000}"/>
    <hyperlink ref="B262" location="Trimestre!C25:F26" display="HIPOTECA" xr:uid="{00000000-0004-0000-0B00-00001E000000}"/>
    <hyperlink ref="B262:G263" location="AÑO!AQ33:AT33" display="AÑO!AQ33:AT33" xr:uid="{00000000-0004-0000-0B00-00001F000000}"/>
    <hyperlink ref="B282" location="Trimestre!C25:F26" display="HIPOTECA" xr:uid="{00000000-0004-0000-0B00-000020000000}"/>
    <hyperlink ref="B282:G283" location="AÑO!AQ34:AT34" display="AÑO!AQ34:AT34" xr:uid="{00000000-0004-0000-0B00-000021000000}"/>
    <hyperlink ref="B302" location="Trimestre!C25:F26" display="HIPOTECA" xr:uid="{00000000-0004-0000-0B00-000022000000}"/>
    <hyperlink ref="B302:G303" location="AÑO!AQ35:AT35" display="AÑO!AQ35:AT35" xr:uid="{00000000-0004-0000-0B00-000023000000}"/>
    <hyperlink ref="B322" location="Trimestre!C25:F26" display="HIPOTECA" xr:uid="{00000000-0004-0000-0B00-000024000000}"/>
    <hyperlink ref="B322:G323" location="AÑO!AQ36:AT36" display="AÑO!AQ36:AT36" xr:uid="{00000000-0004-0000-0B00-000025000000}"/>
    <hyperlink ref="B342" location="Trimestre!C25:F26" display="HIPOTECA" xr:uid="{00000000-0004-0000-0B00-000026000000}"/>
    <hyperlink ref="B342:G343" location="AÑO!AQ37:AT37" display="AÑO!AQ37:AT37" xr:uid="{00000000-0004-0000-0B00-000027000000}"/>
    <hyperlink ref="B362" location="Trimestre!C25:F26" display="HIPOTECA" xr:uid="{00000000-0004-0000-0B00-000028000000}"/>
    <hyperlink ref="B362:G363" location="AÑO!AQ38:AT38" display="AÑO!AQ38:AT38" xr:uid="{00000000-0004-0000-0B00-000029000000}"/>
    <hyperlink ref="B382" location="Trimestre!C25:F26" display="HIPOTECA" xr:uid="{00000000-0004-0000-0B00-00002A000000}"/>
    <hyperlink ref="B382:G383" location="AÑO!AQ39:AT39" display="AÑO!AQ39:AT39" xr:uid="{00000000-0004-0000-0B00-00002B000000}"/>
    <hyperlink ref="B402" location="Trimestre!C25:F26" display="HIPOTECA" xr:uid="{00000000-0004-0000-0B00-00002C000000}"/>
    <hyperlink ref="B402:G403" location="AÑO!AQ40:AT40" display="AÑO!AQ40:AT40" xr:uid="{00000000-0004-0000-0B00-00002D000000}"/>
    <hyperlink ref="B422" location="Trimestre!C25:F26" display="HIPOTECA" xr:uid="{00000000-0004-0000-0B00-00002E000000}"/>
    <hyperlink ref="B422:G423" location="AÑO!AQ41:AT41" display="AÑO!AQ41:AT41" xr:uid="{00000000-0004-0000-0B00-00002F000000}"/>
    <hyperlink ref="B442" location="Trimestre!C25:F26" display="HIPOTECA" xr:uid="{00000000-0004-0000-0B00-000030000000}"/>
    <hyperlink ref="B442:G443" location="AÑO!AQ42:AT42" display="AÑO!AQ42:AT42" xr:uid="{00000000-0004-0000-0B00-000031000000}"/>
    <hyperlink ref="B462" location="Trimestre!C25:F26" display="HIPOTECA" xr:uid="{00000000-0004-0000-0B00-000032000000}"/>
    <hyperlink ref="B462:G463" location="AÑO!AQ43:AT43" display="AÑO!AQ43:AT43" xr:uid="{00000000-0004-0000-0B00-000033000000}"/>
    <hyperlink ref="B482" location="Trimestre!C25:F26" display="HIPOTECA" xr:uid="{00000000-0004-0000-0B00-000034000000}"/>
    <hyperlink ref="B482:G483" location="AÑO!AQ44:AT44" display="AÑO!AQ44:AT44" xr:uid="{00000000-0004-0000-0B00-000035000000}"/>
    <hyperlink ref="B502" location="Trimestre!C25:F26" display="HIPOTECA" xr:uid="{00000000-0004-0000-0B00-000036000000}"/>
    <hyperlink ref="B502:G503" location="AÑO!AQ45:AT45" display="AÑO!AQ45:AT45" xr:uid="{00000000-0004-0000-0B00-000037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497" workbookViewId="0">
      <selection activeCell="B502" sqref="B502:G50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194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55</v>
      </c>
      <c r="J4" s="105" t="s">
        <v>56</v>
      </c>
      <c r="K4" s="428" t="s">
        <v>57</v>
      </c>
      <c r="L4" s="429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0">
        <v>4501.8900000000003</v>
      </c>
      <c r="L5" s="431"/>
      <c r="M5" s="1"/>
      <c r="N5" s="1"/>
      <c r="R5" s="3"/>
    </row>
    <row r="6" spans="1:22" ht="15.75">
      <c r="A6" s="112">
        <f>'11'!A6+(B6-SUM(D6:F6))</f>
        <v>1173.78</v>
      </c>
      <c r="B6" s="133">
        <v>389.26</v>
      </c>
      <c r="C6" s="19" t="s">
        <v>772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14">
        <v>620.14</v>
      </c>
      <c r="L6" s="415"/>
      <c r="M6" s="1" t="s">
        <v>163</v>
      </c>
      <c r="N6" s="1"/>
      <c r="R6" s="3"/>
    </row>
    <row r="7" spans="1:22" ht="15.75">
      <c r="A7" s="112">
        <f>'11'!A7+(B7-SUM(D7:F7))</f>
        <v>502.93</v>
      </c>
      <c r="B7" s="134">
        <v>67.180000000000007</v>
      </c>
      <c r="C7" s="16" t="s">
        <v>338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4">
        <f>7374.65</f>
        <v>7374.65</v>
      </c>
      <c r="L7" s="415"/>
      <c r="M7" s="1"/>
      <c r="N7" s="1"/>
      <c r="R7" s="3"/>
    </row>
    <row r="8" spans="1:22" ht="15.75">
      <c r="A8" s="112">
        <f>'11'!A8+(B8-SUM(D8:F8))</f>
        <v>-115.76999999999992</v>
      </c>
      <c r="B8" s="134">
        <v>0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4">
        <v>6307.51</v>
      </c>
      <c r="L8" s="415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155</v>
      </c>
      <c r="K9" s="414">
        <f>4292.78+2.31</f>
        <v>4295.09</v>
      </c>
      <c r="L9" s="415"/>
      <c r="M9" s="1"/>
      <c r="N9" s="1"/>
      <c r="R9" s="3"/>
    </row>
    <row r="10" spans="1:22" ht="15.75">
      <c r="A10" s="112">
        <f>'11'!A10+(B10-SUM(D10:F10))</f>
        <v>36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"/>
      <c r="I10" s="108" t="s">
        <v>61</v>
      </c>
      <c r="J10" s="107" t="s">
        <v>79</v>
      </c>
      <c r="K10" s="414">
        <v>1802.02</v>
      </c>
      <c r="L10" s="415"/>
      <c r="M10" s="1" t="s">
        <v>154</v>
      </c>
      <c r="N10" s="1"/>
      <c r="R10" s="3"/>
    </row>
    <row r="11" spans="1:22" ht="15.75">
      <c r="A11" s="112">
        <f>'11'!A11+(B11-SUM(D11:F11))</f>
        <v>60.489999999999995</v>
      </c>
      <c r="B11" s="134">
        <v>30.24</v>
      </c>
      <c r="C11" s="16" t="s">
        <v>32</v>
      </c>
      <c r="D11" s="137"/>
      <c r="E11" s="138"/>
      <c r="F11" s="138"/>
      <c r="G11" s="16" t="s">
        <v>32</v>
      </c>
      <c r="H11" s="1"/>
      <c r="I11" s="108" t="s">
        <v>66</v>
      </c>
      <c r="J11" s="107" t="s">
        <v>67</v>
      </c>
      <c r="K11" s="414">
        <f>40+70</f>
        <v>110</v>
      </c>
      <c r="L11" s="415"/>
      <c r="M11" s="1"/>
      <c r="N11" s="1"/>
      <c r="R11" s="3"/>
    </row>
    <row r="12" spans="1:22" ht="15.75">
      <c r="A12" s="112">
        <f>'11'!A12+(B12-SUM(D12:F12))</f>
        <v>-18.5</v>
      </c>
      <c r="B12" s="134">
        <v>-263.04000000000002</v>
      </c>
      <c r="C12" s="16"/>
      <c r="D12" s="137"/>
      <c r="E12" s="138"/>
      <c r="F12" s="138"/>
      <c r="G12" s="16"/>
      <c r="H12" s="1"/>
      <c r="I12" s="108" t="s">
        <v>156</v>
      </c>
      <c r="J12" s="107" t="s">
        <v>157</v>
      </c>
      <c r="K12" s="414">
        <f>5092.08</f>
        <v>5092.08</v>
      </c>
      <c r="L12" s="415"/>
      <c r="M12" s="92"/>
      <c r="N12" s="1"/>
      <c r="R12" s="3"/>
    </row>
    <row r="13" spans="1:22" ht="15.75">
      <c r="A13" s="112">
        <f>'11'!A13+(B13-SUM(D13:F13))</f>
        <v>56.5</v>
      </c>
      <c r="B13" s="134">
        <v>6.5</v>
      </c>
      <c r="C13" s="16" t="s">
        <v>264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8">
        <f>SUM(K5:K18)</f>
        <v>30103.380000000005</v>
      </c>
      <c r="L19" s="439"/>
      <c r="M19" s="1"/>
      <c r="N19" s="1"/>
      <c r="R19" s="3"/>
    </row>
    <row r="20" spans="1:18" ht="16.5" thickBot="1">
      <c r="A20" s="112">
        <f>SUM(A6:A15)</f>
        <v>1695.43</v>
      </c>
      <c r="B20" s="135">
        <f>SUM(B6:B19)</f>
        <v>242.14</v>
      </c>
      <c r="C20" s="17" t="s">
        <v>51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23209.280000000006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29</v>
      </c>
      <c r="J24" s="432" t="s">
        <v>85</v>
      </c>
      <c r="K24" s="433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19" t="str">
        <f>AÑO!A8</f>
        <v>Manolo Salario</v>
      </c>
      <c r="J25" s="422" t="s">
        <v>339</v>
      </c>
      <c r="K25" s="423"/>
      <c r="L25" s="231"/>
      <c r="M25" s="1"/>
      <c r="R25" s="3"/>
    </row>
    <row r="26" spans="1:18" ht="15.75">
      <c r="A26" s="112">
        <f>'11'!A26+(B26-SUM(D26:F26))</f>
        <v>1800</v>
      </c>
      <c r="B26" s="133">
        <v>900</v>
      </c>
      <c r="C26" s="27" t="s">
        <v>37</v>
      </c>
      <c r="D26" s="137"/>
      <c r="E26" s="138"/>
      <c r="F26" s="138"/>
      <c r="G26" s="16" t="s">
        <v>37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'11'!A27+(B27-SUM(D27:F27))</f>
        <v>427.07999999999993</v>
      </c>
      <c r="B27" s="134">
        <v>190</v>
      </c>
      <c r="C27" s="27" t="s">
        <v>38</v>
      </c>
      <c r="D27" s="137"/>
      <c r="E27" s="138"/>
      <c r="F27" s="138"/>
      <c r="G27" s="16" t="s">
        <v>38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'11'!A28+(B28-SUM(D28:F28))</f>
        <v>149.92000000000002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'11'!A29+(B29-SUM(D29:F29))</f>
        <v>37.010000000000005</v>
      </c>
      <c r="B29" s="134">
        <v>18</v>
      </c>
      <c r="C29" s="27" t="s">
        <v>36</v>
      </c>
      <c r="D29" s="137"/>
      <c r="E29" s="138"/>
      <c r="F29" s="138"/>
      <c r="G29" s="16" t="s">
        <v>36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'11'!A30+(B30-SUM(D30:F30))</f>
        <v>196.27999999999997</v>
      </c>
      <c r="B30" s="134">
        <v>5</v>
      </c>
      <c r="C30" s="27" t="s">
        <v>40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368</v>
      </c>
      <c r="K30" s="423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/>
      <c r="K31" s="425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/>
      <c r="K32" s="425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212</v>
      </c>
      <c r="J35" s="422"/>
      <c r="K35" s="423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2610.29</v>
      </c>
      <c r="B40" s="135">
        <f>SUM(B26:B39)</f>
        <v>1153</v>
      </c>
      <c r="C40" s="17" t="s">
        <v>51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19" t="str">
        <f>AÑO!A11</f>
        <v>Finanazas</v>
      </c>
      <c r="J40" s="422"/>
      <c r="K40" s="423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Supermercado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19" t="str">
        <f>AÑO!A12</f>
        <v>Regalos</v>
      </c>
      <c r="J45" s="422"/>
      <c r="K45" s="423"/>
      <c r="L45" s="231"/>
      <c r="M45" s="1"/>
      <c r="R45" s="3"/>
    </row>
    <row r="46" spans="1:18" ht="15.75">
      <c r="A46" s="1"/>
      <c r="B46" s="133">
        <v>315</v>
      </c>
      <c r="C46" s="19"/>
      <c r="D46" s="137"/>
      <c r="E46" s="138"/>
      <c r="F46" s="138"/>
      <c r="G46" s="30"/>
      <c r="H46" s="1"/>
      <c r="I46" s="420"/>
      <c r="J46" s="424"/>
      <c r="K46" s="425"/>
      <c r="L46" s="229"/>
      <c r="M46" s="1"/>
      <c r="R46" s="3"/>
    </row>
    <row r="47" spans="1:18" ht="15.75">
      <c r="A47" s="1"/>
      <c r="B47" s="134"/>
      <c r="C47" s="16"/>
      <c r="D47" s="137"/>
      <c r="E47" s="138"/>
      <c r="F47" s="138"/>
      <c r="G47" s="16"/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0"/>
      <c r="J48" s="424"/>
      <c r="K48" s="425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19" t="str">
        <f>AÑO!A13</f>
        <v>Gubernamental</v>
      </c>
      <c r="J50" s="422" t="s">
        <v>849</v>
      </c>
      <c r="K50" s="423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22"/>
      <c r="K55" s="423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315</v>
      </c>
      <c r="C60" s="17" t="s">
        <v>51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19" t="str">
        <f>AÑO!A15</f>
        <v>Alquiler Cartama</v>
      </c>
      <c r="J60" s="422" t="s">
        <v>37</v>
      </c>
      <c r="K60" s="423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'11'!A66+(B66-SUM(D66:F78))+B67</f>
        <v>471.32000000000011</v>
      </c>
      <c r="B66" s="133">
        <v>175</v>
      </c>
      <c r="C66" s="19" t="s">
        <v>31</v>
      </c>
      <c r="D66" s="137"/>
      <c r="E66" s="138"/>
      <c r="F66" s="138"/>
      <c r="G66" s="19"/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4"/>
      <c r="J69" s="435"/>
      <c r="K69" s="436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'11'!A79+(B79-SUM(D79:F79))</f>
        <v>53.819999999999993</v>
      </c>
      <c r="B79" s="233">
        <v>10</v>
      </c>
      <c r="C79" s="17" t="s">
        <v>230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525.1400000000001</v>
      </c>
      <c r="B80" s="233">
        <f>SUM(B66:B79)</f>
        <v>185</v>
      </c>
      <c r="C80" s="17" t="s">
        <v>51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150</v>
      </c>
      <c r="C86" s="19" t="s">
        <v>197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'11'!A106+(B106-SUM(D106:F106))</f>
        <v>516.94000000000005</v>
      </c>
      <c r="B106" s="133">
        <v>258.47000000000003</v>
      </c>
      <c r="C106" s="18" t="s">
        <v>42</v>
      </c>
      <c r="D106" s="137"/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'11'!A107+(B107-SUM(D107:F107))</f>
        <v>140.29000000000005</v>
      </c>
      <c r="B107" s="134">
        <v>69</v>
      </c>
      <c r="C107" s="18" t="s">
        <v>43</v>
      </c>
      <c r="D107" s="137"/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'11'!A108+(B108-SUM(D108:F108))</f>
        <v>733.09999999999991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3834.0415974244993</v>
      </c>
      <c r="B109" s="134">
        <v>80</v>
      </c>
      <c r="C109" s="18" t="s">
        <v>393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1390.33</v>
      </c>
      <c r="B120" s="135">
        <f>SUM(B106:B119)</f>
        <v>457.47</v>
      </c>
      <c r="C120" s="17" t="s">
        <v>51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'11'!A126+(B126-SUM(D126:F126))</f>
        <v>42.5</v>
      </c>
      <c r="B126" s="133">
        <v>27.5</v>
      </c>
      <c r="C126" s="19" t="s">
        <v>44</v>
      </c>
      <c r="D126" s="137"/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'11'!A127+(B127-SUM(D127:F128))</f>
        <v>37.5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816</v>
      </c>
      <c r="I127" s="113">
        <f>D127+D128+'11'!I127</f>
        <v>135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'11'!A129+(B129-SUM(D129:F129))</f>
        <v>8.0799999999999983</v>
      </c>
      <c r="B129" s="134">
        <v>8</v>
      </c>
      <c r="C129" s="16" t="s">
        <v>160</v>
      </c>
      <c r="D129" s="137"/>
      <c r="E129" s="138"/>
      <c r="F129" s="138"/>
      <c r="G129" s="16" t="s">
        <v>160</v>
      </c>
      <c r="H129" s="1"/>
      <c r="M129" s="1"/>
      <c r="R129" s="3"/>
    </row>
    <row r="130" spans="1:18" ht="15.75">
      <c r="A130" s="112">
        <f>'11'!A130+(B130-SUM(D130:F130))</f>
        <v>-42.5</v>
      </c>
      <c r="B130" s="134">
        <f>2.5+15</f>
        <v>17.5</v>
      </c>
      <c r="C130" s="16" t="s">
        <v>825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80</v>
      </c>
      <c r="B140" s="135">
        <f>SUM(B126:B139)</f>
        <v>68</v>
      </c>
      <c r="C140" s="17" t="s">
        <v>51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881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105</v>
      </c>
      <c r="C200" s="17" t="s">
        <v>51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7" ht="15" customHeight="1">
      <c r="A246" s="112">
        <f>'11'!A246+(B246-SUM(D246:F255))</f>
        <v>78.47</v>
      </c>
      <c r="B246" s="134">
        <v>50</v>
      </c>
      <c r="C246" s="27" t="s">
        <v>340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'11'!A256+(B256-SUM(D256:F256))</f>
        <v>70</v>
      </c>
      <c r="B256" s="134">
        <f>5+15</f>
        <v>20</v>
      </c>
      <c r="C256" s="16" t="s">
        <v>347</v>
      </c>
      <c r="D256" s="137"/>
      <c r="E256" s="138"/>
      <c r="F256" s="138"/>
      <c r="G256" s="16"/>
    </row>
    <row r="257" spans="1:8" ht="15.75">
      <c r="A257" s="112">
        <f>'11'!A257+(B257-SUM(D257:F257))</f>
        <v>604.11000000000013</v>
      </c>
      <c r="B257" s="134">
        <f>40+140</f>
        <v>180</v>
      </c>
      <c r="C257" s="16" t="s">
        <v>853</v>
      </c>
      <c r="D257" s="137"/>
      <c r="E257" s="138"/>
      <c r="F257" s="138"/>
      <c r="G257" s="16" t="s">
        <v>343</v>
      </c>
      <c r="H257" s="89">
        <f>1208-(100.67*7)</f>
        <v>503.30999999999995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752.58000000000015</v>
      </c>
      <c r="B260" s="135">
        <f>SUM(B246:B259)</f>
        <v>250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40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40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1:8" ht="15" customHeight="1" thickBot="1">
      <c r="B283" s="411"/>
      <c r="C283" s="412"/>
      <c r="D283" s="412"/>
      <c r="E283" s="412"/>
      <c r="F283" s="412"/>
      <c r="G283" s="413"/>
    </row>
    <row r="284" spans="1:8">
      <c r="B284" s="400" t="s">
        <v>8</v>
      </c>
      <c r="C284" s="401"/>
      <c r="D284" s="400" t="s">
        <v>9</v>
      </c>
      <c r="E284" s="408"/>
      <c r="F284" s="408"/>
      <c r="G284" s="401"/>
    </row>
    <row r="285" spans="1:8" ht="15.75">
      <c r="A285" s="1" t="s">
        <v>181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1:8" ht="15.75">
      <c r="A286" s="112">
        <f>'11'!A286+(SUM(B286:B298)-SUM(D286:F298))</f>
        <v>332.50999999999988</v>
      </c>
      <c r="B286" s="133">
        <v>50</v>
      </c>
      <c r="C286" s="19" t="s">
        <v>31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'11'!A299+(B299-SUM(D299:F299))</f>
        <v>185</v>
      </c>
      <c r="B299" s="135">
        <f>40+5</f>
        <v>45</v>
      </c>
      <c r="C299" s="17" t="s">
        <v>704</v>
      </c>
      <c r="D299" s="135"/>
      <c r="E299" s="139"/>
      <c r="F299" s="139"/>
      <c r="G299" s="17"/>
    </row>
    <row r="300" spans="1:8" ht="16.5" thickBot="1">
      <c r="A300" s="112">
        <f>SUM(A286:A299)</f>
        <v>517.50999999999988</v>
      </c>
      <c r="B300" s="135">
        <f>SUM(B286:B299)</f>
        <v>95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1:8" ht="15" customHeight="1" thickBot="1">
      <c r="B303" s="411"/>
      <c r="C303" s="412"/>
      <c r="D303" s="412"/>
      <c r="E303" s="412"/>
      <c r="F303" s="412"/>
      <c r="G303" s="413"/>
    </row>
    <row r="304" spans="1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130</v>
      </c>
      <c r="C306" s="19" t="s">
        <v>660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51</v>
      </c>
    </row>
    <row r="321" spans="2:7" ht="15.75" thickBot="1"/>
    <row r="322" spans="2:7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2" t="str">
        <f>AÑO!A37</f>
        <v>Imprevistos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75">
      <c r="A345" s="1" t="s">
        <v>181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1:7" ht="15.75">
      <c r="A346" s="112">
        <f>'11'!A346+(B346-SUM(D346:F357))</f>
        <v>230.73</v>
      </c>
      <c r="B346" s="133">
        <v>0</v>
      </c>
      <c r="C346" s="19" t="s">
        <v>195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'11'!A358+(B358-SUM(D358:F358))</f>
        <v>175</v>
      </c>
      <c r="B358" s="134">
        <v>35</v>
      </c>
      <c r="C358" s="16" t="s">
        <v>671</v>
      </c>
      <c r="D358" s="137"/>
      <c r="E358" s="138"/>
      <c r="F358" s="138"/>
      <c r="G358" s="16"/>
    </row>
    <row r="359" spans="1:7" ht="16.5" thickBot="1">
      <c r="A359" s="112">
        <f>'11'!A359+(B359-SUM(D359:F359))</f>
        <v>-15</v>
      </c>
      <c r="B359" s="135">
        <v>10</v>
      </c>
      <c r="C359" s="17" t="s">
        <v>803</v>
      </c>
      <c r="D359" s="135"/>
      <c r="E359" s="139"/>
      <c r="F359" s="139"/>
      <c r="G359" s="17"/>
    </row>
    <row r="360" spans="1:7" ht="16.5" thickBot="1">
      <c r="A360" s="112">
        <f>SUM(A346:A359)</f>
        <v>390.73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1:7">
      <c r="B366" s="133">
        <v>60</v>
      </c>
      <c r="C366" s="19" t="s">
        <v>31</v>
      </c>
      <c r="D366" s="137"/>
      <c r="E366" s="138"/>
      <c r="F366" s="138"/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AÑO!AU17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-3900</v>
      </c>
      <c r="C426" s="19" t="s">
        <v>227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731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NULO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'11'!A466+(B466-SUM(D466:F466))</f>
        <v>0</v>
      </c>
      <c r="B466" s="134">
        <v>0</v>
      </c>
      <c r="C466" s="16" t="s">
        <v>286</v>
      </c>
      <c r="D466" s="137"/>
      <c r="E466" s="138"/>
      <c r="F466" s="138"/>
      <c r="G466" s="16"/>
    </row>
    <row r="467" spans="1:7" ht="15.75">
      <c r="A467" s="112">
        <f>'11'!A467+(B467-SUM(D467:F467))</f>
        <v>433.45919055649222</v>
      </c>
      <c r="B467" s="134">
        <f>71.35+63.04</f>
        <v>134.38999999999999</v>
      </c>
      <c r="C467" s="16" t="s">
        <v>391</v>
      </c>
      <c r="D467" s="137"/>
      <c r="E467" s="138"/>
      <c r="F467" s="138"/>
      <c r="G467" s="16"/>
    </row>
    <row r="468" spans="1:7" ht="15.75">
      <c r="A468" s="112">
        <f>'11'!A468+(B468-SUM(D468:F468))</f>
        <v>208.4</v>
      </c>
      <c r="B468" s="134">
        <v>10</v>
      </c>
      <c r="C468" s="16" t="s">
        <v>183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641.85919055649219</v>
      </c>
      <c r="B480" s="135">
        <f>SUM(B466:B479)</f>
        <v>144.38999999999999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5</v>
      </c>
      <c r="C506" s="19" t="s">
        <v>880</v>
      </c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C00-000000000000}"/>
    <hyperlink ref="I2:L3" location="AÑO!AU4:AX5" display="SALDO REAL" xr:uid="{00000000-0004-0000-0C00-000001000000}"/>
    <hyperlink ref="I22" location="Trimestre!C39:F40" display="TELÉFONO" xr:uid="{00000000-0004-0000-0C00-000002000000}"/>
    <hyperlink ref="I22:L23" location="AÑO!AU7:AX17" display="INGRESOS" xr:uid="{00000000-0004-0000-0C00-000003000000}"/>
    <hyperlink ref="B2" location="Trimestre!C25:F26" display="HIPOTECA" xr:uid="{00000000-0004-0000-0C00-000004000000}"/>
    <hyperlink ref="B2:G3" location="AÑO!AU20:AX20" display="AÑO!AU20:AX20" xr:uid="{00000000-0004-0000-0C00-000005000000}"/>
    <hyperlink ref="B22" location="Trimestre!C25:F26" display="HIPOTECA" xr:uid="{00000000-0004-0000-0C00-000006000000}"/>
    <hyperlink ref="B22:G23" location="AÑO!AU21:AX21" display="AÑO!AU21:AX21" xr:uid="{00000000-0004-0000-0C00-000007000000}"/>
    <hyperlink ref="B42" location="Trimestre!C25:F26" display="HIPOTECA" xr:uid="{00000000-0004-0000-0C00-000008000000}"/>
    <hyperlink ref="B42:G43" location="AÑO!AU22:AX22" display="AÑO!AU22:AX22" xr:uid="{00000000-0004-0000-0C00-000009000000}"/>
    <hyperlink ref="B62" location="Trimestre!C25:F26" display="HIPOTECA" xr:uid="{00000000-0004-0000-0C00-00000A000000}"/>
    <hyperlink ref="B62:G63" location="AÑO!AU23:AX23" display="AÑO!AU23:AX23" xr:uid="{00000000-0004-0000-0C00-00000B000000}"/>
    <hyperlink ref="B82" location="Trimestre!C25:F26" display="HIPOTECA" xr:uid="{00000000-0004-0000-0C00-00000C000000}"/>
    <hyperlink ref="B82:G83" location="AÑO!AU24:AX24" display="AÑO!AU24:AX24" xr:uid="{00000000-0004-0000-0C00-00000D000000}"/>
    <hyperlink ref="B102" location="Trimestre!C25:F26" display="HIPOTECA" xr:uid="{00000000-0004-0000-0C00-00000E000000}"/>
    <hyperlink ref="B102:G103" location="AÑO!AU25:AX25" display="AÑO!AU25:AX25" xr:uid="{00000000-0004-0000-0C00-00000F000000}"/>
    <hyperlink ref="B122" location="Trimestre!C25:F26" display="HIPOTECA" xr:uid="{00000000-0004-0000-0C00-000010000000}"/>
    <hyperlink ref="B122:G123" location="AÑO!AU26:AX26" display="AÑO!AU26:AX26" xr:uid="{00000000-0004-0000-0C00-000011000000}"/>
    <hyperlink ref="B142" location="Trimestre!C25:F26" display="HIPOTECA" xr:uid="{00000000-0004-0000-0C00-000012000000}"/>
    <hyperlink ref="B142:G143" location="AÑO!AU27:AX27" display="AÑO!AU27:AX27" xr:uid="{00000000-0004-0000-0C00-000013000000}"/>
    <hyperlink ref="B162" location="Trimestre!C25:F26" display="HIPOTECA" xr:uid="{00000000-0004-0000-0C00-000014000000}"/>
    <hyperlink ref="B162:G163" location="AÑO!AU28:AX28" display="AÑO!AU28:AX28" xr:uid="{00000000-0004-0000-0C00-000015000000}"/>
    <hyperlink ref="B182" location="Trimestre!C25:F26" display="HIPOTECA" xr:uid="{00000000-0004-0000-0C00-000016000000}"/>
    <hyperlink ref="B182:G183" location="AÑO!AU29:AX29" display="AÑO!AU29:AX29" xr:uid="{00000000-0004-0000-0C00-000017000000}"/>
    <hyperlink ref="B202" location="Trimestre!C25:F26" display="HIPOTECA" xr:uid="{00000000-0004-0000-0C00-000018000000}"/>
    <hyperlink ref="B202:G203" location="AÑO!AU30:AX30" display="AÑO!AU30:AX30" xr:uid="{00000000-0004-0000-0C00-000019000000}"/>
    <hyperlink ref="B222" location="Trimestre!C25:F26" display="HIPOTECA" xr:uid="{00000000-0004-0000-0C00-00001A000000}"/>
    <hyperlink ref="B222:G223" location="AÑO!AU31:AX31" display="AÑO!AU31:AX31" xr:uid="{00000000-0004-0000-0C00-00001B000000}"/>
    <hyperlink ref="B242" location="Trimestre!C25:F26" display="HIPOTECA" xr:uid="{00000000-0004-0000-0C00-00001C000000}"/>
    <hyperlink ref="B242:G243" location="AÑO!AU32:AX32" display="AÑO!AU32:AX32" xr:uid="{00000000-0004-0000-0C00-00001D000000}"/>
    <hyperlink ref="B262" location="Trimestre!C25:F26" display="HIPOTECA" xr:uid="{00000000-0004-0000-0C00-00001E000000}"/>
    <hyperlink ref="B262:G263" location="AÑO!AU33:AX33" display="AÑO!AU33:AX33" xr:uid="{00000000-0004-0000-0C00-00001F000000}"/>
    <hyperlink ref="B282" location="Trimestre!C25:F26" display="HIPOTECA" xr:uid="{00000000-0004-0000-0C00-000020000000}"/>
    <hyperlink ref="B282:G283" location="AÑO!AU34:AX34" display="AÑO!AU34:AX34" xr:uid="{00000000-0004-0000-0C00-000021000000}"/>
    <hyperlink ref="B302" location="Trimestre!C25:F26" display="HIPOTECA" xr:uid="{00000000-0004-0000-0C00-000022000000}"/>
    <hyperlink ref="B302:G303" location="AÑO!AU35:AX35" display="AÑO!AU35:AX35" xr:uid="{00000000-0004-0000-0C00-000023000000}"/>
    <hyperlink ref="B322" location="Trimestre!C25:F26" display="HIPOTECA" xr:uid="{00000000-0004-0000-0C00-000024000000}"/>
    <hyperlink ref="B322:G323" location="AÑO!AU36:AX36" display="AÑO!AU36:AX36" xr:uid="{00000000-0004-0000-0C00-000025000000}"/>
    <hyperlink ref="B342" location="Trimestre!C25:F26" display="HIPOTECA" xr:uid="{00000000-0004-0000-0C00-000026000000}"/>
    <hyperlink ref="B342:G343" location="AÑO!AU37:AX37" display="AÑO!AU37:AX37" xr:uid="{00000000-0004-0000-0C00-000027000000}"/>
    <hyperlink ref="B362" location="Trimestre!C25:F26" display="HIPOTECA" xr:uid="{00000000-0004-0000-0C00-000028000000}"/>
    <hyperlink ref="B362:G363" location="AÑO!AU38:AX38" display="AÑO!AU38:AX38" xr:uid="{00000000-0004-0000-0C00-000029000000}"/>
    <hyperlink ref="B382" location="Trimestre!C25:F26" display="HIPOTECA" xr:uid="{00000000-0004-0000-0C00-00002A000000}"/>
    <hyperlink ref="B382:G383" location="AÑO!AU39:AX39" display="AÑO!AU39:AX39" xr:uid="{00000000-0004-0000-0C00-00002B000000}"/>
    <hyperlink ref="B402" location="Trimestre!C25:F26" display="HIPOTECA" xr:uid="{00000000-0004-0000-0C00-00002C000000}"/>
    <hyperlink ref="B402:G403" location="AÑO!AU40:AX40" display="AÑO!AU40:AX40" xr:uid="{00000000-0004-0000-0C00-00002D000000}"/>
    <hyperlink ref="B422" location="Trimestre!C25:F26" display="HIPOTECA" xr:uid="{00000000-0004-0000-0C00-00002E000000}"/>
    <hyperlink ref="B422:G423" location="AÑO!AU41:AX41" display="AÑO!AU41:AX41" xr:uid="{00000000-0004-0000-0C00-00002F000000}"/>
    <hyperlink ref="B442" location="Trimestre!C25:F26" display="HIPOTECA" xr:uid="{00000000-0004-0000-0C00-000030000000}"/>
    <hyperlink ref="B442:G443" location="AÑO!AU42:AX42" display="AÑO!AU42:AX42" xr:uid="{00000000-0004-0000-0C00-000031000000}"/>
    <hyperlink ref="B462" location="Trimestre!C25:F26" display="HIPOTECA" xr:uid="{00000000-0004-0000-0C00-000032000000}"/>
    <hyperlink ref="B462:G463" location="AÑO!AU43:AX43" display="AÑO!AU43:AX43" xr:uid="{00000000-0004-0000-0C00-000033000000}"/>
    <hyperlink ref="B482" location="Trimestre!C25:F26" display="HIPOTECA" xr:uid="{00000000-0004-0000-0C00-000034000000}"/>
    <hyperlink ref="B482:G483" location="AÑO!AU44:AX44" display="AÑO!AU44:AX44" xr:uid="{00000000-0004-0000-0C00-000035000000}"/>
    <hyperlink ref="B502" location="Trimestre!C25:F26" display="HIPOTECA" xr:uid="{00000000-0004-0000-0C00-000036000000}"/>
    <hyperlink ref="B502:G503" location="AÑO!AU45:AX45" display="AÑO!AU45:AX45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63"/>
  <sheetViews>
    <sheetView topLeftCell="A13" workbookViewId="0">
      <selection activeCell="F27" sqref="F27"/>
    </sheetView>
  </sheetViews>
  <sheetFormatPr defaultColWidth="11" defaultRowHeight="15"/>
  <cols>
    <col min="3" max="3" width="14.140625" customWidth="1"/>
    <col min="4" max="4" width="18" customWidth="1"/>
    <col min="8" max="8" width="17.7109375" bestFit="1" customWidth="1"/>
    <col min="11" max="11" width="12" bestFit="1" customWidth="1"/>
  </cols>
  <sheetData>
    <row r="1" spans="1:5" ht="15.75" thickBot="1">
      <c r="A1" s="90">
        <v>258.47000000000003</v>
      </c>
    </row>
    <row r="2" spans="1:5" ht="15.75" thickBot="1">
      <c r="A2" s="90">
        <v>9486.92</v>
      </c>
      <c r="B2" s="64" t="s">
        <v>143</v>
      </c>
      <c r="C2" s="61" t="s">
        <v>144</v>
      </c>
      <c r="D2" s="63" t="s">
        <v>145</v>
      </c>
    </row>
    <row r="3" spans="1:5">
      <c r="B3" s="79">
        <v>43074</v>
      </c>
      <c r="C3" s="70">
        <v>0</v>
      </c>
      <c r="D3" s="66">
        <v>24736.65</v>
      </c>
      <c r="E3" t="s">
        <v>146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146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146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146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146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146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146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146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146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146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146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146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146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146</v>
      </c>
    </row>
    <row r="17" spans="2:6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146</v>
      </c>
    </row>
    <row r="18" spans="2:6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146</v>
      </c>
    </row>
    <row r="19" spans="2:6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146</v>
      </c>
    </row>
    <row r="20" spans="2:6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146</v>
      </c>
    </row>
    <row r="21" spans="2:6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E21" t="s">
        <v>146</v>
      </c>
    </row>
    <row r="22" spans="2:6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E22" t="s">
        <v>146</v>
      </c>
    </row>
    <row r="23" spans="2:6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E23" t="s">
        <v>146</v>
      </c>
    </row>
    <row r="24" spans="2:6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E24" t="s">
        <v>146</v>
      </c>
    </row>
    <row r="25" spans="2:6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E25" t="s">
        <v>146</v>
      </c>
    </row>
    <row r="26" spans="2:6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E26" t="s">
        <v>146</v>
      </c>
      <c r="F26">
        <f>80</f>
        <v>80</v>
      </c>
    </row>
    <row r="27" spans="2:6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F27">
        <f>F26+80</f>
        <v>160</v>
      </c>
    </row>
    <row r="28" spans="2:6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F28">
        <f t="shared" ref="F28:F62" si="3">F27+80</f>
        <v>240</v>
      </c>
    </row>
    <row r="29" spans="2:6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F29">
        <f t="shared" si="3"/>
        <v>320</v>
      </c>
    </row>
    <row r="30" spans="2:6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F30">
        <f t="shared" si="3"/>
        <v>400</v>
      </c>
    </row>
    <row r="31" spans="2:6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F31">
        <f t="shared" si="3"/>
        <v>480</v>
      </c>
    </row>
    <row r="32" spans="2:6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F32">
        <f t="shared" si="3"/>
        <v>560</v>
      </c>
    </row>
    <row r="33" spans="2:6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F33">
        <f t="shared" si="3"/>
        <v>640</v>
      </c>
    </row>
    <row r="34" spans="2:6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F34">
        <f t="shared" si="3"/>
        <v>720</v>
      </c>
    </row>
    <row r="35" spans="2:6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F35">
        <f t="shared" si="3"/>
        <v>800</v>
      </c>
    </row>
    <row r="36" spans="2:6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F36">
        <f t="shared" si="3"/>
        <v>880</v>
      </c>
    </row>
    <row r="37" spans="2:6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F37">
        <f t="shared" si="3"/>
        <v>960</v>
      </c>
    </row>
    <row r="38" spans="2:6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F38">
        <f t="shared" si="3"/>
        <v>1040</v>
      </c>
    </row>
    <row r="39" spans="2:6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F39">
        <f t="shared" si="3"/>
        <v>1120</v>
      </c>
    </row>
    <row r="40" spans="2:6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F40">
        <f t="shared" si="3"/>
        <v>1200</v>
      </c>
    </row>
    <row r="41" spans="2:6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F41">
        <f t="shared" si="3"/>
        <v>1280</v>
      </c>
    </row>
    <row r="42" spans="2:6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F42">
        <f t="shared" si="3"/>
        <v>1360</v>
      </c>
    </row>
    <row r="43" spans="2:6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F43">
        <f t="shared" si="3"/>
        <v>1440</v>
      </c>
    </row>
    <row r="44" spans="2:6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F44">
        <f t="shared" si="3"/>
        <v>1520</v>
      </c>
    </row>
    <row r="45" spans="2:6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F45">
        <f t="shared" si="3"/>
        <v>1600</v>
      </c>
    </row>
    <row r="46" spans="2:6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F46">
        <f t="shared" si="3"/>
        <v>1680</v>
      </c>
    </row>
    <row r="47" spans="2:6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F47">
        <f t="shared" si="3"/>
        <v>1760</v>
      </c>
    </row>
    <row r="48" spans="2:6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F48">
        <f t="shared" si="3"/>
        <v>1840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F49">
        <f t="shared" si="3"/>
        <v>1920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F50">
        <f t="shared" si="3"/>
        <v>2000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F51">
        <f t="shared" si="3"/>
        <v>2080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F52">
        <f t="shared" si="3"/>
        <v>2160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F53">
        <f t="shared" si="3"/>
        <v>2240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F54">
        <f t="shared" si="3"/>
        <v>2320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F55">
        <f t="shared" si="3"/>
        <v>2400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F56">
        <f t="shared" si="3"/>
        <v>2480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F57">
        <f t="shared" si="3"/>
        <v>2560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F58">
        <f t="shared" si="3"/>
        <v>2640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F59">
        <f t="shared" si="3"/>
        <v>2720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F60">
        <f t="shared" si="3"/>
        <v>2800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F61">
        <f t="shared" si="3"/>
        <v>2880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F62">
        <f t="shared" si="3"/>
        <v>2960</v>
      </c>
      <c r="G62">
        <f>3674+F62</f>
        <v>6634</v>
      </c>
      <c r="H62">
        <f>D62-G62</f>
        <v>2852.9199999999819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H63" s="119"/>
      <c r="I63" s="11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58"/>
  <sheetViews>
    <sheetView workbookViewId="0">
      <selection activeCell="N6" sqref="N6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14" max="15" width="12" bestFit="1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4" ht="12.75" customHeight="1">
      <c r="B1" s="41"/>
      <c r="E1" s="42"/>
    </row>
    <row r="2" spans="1:14" ht="12.75" customHeight="1">
      <c r="A2" s="43" t="s">
        <v>87</v>
      </c>
      <c r="B2" s="42"/>
      <c r="C2" s="114"/>
      <c r="E2" s="42"/>
    </row>
    <row r="3" spans="1:14" ht="12.75" customHeight="1">
      <c r="A3" t="s">
        <v>177</v>
      </c>
      <c r="B3" s="114">
        <f>Historico!I25</f>
        <v>43739</v>
      </c>
      <c r="D3" s="44"/>
      <c r="E3" s="45"/>
    </row>
    <row r="4" spans="1:14" ht="12.75" customHeight="1">
      <c r="A4" t="s">
        <v>176</v>
      </c>
      <c r="B4" s="119">
        <v>127806.25</v>
      </c>
      <c r="C4" s="114"/>
      <c r="E4" s="41"/>
    </row>
    <row r="5" spans="1:14" ht="12.75" customHeight="1">
      <c r="A5" t="s">
        <v>88</v>
      </c>
      <c r="B5" s="46">
        <f>Historico!H83</f>
        <v>335</v>
      </c>
      <c r="E5" s="42"/>
      <c r="J5" s="47" t="s">
        <v>89</v>
      </c>
      <c r="L5" s="44" t="s">
        <v>90</v>
      </c>
      <c r="M5" t="s">
        <v>91</v>
      </c>
      <c r="N5" t="s">
        <v>702</v>
      </c>
    </row>
    <row r="6" spans="1:14" ht="12.75" customHeight="1">
      <c r="A6" t="s">
        <v>92</v>
      </c>
      <c r="B6" s="48">
        <f>E19</f>
        <v>-0.35599999999999998</v>
      </c>
      <c r="C6" s="44" t="s">
        <v>93</v>
      </c>
      <c r="D6" s="43" t="s">
        <v>94</v>
      </c>
      <c r="E6" s="42"/>
      <c r="J6" t="s">
        <v>95</v>
      </c>
      <c r="K6" s="49">
        <f>B4-B15</f>
        <v>127432.3329171095</v>
      </c>
      <c r="L6" s="39">
        <f>B4*(E8/100)</f>
        <v>15.336750000000002</v>
      </c>
      <c r="M6" s="49">
        <f>B13-L6</f>
        <v>373.9170828905041</v>
      </c>
      <c r="N6" s="59">
        <f>L6/SUM(L6:M6)</f>
        <v>3.9400382742831419E-2</v>
      </c>
    </row>
    <row r="7" spans="1:14" ht="12.75" customHeight="1">
      <c r="E7" s="42"/>
      <c r="J7" t="s">
        <v>96</v>
      </c>
      <c r="K7" s="49">
        <f>K6-(B13-L7)</f>
        <v>127058.37096416905</v>
      </c>
      <c r="L7" s="39">
        <f>(K6*(E8/100))</f>
        <v>15.291879950053142</v>
      </c>
      <c r="M7" s="49">
        <f>B13-L7</f>
        <v>373.96195294045094</v>
      </c>
      <c r="N7" s="59">
        <f t="shared" ref="N7:N13" si="0">L7/SUM(L7:M7)</f>
        <v>3.9285110788760555E-2</v>
      </c>
    </row>
    <row r="8" spans="1:14" ht="12.75" customHeight="1">
      <c r="B8" s="42"/>
      <c r="D8" t="s">
        <v>180</v>
      </c>
      <c r="E8" s="50">
        <f>(B6+0.5)/12</f>
        <v>1.2000000000000002E-2</v>
      </c>
      <c r="J8" t="s">
        <v>97</v>
      </c>
      <c r="K8" s="49">
        <f>K7-(B13-L8)</f>
        <v>126684.36413579425</v>
      </c>
      <c r="L8" s="39">
        <f>(K7*(E8/100))</f>
        <v>15.247004515700288</v>
      </c>
      <c r="M8" s="49">
        <f>B13-L8</f>
        <v>374.00682837480383</v>
      </c>
      <c r="N8" s="59">
        <f t="shared" si="0"/>
        <v>3.9169825002055209E-2</v>
      </c>
    </row>
    <row r="9" spans="1:14" ht="12.75" customHeight="1">
      <c r="A9" t="s">
        <v>248</v>
      </c>
      <c r="B9" s="114">
        <v>54117</v>
      </c>
      <c r="D9" t="s">
        <v>98</v>
      </c>
      <c r="E9" s="50">
        <f>1+(E8/100)</f>
        <v>1.0001199999999999</v>
      </c>
      <c r="J9" t="s">
        <v>99</v>
      </c>
      <c r="K9" s="49">
        <f>K8-(B13-L9)</f>
        <v>126310.31242660005</v>
      </c>
      <c r="L9" s="39">
        <f>(K8*(E8/100))</f>
        <v>15.202123696295313</v>
      </c>
      <c r="M9" s="49">
        <f>B13-L9</f>
        <v>374.0517091942088</v>
      </c>
      <c r="N9" s="59">
        <f t="shared" si="0"/>
        <v>3.9054525381055458E-2</v>
      </c>
    </row>
    <row r="10" spans="1:14" ht="12.75" customHeight="1">
      <c r="B10" s="42"/>
      <c r="D10" t="s">
        <v>100</v>
      </c>
      <c r="E10" s="50">
        <f>E9^-B5</f>
        <v>0.96059961725716858</v>
      </c>
      <c r="J10" t="s">
        <v>101</v>
      </c>
      <c r="K10" s="49">
        <f>K9-(B13-L10)</f>
        <v>125936.21583120074</v>
      </c>
      <c r="L10" s="39">
        <f>(K9*(E8/100))</f>
        <v>15.157237491192008</v>
      </c>
      <c r="M10" s="49">
        <f>B13-L10</f>
        <v>374.09659539931209</v>
      </c>
      <c r="N10" s="59">
        <f t="shared" si="0"/>
        <v>3.8939211924101186E-2</v>
      </c>
    </row>
    <row r="11" spans="1:14" ht="12.75" customHeight="1">
      <c r="A11" s="43" t="s">
        <v>102</v>
      </c>
      <c r="B11" s="42"/>
      <c r="D11" t="s">
        <v>103</v>
      </c>
      <c r="E11" s="50">
        <f>100*(1-E10)</f>
        <v>3.9400382742831419</v>
      </c>
      <c r="J11" t="s">
        <v>104</v>
      </c>
      <c r="K11" s="51">
        <f>K10-(B13-L11)</f>
        <v>125562.07434420998</v>
      </c>
      <c r="L11" s="39">
        <f>(K10*(E8/100))</f>
        <v>15.11234589974409</v>
      </c>
      <c r="M11" s="49">
        <f>B13-L11</f>
        <v>374.14148699076003</v>
      </c>
      <c r="N11" s="59">
        <f t="shared" si="0"/>
        <v>3.8823884629532075E-2</v>
      </c>
    </row>
    <row r="12" spans="1:14" ht="12.75" customHeight="1">
      <c r="B12" s="42"/>
      <c r="E12" s="42"/>
    </row>
    <row r="13" spans="1:14" ht="12.75" customHeight="1">
      <c r="A13" t="s">
        <v>105</v>
      </c>
      <c r="B13" s="52">
        <f>(B4*E8)/E11</f>
        <v>389.2538328905041</v>
      </c>
      <c r="E13" s="42"/>
      <c r="F13" s="44"/>
      <c r="G13" s="53"/>
      <c r="L13" s="54">
        <f>SUM(L6:L11)</f>
        <v>91.347341552984844</v>
      </c>
      <c r="M13" s="54">
        <f>SUM(M6:M11)</f>
        <v>2244.1756557900399</v>
      </c>
      <c r="N13" s="59">
        <f t="shared" si="0"/>
        <v>3.9112156744722654E-2</v>
      </c>
    </row>
    <row r="14" spans="1:14" ht="12.75" customHeight="1">
      <c r="A14" t="s">
        <v>106</v>
      </c>
      <c r="B14" s="55">
        <f>B4*(E8/100)</f>
        <v>15.336750000000002</v>
      </c>
      <c r="E14" s="42"/>
    </row>
    <row r="15" spans="1:14" ht="12.75" customHeight="1">
      <c r="A15" t="s">
        <v>107</v>
      </c>
      <c r="B15" s="55">
        <f>B13-B14</f>
        <v>373.9170828905041</v>
      </c>
      <c r="E15" s="42"/>
    </row>
    <row r="16" spans="1:14" ht="12.75" customHeight="1">
      <c r="B16" s="42"/>
      <c r="E16" s="42"/>
    </row>
    <row r="17" spans="1:9" ht="12.75" customHeight="1">
      <c r="B17" s="42"/>
      <c r="D17" t="s">
        <v>108</v>
      </c>
      <c r="E17" s="53">
        <f>B13-Historico!C21</f>
        <v>389.25539289050408</v>
      </c>
    </row>
    <row r="18" spans="1:9" ht="12.75" customHeight="1">
      <c r="B18" s="42"/>
      <c r="E18" s="42"/>
    </row>
    <row r="19" spans="1:9" ht="12.75" customHeight="1">
      <c r="B19" s="50"/>
      <c r="D19" t="s">
        <v>109</v>
      </c>
      <c r="E19" s="56">
        <f>E20/G45</f>
        <v>-0.35599999999999998</v>
      </c>
      <c r="F19" t="s">
        <v>110</v>
      </c>
    </row>
    <row r="20" spans="1:9" ht="12.75" customHeight="1">
      <c r="B20" s="42"/>
      <c r="D20" t="s">
        <v>111</v>
      </c>
      <c r="E20" s="57">
        <f>SUM(E21:E54)</f>
        <v>-0.35599999999999998</v>
      </c>
    </row>
    <row r="21" spans="1:9" ht="12.75" customHeight="1">
      <c r="E21" s="42">
        <v>-0.35599999999999998</v>
      </c>
      <c r="F21">
        <v>1</v>
      </c>
      <c r="G21" s="57">
        <v>1</v>
      </c>
      <c r="I21" s="42"/>
    </row>
    <row r="22" spans="1:9" ht="12.75" customHeight="1">
      <c r="A22" s="44" t="s">
        <v>112</v>
      </c>
      <c r="B22" s="53">
        <f>(B13-L6)+(B13-L7)+(B13-L8)+(B13-L9)+(B13-L10)+(B13-L11)</f>
        <v>2244.1756557900399</v>
      </c>
      <c r="C22" s="58">
        <f>B22/170000</f>
        <v>1.3201033269353176E-2</v>
      </c>
      <c r="E22" s="42"/>
      <c r="F22">
        <v>2</v>
      </c>
      <c r="G22" s="57">
        <v>0</v>
      </c>
    </row>
    <row r="23" spans="1:9" ht="12.75" customHeight="1">
      <c r="A23" t="s">
        <v>113</v>
      </c>
      <c r="B23" s="53">
        <f>K11</f>
        <v>125562.07434420998</v>
      </c>
      <c r="C23" s="59">
        <f>6/(40*6)</f>
        <v>2.5000000000000001E-2</v>
      </c>
      <c r="E23" s="42"/>
      <c r="F23">
        <v>5</v>
      </c>
      <c r="G23" s="57">
        <v>0</v>
      </c>
    </row>
    <row r="24" spans="1:9" ht="12.75" customHeight="1">
      <c r="E24" s="42"/>
      <c r="F24">
        <v>6</v>
      </c>
      <c r="G24" s="57">
        <v>0</v>
      </c>
    </row>
    <row r="25" spans="1:9" ht="12.75" customHeight="1">
      <c r="E25" s="42"/>
      <c r="F25">
        <v>7</v>
      </c>
      <c r="G25" s="57">
        <v>0</v>
      </c>
    </row>
    <row r="26" spans="1:9" ht="12.75" customHeight="1">
      <c r="E26" s="42"/>
      <c r="F26">
        <v>8</v>
      </c>
      <c r="G26" s="57">
        <v>0</v>
      </c>
    </row>
    <row r="27" spans="1:9" ht="12.75" customHeight="1">
      <c r="E27" s="42"/>
      <c r="F27">
        <v>9</v>
      </c>
      <c r="G27" s="57">
        <v>0</v>
      </c>
    </row>
    <row r="28" spans="1:9" ht="12.75" customHeight="1">
      <c r="C28" s="59"/>
      <c r="E28" s="42"/>
      <c r="F28">
        <v>12</v>
      </c>
      <c r="G28" s="57">
        <v>0</v>
      </c>
    </row>
    <row r="29" spans="1:9" ht="12.75" customHeight="1">
      <c r="C29" s="59"/>
      <c r="E29" s="42"/>
      <c r="F29">
        <v>13</v>
      </c>
      <c r="G29" s="57">
        <v>0</v>
      </c>
    </row>
    <row r="30" spans="1:9" ht="12.75" customHeight="1">
      <c r="C30" s="59"/>
      <c r="E30" s="42"/>
      <c r="F30">
        <v>14</v>
      </c>
      <c r="G30" s="57">
        <v>0</v>
      </c>
    </row>
    <row r="31" spans="1:9" ht="12.75" customHeight="1">
      <c r="E31" s="42"/>
      <c r="F31">
        <v>15</v>
      </c>
      <c r="G31" s="57">
        <v>0</v>
      </c>
    </row>
    <row r="32" spans="1:9" ht="12.75" customHeight="1">
      <c r="C32" s="58"/>
      <c r="E32" s="42"/>
      <c r="F32">
        <v>16</v>
      </c>
      <c r="G32" s="57">
        <v>0</v>
      </c>
    </row>
    <row r="33" spans="2:7" ht="12.75" customHeight="1">
      <c r="B33" s="119"/>
      <c r="C33" s="59"/>
      <c r="E33" s="42"/>
      <c r="F33">
        <v>19</v>
      </c>
      <c r="G33" s="57">
        <v>0</v>
      </c>
    </row>
    <row r="34" spans="2:7" ht="12.75" customHeight="1">
      <c r="C34" s="58"/>
      <c r="E34" s="42"/>
      <c r="F34">
        <v>20</v>
      </c>
      <c r="G34" s="57">
        <v>0</v>
      </c>
    </row>
    <row r="35" spans="2:7" ht="12.75" customHeight="1">
      <c r="C35" s="58"/>
      <c r="E35" s="42"/>
      <c r="F35">
        <v>21</v>
      </c>
      <c r="G35" s="57">
        <v>0</v>
      </c>
    </row>
    <row r="36" spans="2:7" ht="12.75" customHeight="1">
      <c r="E36" s="42"/>
      <c r="F36">
        <v>22</v>
      </c>
      <c r="G36" s="57">
        <v>0</v>
      </c>
    </row>
    <row r="37" spans="2:7" ht="12.75" customHeight="1">
      <c r="E37" s="42"/>
      <c r="F37">
        <v>23</v>
      </c>
      <c r="G37" s="57">
        <v>0</v>
      </c>
    </row>
    <row r="38" spans="2:7" ht="12.75" customHeight="1">
      <c r="E38" s="42"/>
      <c r="F38">
        <v>26</v>
      </c>
      <c r="G38" s="57">
        <v>0</v>
      </c>
    </row>
    <row r="39" spans="2:7" ht="12.75" customHeight="1">
      <c r="E39" s="42"/>
      <c r="F39">
        <v>27</v>
      </c>
      <c r="G39" s="57">
        <v>0</v>
      </c>
    </row>
    <row r="40" spans="2:7" ht="12.75" customHeight="1">
      <c r="E40" s="42"/>
      <c r="F40">
        <v>28</v>
      </c>
      <c r="G40" s="57">
        <v>0</v>
      </c>
    </row>
    <row r="41" spans="2:7" ht="12.75" customHeight="1">
      <c r="E41" s="42"/>
      <c r="F41">
        <v>29</v>
      </c>
      <c r="G41" s="57">
        <v>0</v>
      </c>
    </row>
    <row r="42" spans="2:7" ht="12.75" customHeight="1">
      <c r="E42" s="42"/>
      <c r="F42">
        <v>30</v>
      </c>
      <c r="G42" s="57">
        <v>0</v>
      </c>
    </row>
    <row r="43" spans="2:7" ht="12.75" customHeight="1">
      <c r="B43" s="39"/>
      <c r="E43" s="42"/>
      <c r="G43" s="57">
        <f t="shared" ref="G43" si="1">IF(E43="",0,1)</f>
        <v>0</v>
      </c>
    </row>
    <row r="45" spans="2:7" ht="12.75" customHeight="1">
      <c r="G45" s="57">
        <f>SUM(G21:G43)</f>
        <v>1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5"/>
  <sheetViews>
    <sheetView topLeftCell="A58" workbookViewId="0">
      <selection activeCell="I82" sqref="I82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8" max="8" width="8.42578125" bestFit="1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14" max="14" width="11.2851562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114</v>
      </c>
      <c r="B1" s="115" t="s">
        <v>179</v>
      </c>
      <c r="C1" s="62" t="s">
        <v>115</v>
      </c>
      <c r="D1" s="63" t="s">
        <v>116</v>
      </c>
      <c r="E1" s="63" t="s">
        <v>117</v>
      </c>
      <c r="I1" s="64" t="s">
        <v>118</v>
      </c>
      <c r="J1" s="61" t="s">
        <v>119</v>
      </c>
      <c r="K1" s="63" t="s">
        <v>120</v>
      </c>
      <c r="L1" s="63" t="s">
        <v>121</v>
      </c>
      <c r="M1" s="63" t="s">
        <v>117</v>
      </c>
    </row>
    <row r="2" spans="1:13" ht="12.75" customHeight="1">
      <c r="A2" s="120">
        <v>39479</v>
      </c>
      <c r="B2" s="116"/>
      <c r="C2" s="65" t="s">
        <v>122</v>
      </c>
      <c r="D2" s="66">
        <f>848.08</f>
        <v>848.08</v>
      </c>
      <c r="E2" s="67">
        <v>0</v>
      </c>
      <c r="G2" s="68">
        <f t="shared" ref="G2:G25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5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5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5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5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 t="shared" ref="L20:L25" si="8">K20-J20</f>
        <v>-132819.36000000002</v>
      </c>
      <c r="M20" s="72">
        <f t="shared" si="6"/>
        <v>5574.9159999999683</v>
      </c>
    </row>
    <row r="21" spans="1:15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 t="shared" si="8"/>
        <v>-131787.35</v>
      </c>
      <c r="M21" s="72">
        <f t="shared" si="6"/>
        <v>1032.0100000000093</v>
      </c>
    </row>
    <row r="22" spans="1:15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 t="shared" si="8"/>
        <v>-140170.01999999999</v>
      </c>
      <c r="M22" s="72">
        <f t="shared" si="6"/>
        <v>-8382.6699999999837</v>
      </c>
    </row>
    <row r="23" spans="1:15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 t="shared" si="8"/>
        <v>-133906.89999999997</v>
      </c>
      <c r="M23" s="72">
        <f t="shared" ref="M23" si="9">L23-L22</f>
        <v>6263.1200000000244</v>
      </c>
    </row>
    <row r="24" spans="1:15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 t="shared" si="8"/>
        <v>-126635.79</v>
      </c>
      <c r="M24" s="72">
        <f t="shared" ref="M24:M25" si="10">L24-L23</f>
        <v>7271.1099999999715</v>
      </c>
    </row>
    <row r="25" spans="1:15" ht="12.75" customHeight="1">
      <c r="A25" s="120">
        <f t="shared" si="5"/>
        <v>43678</v>
      </c>
      <c r="B25" s="116">
        <v>130048.84</v>
      </c>
      <c r="C25" s="71">
        <v>-3.5627272727272717E-3</v>
      </c>
      <c r="D25" s="73">
        <v>389.26</v>
      </c>
      <c r="E25" s="72">
        <f t="shared" ref="E25" si="11">D25-D24</f>
        <v>-13.819999999999993</v>
      </c>
      <c r="G25" s="68">
        <f t="shared" si="0"/>
        <v>2335.56</v>
      </c>
      <c r="I25" s="79">
        <f t="shared" si="4"/>
        <v>43739</v>
      </c>
      <c r="J25" s="128">
        <f>B25+Coche!D24</f>
        <v>149357.61999999997</v>
      </c>
      <c r="K25" s="127">
        <f>AÑO!AM5</f>
        <v>30089.47</v>
      </c>
      <c r="L25" s="127">
        <f t="shared" si="8"/>
        <v>-119268.14999999997</v>
      </c>
      <c r="M25" s="72">
        <f t="shared" si="10"/>
        <v>7367.6400000000285</v>
      </c>
    </row>
    <row r="26" spans="1:15" ht="12.75" customHeight="1">
      <c r="A26" s="120">
        <f t="shared" si="5"/>
        <v>43862</v>
      </c>
      <c r="B26" s="116">
        <f>Hipoteca!B4</f>
        <v>127806.25</v>
      </c>
      <c r="C26" s="71">
        <f>Hipoteca!B$6/100</f>
        <v>-3.5599999999999998E-3</v>
      </c>
      <c r="D26" s="73">
        <f>Hipoteca!B$13</f>
        <v>389.2538328905041</v>
      </c>
      <c r="E26" s="72">
        <f t="shared" ref="E26" si="12">D26-D25</f>
        <v>-6.1671094958910544E-3</v>
      </c>
      <c r="G26" s="68"/>
      <c r="H26">
        <f>IF(MONTH(I27)&gt;MONTH(I26),MONTH(I27)-MONTH(I26),(MONTH(I27)+12)-MONTH(I26))</f>
        <v>6</v>
      </c>
      <c r="I26" s="79">
        <f t="shared" si="4"/>
        <v>43922</v>
      </c>
      <c r="J26" s="128"/>
      <c r="K26" s="127"/>
      <c r="L26" s="127"/>
      <c r="M26" s="72"/>
      <c r="N26" s="114"/>
      <c r="O26">
        <f>IF(MONTH(I27)&gt;MONTH(I26),MONTH(I27)-MONTH(I26),(MONTH(I27)+12)-MONTH(I26))</f>
        <v>6</v>
      </c>
    </row>
    <row r="27" spans="1:15" ht="12.75" customHeight="1">
      <c r="A27" s="120">
        <f t="shared" si="5"/>
        <v>44044</v>
      </c>
      <c r="B27" s="116"/>
      <c r="C27" s="71"/>
      <c r="D27" s="73"/>
      <c r="E27" s="72"/>
      <c r="H27">
        <f t="shared" ref="H27:H80" si="13">IF(MONTH(I28)&gt;MONTH(I27),MONTH(I28)-MONTH(I27),(MONTH(I28)+12)-MONTH(I27))</f>
        <v>6</v>
      </c>
      <c r="I27" s="79">
        <f t="shared" si="4"/>
        <v>44105</v>
      </c>
      <c r="J27" s="128"/>
      <c r="K27" s="127"/>
      <c r="L27" s="127"/>
      <c r="M27" s="72"/>
      <c r="O27">
        <f t="shared" ref="O27:O29" si="14">IF(MONTH(I28)&gt;MONTH(I27),MONTH(I28)-MONTH(I27),(MONTH(I28)+12)-MONTH(I27))</f>
        <v>6</v>
      </c>
    </row>
    <row r="28" spans="1:15" ht="12.75" customHeight="1">
      <c r="A28" s="120">
        <f t="shared" si="5"/>
        <v>44228</v>
      </c>
      <c r="B28" s="116"/>
      <c r="C28" s="71"/>
      <c r="D28" s="73"/>
      <c r="E28" s="72"/>
      <c r="H28">
        <f t="shared" si="13"/>
        <v>6</v>
      </c>
      <c r="I28" s="79">
        <f t="shared" si="4"/>
        <v>44287</v>
      </c>
      <c r="J28" s="128"/>
      <c r="K28" s="127"/>
      <c r="L28" s="127"/>
      <c r="M28" s="72"/>
      <c r="O28">
        <f t="shared" si="14"/>
        <v>6</v>
      </c>
    </row>
    <row r="29" spans="1:15" ht="12.75" customHeight="1">
      <c r="A29" s="120">
        <f t="shared" si="5"/>
        <v>44409</v>
      </c>
      <c r="B29" s="116"/>
      <c r="C29" s="71"/>
      <c r="D29" s="73"/>
      <c r="E29" s="72"/>
      <c r="H29">
        <f t="shared" si="13"/>
        <v>6</v>
      </c>
      <c r="I29" s="79">
        <f t="shared" si="4"/>
        <v>44470</v>
      </c>
      <c r="J29" s="128"/>
      <c r="K29" s="127"/>
      <c r="L29" s="127"/>
      <c r="M29" s="72"/>
      <c r="O29">
        <f t="shared" si="14"/>
        <v>6</v>
      </c>
    </row>
    <row r="30" spans="1:15" ht="12.75" customHeight="1">
      <c r="A30" s="120">
        <f t="shared" si="5"/>
        <v>44593</v>
      </c>
      <c r="B30" s="116"/>
      <c r="C30" s="71"/>
      <c r="D30" s="73"/>
      <c r="E30" s="72"/>
      <c r="H30">
        <f t="shared" si="13"/>
        <v>6</v>
      </c>
      <c r="I30" s="79">
        <f t="shared" si="4"/>
        <v>44652</v>
      </c>
      <c r="J30" s="128"/>
      <c r="K30" s="127"/>
      <c r="L30" s="127"/>
      <c r="M30" s="72"/>
    </row>
    <row r="31" spans="1:15" ht="12.75" customHeight="1">
      <c r="A31" s="120">
        <f t="shared" si="5"/>
        <v>44774</v>
      </c>
      <c r="B31" s="116"/>
      <c r="C31" s="71"/>
      <c r="D31" s="73"/>
      <c r="E31" s="72"/>
      <c r="H31">
        <f t="shared" si="13"/>
        <v>6</v>
      </c>
      <c r="I31" s="79">
        <f t="shared" si="4"/>
        <v>44835</v>
      </c>
      <c r="J31" s="128"/>
      <c r="K31" s="127"/>
      <c r="L31" s="127"/>
      <c r="M31" s="72"/>
    </row>
    <row r="32" spans="1:15" ht="12.75" customHeight="1">
      <c r="A32" s="120">
        <f t="shared" si="5"/>
        <v>44958</v>
      </c>
      <c r="B32" s="116"/>
      <c r="C32" s="71"/>
      <c r="D32" s="73"/>
      <c r="E32" s="72"/>
      <c r="H32">
        <f t="shared" si="13"/>
        <v>6</v>
      </c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H33">
        <f t="shared" si="13"/>
        <v>6</v>
      </c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H34">
        <f t="shared" si="13"/>
        <v>6</v>
      </c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H35">
        <f t="shared" si="13"/>
        <v>6</v>
      </c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H36">
        <f t="shared" si="13"/>
        <v>6</v>
      </c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H37">
        <f t="shared" si="13"/>
        <v>6</v>
      </c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H38">
        <f t="shared" si="13"/>
        <v>6</v>
      </c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H39">
        <f t="shared" si="13"/>
        <v>6</v>
      </c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H40">
        <f t="shared" si="13"/>
        <v>6</v>
      </c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H41">
        <f t="shared" si="13"/>
        <v>6</v>
      </c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H42">
        <f t="shared" si="13"/>
        <v>6</v>
      </c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H43">
        <f t="shared" si="13"/>
        <v>6</v>
      </c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H44">
        <f t="shared" si="13"/>
        <v>6</v>
      </c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H45">
        <f t="shared" si="13"/>
        <v>6</v>
      </c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H46">
        <f t="shared" si="13"/>
        <v>6</v>
      </c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H47">
        <f t="shared" si="13"/>
        <v>6</v>
      </c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H48">
        <f t="shared" si="13"/>
        <v>6</v>
      </c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H49">
        <f t="shared" si="13"/>
        <v>6</v>
      </c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H50">
        <f t="shared" si="13"/>
        <v>6</v>
      </c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H51">
        <f t="shared" si="13"/>
        <v>6</v>
      </c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H52">
        <f t="shared" si="13"/>
        <v>6</v>
      </c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H53">
        <f t="shared" si="13"/>
        <v>6</v>
      </c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H54">
        <f t="shared" si="13"/>
        <v>6</v>
      </c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H55">
        <f t="shared" si="13"/>
        <v>6</v>
      </c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H56">
        <f t="shared" si="13"/>
        <v>6</v>
      </c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H57">
        <f t="shared" si="13"/>
        <v>6</v>
      </c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H58">
        <f t="shared" si="13"/>
        <v>6</v>
      </c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H59">
        <f t="shared" si="13"/>
        <v>6</v>
      </c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H60">
        <f t="shared" si="13"/>
        <v>6</v>
      </c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H61">
        <f t="shared" si="13"/>
        <v>6</v>
      </c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H62">
        <f t="shared" si="13"/>
        <v>6</v>
      </c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H63">
        <f t="shared" si="13"/>
        <v>6</v>
      </c>
      <c r="I63" s="79">
        <f t="shared" ref="I63:I81" si="15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H64">
        <f t="shared" si="13"/>
        <v>6</v>
      </c>
      <c r="I64" s="79">
        <f t="shared" si="15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H65">
        <f t="shared" si="13"/>
        <v>6</v>
      </c>
      <c r="I65" s="79">
        <f t="shared" si="15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H66">
        <f t="shared" si="13"/>
        <v>6</v>
      </c>
      <c r="I66" s="79">
        <f t="shared" si="15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H67">
        <f t="shared" si="13"/>
        <v>6</v>
      </c>
      <c r="I67" s="79">
        <f t="shared" si="15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H68">
        <f t="shared" si="13"/>
        <v>6</v>
      </c>
      <c r="I68" s="79">
        <f t="shared" si="15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H69">
        <f t="shared" si="13"/>
        <v>6</v>
      </c>
      <c r="I69" s="79">
        <f t="shared" si="15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H70">
        <f t="shared" si="13"/>
        <v>6</v>
      </c>
      <c r="I70" s="79">
        <f t="shared" si="15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H71">
        <f t="shared" si="13"/>
        <v>6</v>
      </c>
      <c r="I71" s="79">
        <f t="shared" si="15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H72">
        <f t="shared" si="13"/>
        <v>6</v>
      </c>
      <c r="I72" s="79">
        <f t="shared" si="15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H73">
        <f t="shared" si="13"/>
        <v>6</v>
      </c>
      <c r="I73" s="79">
        <f t="shared" si="15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H74">
        <f t="shared" si="13"/>
        <v>6</v>
      </c>
      <c r="I74" s="79">
        <f t="shared" si="15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H75">
        <f t="shared" si="13"/>
        <v>6</v>
      </c>
      <c r="I75" s="79">
        <f t="shared" si="15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H76">
        <f t="shared" si="13"/>
        <v>6</v>
      </c>
      <c r="I76" s="79">
        <f t="shared" si="15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H77">
        <f t="shared" si="13"/>
        <v>6</v>
      </c>
      <c r="I77" s="79">
        <f t="shared" si="15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H78">
        <f t="shared" si="13"/>
        <v>6</v>
      </c>
      <c r="I78" s="79">
        <f t="shared" si="15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H79">
        <f t="shared" si="13"/>
        <v>6</v>
      </c>
      <c r="I79" s="79">
        <f t="shared" si="15"/>
        <v>53601</v>
      </c>
      <c r="J79" s="128"/>
      <c r="K79" s="127"/>
      <c r="L79" s="127"/>
      <c r="M79" s="72"/>
    </row>
    <row r="80" spans="1:13" ht="12.75" customHeight="1">
      <c r="A80" s="120">
        <f t="shared" ref="A80:A81" si="16">EDATE(A79,6)</f>
        <v>53724</v>
      </c>
      <c r="B80" s="116"/>
      <c r="C80" s="71"/>
      <c r="D80" s="73"/>
      <c r="E80" s="72"/>
      <c r="H80">
        <f t="shared" si="13"/>
        <v>6</v>
      </c>
      <c r="I80" s="79">
        <f t="shared" si="15"/>
        <v>53783</v>
      </c>
      <c r="J80" s="128"/>
      <c r="K80" s="127"/>
      <c r="L80" s="127"/>
      <c r="M80" s="72"/>
    </row>
    <row r="81" spans="1:13" ht="12.75" customHeight="1">
      <c r="A81" s="120">
        <f t="shared" si="16"/>
        <v>53905</v>
      </c>
      <c r="B81" s="116"/>
      <c r="C81" s="71"/>
      <c r="D81" s="73"/>
      <c r="E81" s="72"/>
      <c r="H81">
        <f>IF(MONTH(I82)&gt;MONTH(I81),MONTH(I82)-MONTH(I81),(MONTH(I82)+12)-MONTH(I81))</f>
        <v>5</v>
      </c>
      <c r="I81" s="79">
        <f t="shared" si="15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7.8649409271284252E-3</v>
      </c>
      <c r="D83" s="85">
        <f>AVERAGE(D2:D82)</f>
        <v>488.12078701954505</v>
      </c>
      <c r="E83" s="86">
        <f>AVERAGE(E3:E82)</f>
        <v>-19.116506962895663</v>
      </c>
      <c r="H83">
        <f>SUM(H25:H82)</f>
        <v>335</v>
      </c>
      <c r="M83" s="86">
        <f>AVERAGE(M3:M82)</f>
        <v>-5185.5717391304333</v>
      </c>
    </row>
    <row r="85" spans="1:13">
      <c r="E85" t="s">
        <v>123</v>
      </c>
      <c r="G85" s="68">
        <f>SUM(G2:G82)</f>
        <v>70882.595055588739</v>
      </c>
      <c r="M85" t="s">
        <v>123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C78"/>
  <sheetViews>
    <sheetView topLeftCell="E16" workbookViewId="0">
      <selection activeCell="L28" sqref="L28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8" max="18" width="12.85546875" customWidth="1"/>
    <col min="19" max="19" width="34.42578125" customWidth="1"/>
    <col min="20" max="20" width="23.85546875" customWidth="1"/>
    <col min="21" max="21" width="15.140625" customWidth="1"/>
    <col min="22" max="22" width="24.140625" customWidth="1"/>
    <col min="23" max="23" width="12" bestFit="1" customWidth="1"/>
    <col min="24" max="24" width="14.7109375" customWidth="1"/>
    <col min="25" max="25" width="16" customWidth="1"/>
    <col min="28" max="28" width="12.7109375" bestFit="1" customWidth="1"/>
    <col min="29" max="29" width="16.140625" customWidth="1"/>
    <col min="30" max="30" width="15.28515625" customWidth="1"/>
    <col min="31" max="31" width="12.7109375" bestFit="1" customWidth="1"/>
  </cols>
  <sheetData>
    <row r="1" spans="1:27">
      <c r="A1" s="240" t="s">
        <v>439</v>
      </c>
      <c r="B1" s="240"/>
      <c r="C1" s="241"/>
      <c r="D1" s="320"/>
      <c r="E1" s="242"/>
      <c r="F1" s="243" t="s">
        <v>440</v>
      </c>
      <c r="G1" s="244"/>
      <c r="H1" s="244"/>
      <c r="I1" s="244"/>
      <c r="J1" s="244"/>
      <c r="K1" s="245" t="s">
        <v>441</v>
      </c>
      <c r="L1" s="246"/>
      <c r="M1" s="246"/>
      <c r="N1" s="247"/>
      <c r="O1" s="248" t="s">
        <v>5</v>
      </c>
      <c r="P1" s="249"/>
      <c r="Q1" s="249"/>
      <c r="R1" s="250"/>
      <c r="S1" s="251"/>
    </row>
    <row r="2" spans="1:27">
      <c r="A2" s="252" t="s">
        <v>442</v>
      </c>
      <c r="B2" s="252" t="s">
        <v>443</v>
      </c>
      <c r="C2" s="252" t="s">
        <v>444</v>
      </c>
      <c r="D2" s="321" t="s">
        <v>499</v>
      </c>
      <c r="E2" s="252" t="s">
        <v>445</v>
      </c>
      <c r="F2" s="253" t="s">
        <v>446</v>
      </c>
      <c r="G2" s="254" t="s">
        <v>447</v>
      </c>
      <c r="H2" s="254" t="s">
        <v>448</v>
      </c>
      <c r="I2" s="254" t="s">
        <v>449</v>
      </c>
      <c r="J2" s="254" t="s">
        <v>7</v>
      </c>
      <c r="K2" s="255" t="s">
        <v>446</v>
      </c>
      <c r="L2" s="256" t="s">
        <v>447</v>
      </c>
      <c r="M2" s="256" t="s">
        <v>449</v>
      </c>
      <c r="N2" s="257" t="s">
        <v>7</v>
      </c>
      <c r="O2" s="258" t="s">
        <v>7</v>
      </c>
      <c r="P2" s="259" t="s">
        <v>450</v>
      </c>
      <c r="Q2" s="259" t="s">
        <v>801</v>
      </c>
      <c r="R2" s="259" t="s">
        <v>93</v>
      </c>
      <c r="S2" s="260" t="s">
        <v>451</v>
      </c>
      <c r="T2" s="261"/>
    </row>
    <row r="3" spans="1:27">
      <c r="A3" s="262" t="s">
        <v>452</v>
      </c>
      <c r="B3" s="262" t="s">
        <v>453</v>
      </c>
      <c r="C3" s="263">
        <v>5600</v>
      </c>
      <c r="D3" s="322">
        <f ca="1">_xlfn.DAYS(K3,F3)</f>
        <v>1589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43798</v>
      </c>
      <c r="L3" s="302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8">
        <f>M3+N3</f>
        <v>7382.7120000000004</v>
      </c>
      <c r="R3" s="269">
        <f>P3/E3</f>
        <v>0.33535038629518998</v>
      </c>
      <c r="S3" s="270" t="s">
        <v>473</v>
      </c>
    </row>
    <row r="4" spans="1:27">
      <c r="A4" s="262" t="s">
        <v>454</v>
      </c>
      <c r="B4" s="262" t="s">
        <v>350</v>
      </c>
      <c r="C4" s="263">
        <v>4090</v>
      </c>
      <c r="D4" s="322">
        <f ca="1">_xlfn.DAYS(K4,F4)</f>
        <v>193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43798</v>
      </c>
      <c r="L4" s="302">
        <v>67.53</v>
      </c>
      <c r="M4" s="264">
        <f>(H4*L4)</f>
        <v>4186.8599999999997</v>
      </c>
      <c r="N4" s="264">
        <f>-(IF((M4*0.0075)&lt;30,30,(M4*0.0075)) + (M4*0.0035))</f>
        <v>-46.055459999999997</v>
      </c>
      <c r="O4" s="272">
        <f>J4+N4</f>
        <v>-90.542319999999989</v>
      </c>
      <c r="P4" s="273">
        <f>M4-E4+N4</f>
        <v>52.057679999999479</v>
      </c>
      <c r="Q4" s="273">
        <f>M4+N4</f>
        <v>4140.8045400000001</v>
      </c>
      <c r="R4" s="274">
        <f>P4/E4</f>
        <v>1.2731940074177025E-2</v>
      </c>
      <c r="S4" s="275" t="s">
        <v>473</v>
      </c>
      <c r="T4" s="340"/>
    </row>
    <row r="5" spans="1:27">
      <c r="A5" s="262" t="s">
        <v>454</v>
      </c>
      <c r="B5" s="262" t="s">
        <v>455</v>
      </c>
      <c r="C5" s="263">
        <v>5100</v>
      </c>
      <c r="D5" s="322">
        <f ca="1">_xlfn.DAYS(K5,F5)</f>
        <v>644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43798</v>
      </c>
      <c r="L5" s="302">
        <v>29.8</v>
      </c>
      <c r="M5" s="264">
        <f>(H5*L5)</f>
        <v>5840.8</v>
      </c>
      <c r="N5" s="264">
        <f>-(IF((M5*0.0075)&lt;30,30,(M5*0.0075)) + (M5*0.0035))</f>
        <v>-64.248800000000003</v>
      </c>
      <c r="O5" s="272">
        <f>J5+N5</f>
        <v>-120.26168</v>
      </c>
      <c r="P5" s="273">
        <f>M5-E5+N5</f>
        <v>628.45832000000007</v>
      </c>
      <c r="Q5" s="273">
        <f t="shared" ref="Q5:Q9" si="0">M5+N5</f>
        <v>5776.5511999999999</v>
      </c>
      <c r="R5" s="274">
        <f>P5/E5</f>
        <v>0.12207594824901451</v>
      </c>
      <c r="S5" s="275" t="s">
        <v>473</v>
      </c>
      <c r="T5" s="340">
        <v>43770</v>
      </c>
    </row>
    <row r="6" spans="1:27">
      <c r="A6" s="262"/>
      <c r="B6" s="262"/>
      <c r="C6" s="263"/>
      <c r="D6" s="322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3">
        <f t="shared" si="0"/>
        <v>0</v>
      </c>
      <c r="R6" s="274"/>
      <c r="S6" s="275"/>
    </row>
    <row r="7" spans="1:27">
      <c r="A7" s="262"/>
      <c r="B7" s="262"/>
      <c r="C7" s="263"/>
      <c r="D7" s="322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3">
        <f t="shared" si="0"/>
        <v>0</v>
      </c>
      <c r="R7" s="274"/>
      <c r="S7" s="275"/>
    </row>
    <row r="8" spans="1:27">
      <c r="A8" s="262"/>
      <c r="B8" s="262"/>
      <c r="C8" s="263"/>
      <c r="D8" s="322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3">
        <f t="shared" si="0"/>
        <v>0</v>
      </c>
      <c r="R8" s="274"/>
      <c r="S8" s="275"/>
    </row>
    <row r="9" spans="1:27">
      <c r="A9" s="280"/>
      <c r="B9" s="280"/>
      <c r="C9" s="281"/>
      <c r="D9" s="323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2">
        <f t="shared" si="0"/>
        <v>0</v>
      </c>
      <c r="R9" s="288"/>
      <c r="S9" s="289"/>
    </row>
    <row r="10" spans="1:27">
      <c r="A10" s="443"/>
      <c r="B10" s="444"/>
      <c r="C10" s="444"/>
      <c r="D10" s="444"/>
      <c r="E10" s="444"/>
      <c r="F10" s="444"/>
      <c r="G10" s="444"/>
      <c r="H10" s="444"/>
      <c r="I10" s="444"/>
      <c r="J10" s="444"/>
      <c r="K10" s="444"/>
      <c r="L10" s="444"/>
      <c r="M10" s="444"/>
      <c r="N10" s="444"/>
      <c r="O10" s="444"/>
      <c r="P10" s="444"/>
      <c r="Q10" s="444"/>
      <c r="R10" s="444"/>
      <c r="S10" s="444"/>
    </row>
    <row r="11" spans="1:27">
      <c r="A11" s="445" t="s">
        <v>456</v>
      </c>
      <c r="B11" s="446"/>
      <c r="C11" s="446"/>
      <c r="D11" s="446"/>
      <c r="E11" s="446"/>
      <c r="F11" s="446"/>
      <c r="G11" s="446"/>
      <c r="H11" s="446"/>
      <c r="I11" s="446"/>
      <c r="J11" s="446"/>
      <c r="K11" s="446"/>
      <c r="L11" s="446"/>
      <c r="M11" s="446"/>
      <c r="N11" s="446"/>
      <c r="O11" s="446"/>
      <c r="P11" s="446"/>
      <c r="Q11" s="446"/>
      <c r="R11" s="446"/>
      <c r="S11" s="446"/>
    </row>
    <row r="12" spans="1:27">
      <c r="A12" s="290" t="s">
        <v>442</v>
      </c>
      <c r="B12" s="290" t="s">
        <v>443</v>
      </c>
      <c r="C12" s="290" t="s">
        <v>444</v>
      </c>
      <c r="D12" s="324" t="s">
        <v>499</v>
      </c>
      <c r="E12" s="290" t="s">
        <v>445</v>
      </c>
      <c r="F12" s="291" t="s">
        <v>446</v>
      </c>
      <c r="G12" s="292" t="s">
        <v>447</v>
      </c>
      <c r="H12" s="292" t="s">
        <v>448</v>
      </c>
      <c r="I12" s="292" t="s">
        <v>449</v>
      </c>
      <c r="J12" s="292" t="s">
        <v>7</v>
      </c>
      <c r="K12" s="293" t="s">
        <v>446</v>
      </c>
      <c r="L12" s="294" t="s">
        <v>447</v>
      </c>
      <c r="M12" s="294" t="s">
        <v>449</v>
      </c>
      <c r="N12" s="295" t="s">
        <v>7</v>
      </c>
      <c r="O12" s="296" t="s">
        <v>7</v>
      </c>
      <c r="P12" s="297" t="s">
        <v>450</v>
      </c>
      <c r="Q12" s="297" t="s">
        <v>801</v>
      </c>
      <c r="R12" s="297" t="s">
        <v>93</v>
      </c>
      <c r="S12" s="298" t="s">
        <v>451</v>
      </c>
      <c r="T12" s="339" t="s">
        <v>542</v>
      </c>
      <c r="U12" s="339" t="s">
        <v>719</v>
      </c>
      <c r="X12" s="330" t="s">
        <v>469</v>
      </c>
      <c r="Y12" s="330" t="s">
        <v>470</v>
      </c>
      <c r="Z12" s="330" t="s">
        <v>471</v>
      </c>
      <c r="AA12" s="330" t="s">
        <v>472</v>
      </c>
    </row>
    <row r="13" spans="1:27">
      <c r="A13" s="262" t="s">
        <v>452</v>
      </c>
      <c r="B13" s="262" t="s">
        <v>457</v>
      </c>
      <c r="C13" s="263">
        <v>4000</v>
      </c>
      <c r="D13" s="322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8">
        <f>M13+N13</f>
        <v>3759.0090519999999</v>
      </c>
      <c r="R13" s="269">
        <v>-6.54E-2</v>
      </c>
      <c r="S13" s="270" t="s">
        <v>457</v>
      </c>
      <c r="T13" s="59">
        <f>R13+R14</f>
        <v>-4.7120556421087471E-2</v>
      </c>
      <c r="X13" s="39">
        <f t="shared" ref="X13:X41" ca="1" si="1">D13/D$43</f>
        <v>3.5962877030162411E-2</v>
      </c>
      <c r="Y13" s="119">
        <f ca="1">X13*E13</f>
        <v>144.54447500000001</v>
      </c>
      <c r="Z13" s="38"/>
    </row>
    <row r="14" spans="1:27">
      <c r="A14" s="262" t="s">
        <v>452</v>
      </c>
      <c r="B14" s="262" t="s">
        <v>457</v>
      </c>
      <c r="C14" s="263"/>
      <c r="D14" s="322">
        <f t="shared" ref="D14:D35" si="2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3"/>
      <c r="R14" s="274">
        <f>P14/E14</f>
        <v>1.8279443578912528E-2</v>
      </c>
      <c r="S14" s="275" t="s">
        <v>458</v>
      </c>
      <c r="X14" s="39">
        <f t="shared" ca="1" si="1"/>
        <v>0</v>
      </c>
      <c r="Y14" s="119">
        <f t="shared" ref="Y14:Y41" ca="1" si="3">X14*E14</f>
        <v>0</v>
      </c>
    </row>
    <row r="15" spans="1:27">
      <c r="A15" s="262" t="s">
        <v>452</v>
      </c>
      <c r="B15" s="262" t="s">
        <v>459</v>
      </c>
      <c r="C15" s="263"/>
      <c r="D15" s="322">
        <f t="shared" si="2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3"/>
      <c r="R15" s="274">
        <v>4.2278358399185385E-3</v>
      </c>
      <c r="S15" s="275" t="s">
        <v>459</v>
      </c>
      <c r="X15" s="39">
        <f t="shared" ca="1" si="1"/>
        <v>3.1902552204176336E-2</v>
      </c>
      <c r="Y15" s="119">
        <f t="shared" ca="1" si="3"/>
        <v>0</v>
      </c>
    </row>
    <row r="16" spans="1:27">
      <c r="A16" s="262" t="s">
        <v>452</v>
      </c>
      <c r="B16" s="262" t="s">
        <v>460</v>
      </c>
      <c r="C16" s="263"/>
      <c r="D16" s="322">
        <f t="shared" si="2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3"/>
      <c r="R16" s="274">
        <v>0.10105569620253146</v>
      </c>
      <c r="S16" s="275" t="s">
        <v>460</v>
      </c>
      <c r="X16" s="39">
        <f t="shared" ca="1" si="1"/>
        <v>8.1206496519721574E-3</v>
      </c>
      <c r="Y16" s="119">
        <f t="shared" ca="1" si="3"/>
        <v>0</v>
      </c>
    </row>
    <row r="17" spans="1:25">
      <c r="A17" s="262"/>
      <c r="B17" s="262"/>
      <c r="C17" s="263"/>
      <c r="D17" s="322">
        <f t="shared" si="2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3"/>
      <c r="R17" s="274"/>
      <c r="S17" s="275" t="s">
        <v>461</v>
      </c>
      <c r="X17" s="39">
        <f t="shared" ca="1" si="1"/>
        <v>0</v>
      </c>
      <c r="Y17" s="119">
        <f t="shared" ca="1" si="3"/>
        <v>0</v>
      </c>
    </row>
    <row r="18" spans="1:25">
      <c r="A18" s="262"/>
      <c r="B18" s="262"/>
      <c r="C18" s="263"/>
      <c r="D18" s="322">
        <f t="shared" si="2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3"/>
      <c r="R18" s="274"/>
      <c r="S18" s="275" t="s">
        <v>462</v>
      </c>
      <c r="X18" s="39">
        <f t="shared" ca="1" si="1"/>
        <v>0</v>
      </c>
      <c r="Y18" s="119">
        <f t="shared" ca="1" si="3"/>
        <v>0</v>
      </c>
    </row>
    <row r="19" spans="1:25">
      <c r="A19" s="262" t="s">
        <v>452</v>
      </c>
      <c r="B19" s="262" t="s">
        <v>460</v>
      </c>
      <c r="C19" s="263">
        <v>4400</v>
      </c>
      <c r="D19" s="322">
        <f t="shared" si="2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3">
        <f>M19+N19</f>
        <v>5263.8736560000007</v>
      </c>
      <c r="R19" s="274">
        <v>0.19146932203389827</v>
      </c>
      <c r="S19" s="275" t="s">
        <v>460</v>
      </c>
      <c r="T19" s="59">
        <f>R19+R21+R24</f>
        <v>0.24013324659263452</v>
      </c>
      <c r="X19" s="39">
        <f t="shared" ca="1" si="1"/>
        <v>0.50406032482598606</v>
      </c>
      <c r="Y19" s="119">
        <f t="shared" ca="1" si="3"/>
        <v>2229.6604005104409</v>
      </c>
    </row>
    <row r="20" spans="1:25">
      <c r="A20" s="262" t="s">
        <v>452</v>
      </c>
      <c r="B20" s="262" t="s">
        <v>460</v>
      </c>
      <c r="C20" s="263">
        <v>605</v>
      </c>
      <c r="D20" s="322">
        <f t="shared" si="2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3">
        <f t="shared" ref="Q20:Q35" si="4">M20+N20</f>
        <v>2575.34</v>
      </c>
      <c r="R20" s="274">
        <f>P20/E20</f>
        <v>3.2879453879453884</v>
      </c>
      <c r="S20" s="275" t="s">
        <v>500</v>
      </c>
      <c r="X20" s="39">
        <f t="shared" ca="1" si="1"/>
        <v>0.36658932714617171</v>
      </c>
      <c r="Y20" s="119">
        <f t="shared" ca="1" si="3"/>
        <v>220.17354988399075</v>
      </c>
    </row>
    <row r="21" spans="1:25">
      <c r="A21" s="262" t="s">
        <v>452</v>
      </c>
      <c r="B21" s="262" t="s">
        <v>460</v>
      </c>
      <c r="C21" s="263"/>
      <c r="D21" s="322">
        <f t="shared" si="2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3"/>
      <c r="R21" s="274">
        <f>P21/E21</f>
        <v>4.2560022472487621E-2</v>
      </c>
      <c r="S21" s="275" t="s">
        <v>463</v>
      </c>
      <c r="X21" s="39">
        <f t="shared" ca="1" si="1"/>
        <v>0</v>
      </c>
      <c r="Y21" s="119">
        <f t="shared" ca="1" si="3"/>
        <v>0</v>
      </c>
    </row>
    <row r="22" spans="1:25">
      <c r="A22" s="262"/>
      <c r="B22" s="262"/>
      <c r="C22" s="263"/>
      <c r="D22" s="322">
        <f t="shared" si="2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3"/>
      <c r="R22" s="274"/>
      <c r="S22" s="275" t="s">
        <v>461</v>
      </c>
      <c r="X22" s="39">
        <f t="shared" ca="1" si="1"/>
        <v>0</v>
      </c>
      <c r="Y22" s="119">
        <f t="shared" ca="1" si="3"/>
        <v>0</v>
      </c>
    </row>
    <row r="23" spans="1:25">
      <c r="A23" s="262"/>
      <c r="B23" s="262"/>
      <c r="C23" s="263"/>
      <c r="D23" s="322">
        <f t="shared" si="2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3"/>
      <c r="R23" s="274"/>
      <c r="S23" s="275" t="s">
        <v>464</v>
      </c>
      <c r="X23" s="39">
        <f t="shared" ca="1" si="1"/>
        <v>0</v>
      </c>
      <c r="Y23" s="119">
        <f t="shared" ca="1" si="3"/>
        <v>0</v>
      </c>
    </row>
    <row r="24" spans="1:25">
      <c r="A24" s="262" t="s">
        <v>452</v>
      </c>
      <c r="B24" s="262" t="s">
        <v>460</v>
      </c>
      <c r="C24" s="263"/>
      <c r="D24" s="322">
        <f t="shared" si="2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3"/>
      <c r="R24" s="274">
        <f>P24/E24</f>
        <v>6.1039020862486242E-3</v>
      </c>
      <c r="S24" s="275" t="s">
        <v>465</v>
      </c>
      <c r="X24" s="39">
        <f t="shared" ca="1" si="1"/>
        <v>0</v>
      </c>
      <c r="Y24" s="119">
        <f t="shared" ca="1" si="3"/>
        <v>0</v>
      </c>
    </row>
    <row r="25" spans="1:25">
      <c r="A25" s="262" t="s">
        <v>452</v>
      </c>
      <c r="B25" s="262" t="s">
        <v>460</v>
      </c>
      <c r="C25" s="263">
        <v>600</v>
      </c>
      <c r="D25" s="322">
        <f t="shared" si="2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3">
        <f t="shared" si="4"/>
        <v>746.13583299999993</v>
      </c>
      <c r="R25" s="274">
        <f>P25/E25</f>
        <v>0.22727132347968687</v>
      </c>
      <c r="S25" s="275" t="s">
        <v>460</v>
      </c>
      <c r="X25" s="39">
        <f t="shared" ca="1" si="1"/>
        <v>0.16705336426914152</v>
      </c>
      <c r="Y25" s="119">
        <f t="shared" ca="1" si="3"/>
        <v>101.5623022552204</v>
      </c>
    </row>
    <row r="26" spans="1:25">
      <c r="A26" s="262"/>
      <c r="B26" s="262"/>
      <c r="C26" s="263"/>
      <c r="D26" s="322">
        <f t="shared" si="2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3"/>
      <c r="R26" s="274"/>
      <c r="S26" s="275" t="s">
        <v>466</v>
      </c>
      <c r="X26" s="39">
        <f t="shared" ca="1" si="1"/>
        <v>0</v>
      </c>
      <c r="Y26" s="119">
        <f t="shared" ca="1" si="3"/>
        <v>0</v>
      </c>
    </row>
    <row r="27" spans="1:25">
      <c r="A27" s="262"/>
      <c r="B27" s="262"/>
      <c r="C27" s="263"/>
      <c r="D27" s="322">
        <f t="shared" si="2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3"/>
      <c r="R27" s="274"/>
      <c r="S27" s="275" t="s">
        <v>466</v>
      </c>
      <c r="X27" s="39">
        <f t="shared" ca="1" si="1"/>
        <v>0</v>
      </c>
      <c r="Y27" s="119">
        <f t="shared" ca="1" si="3"/>
        <v>0</v>
      </c>
    </row>
    <row r="28" spans="1:25">
      <c r="A28" s="262" t="s">
        <v>454</v>
      </c>
      <c r="B28" s="262" t="s">
        <v>455</v>
      </c>
      <c r="C28" s="263">
        <v>5100</v>
      </c>
      <c r="D28" s="322">
        <f t="shared" ca="1" si="2"/>
        <v>644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301">
        <f ca="1">TODAY()</f>
        <v>43798</v>
      </c>
      <c r="L28" s="302">
        <v>29</v>
      </c>
      <c r="M28" s="264">
        <f>(H28*L28)</f>
        <v>5684</v>
      </c>
      <c r="N28" s="264">
        <f>-(IF((M28*0.0075)&lt;30,30,(M28*0.0075)) + (M28*0.0035))</f>
        <v>-62.524000000000001</v>
      </c>
      <c r="O28" s="272">
        <f>J28+N28</f>
        <v>-118.53688</v>
      </c>
      <c r="P28" s="273">
        <f ca="1">IF(K28=0,0,M28-E28+N28)</f>
        <v>473.38311999999985</v>
      </c>
      <c r="Q28" s="273">
        <f t="shared" si="4"/>
        <v>5621.4759999999997</v>
      </c>
      <c r="R28" s="274">
        <f ca="1">P28/E28</f>
        <v>9.195310400071878E-2</v>
      </c>
      <c r="S28" s="275" t="s">
        <v>455</v>
      </c>
      <c r="T28" s="59">
        <f ca="1">R28+R29+R30+R34</f>
        <v>0.11635825808954711</v>
      </c>
      <c r="U28" s="59">
        <f>(L28/L5)-1</f>
        <v>-2.684563758389269E-2</v>
      </c>
      <c r="X28" s="39">
        <f t="shared" ca="1" si="1"/>
        <v>0.37354988399071926</v>
      </c>
      <c r="Y28" s="119">
        <f t="shared" ca="1" si="3"/>
        <v>1923.0694980974479</v>
      </c>
    </row>
    <row r="29" spans="1:25">
      <c r="A29" s="262" t="s">
        <v>454</v>
      </c>
      <c r="B29" s="262" t="s">
        <v>455</v>
      </c>
      <c r="C29" s="263"/>
      <c r="D29" s="322">
        <f t="shared" si="2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3">
        <f t="shared" si="4"/>
        <v>-34.86</v>
      </c>
      <c r="R29" s="274">
        <f>P29/E29</f>
        <v>7.5056920884457702E-3</v>
      </c>
      <c r="S29" s="275" t="s">
        <v>410</v>
      </c>
      <c r="X29" s="39">
        <f t="shared" ca="1" si="1"/>
        <v>0</v>
      </c>
      <c r="Y29" s="119">
        <f t="shared" ca="1" si="3"/>
        <v>0</v>
      </c>
    </row>
    <row r="30" spans="1:25">
      <c r="A30" s="262" t="s">
        <v>454</v>
      </c>
      <c r="B30" s="262" t="s">
        <v>455</v>
      </c>
      <c r="C30" s="263"/>
      <c r="D30" s="322">
        <f t="shared" si="2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3">
        <f t="shared" si="4"/>
        <v>-37.880000000000003</v>
      </c>
      <c r="R30" s="274">
        <f>P30/E30</f>
        <v>6.9190670856738691E-3</v>
      </c>
      <c r="S30" s="275" t="s">
        <v>410</v>
      </c>
      <c r="X30" s="39">
        <f t="shared" ca="1" si="1"/>
        <v>0</v>
      </c>
      <c r="Y30" s="119">
        <f t="shared" ca="1" si="3"/>
        <v>0</v>
      </c>
    </row>
    <row r="31" spans="1:25">
      <c r="A31" s="262" t="s">
        <v>454</v>
      </c>
      <c r="B31" s="262"/>
      <c r="C31" s="263"/>
      <c r="D31" s="322">
        <f t="shared" si="2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3"/>
      <c r="R31" s="274"/>
      <c r="S31" s="275" t="s">
        <v>467</v>
      </c>
      <c r="X31" s="39">
        <f t="shared" ca="1" si="1"/>
        <v>0</v>
      </c>
      <c r="Y31" s="119">
        <f t="shared" ca="1" si="3"/>
        <v>0</v>
      </c>
    </row>
    <row r="32" spans="1:25">
      <c r="A32" s="262" t="s">
        <v>454</v>
      </c>
      <c r="B32" s="262"/>
      <c r="C32" s="263"/>
      <c r="D32" s="322">
        <f t="shared" si="2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-2.18-2.26-3.09-2.27-2.98-3.06-3.11-3.09-3.15</f>
        <v>-25.189999999999998</v>
      </c>
      <c r="Q32" s="273"/>
      <c r="R32" s="274"/>
      <c r="S32" s="275" t="s">
        <v>468</v>
      </c>
      <c r="X32" s="39">
        <f t="shared" ca="1" si="1"/>
        <v>0</v>
      </c>
      <c r="Y32" s="119">
        <f t="shared" ca="1" si="3"/>
        <v>0</v>
      </c>
    </row>
    <row r="33" spans="1:27">
      <c r="A33" s="262" t="s">
        <v>454</v>
      </c>
      <c r="B33" s="262" t="s">
        <v>350</v>
      </c>
      <c r="C33" s="263">
        <v>4090</v>
      </c>
      <c r="D33" s="322">
        <f t="shared" si="2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3">
        <f t="shared" si="4"/>
        <v>4481.9502000000002</v>
      </c>
      <c r="R33" s="274">
        <f>P33/E33</f>
        <v>8.5447618433168865E-2</v>
      </c>
      <c r="S33" s="275" t="s">
        <v>350</v>
      </c>
      <c r="X33" s="39">
        <f t="shared" ca="1" si="1"/>
        <v>1.2761020881670533E-2</v>
      </c>
      <c r="Y33" s="119">
        <f t="shared" ca="1" si="3"/>
        <v>52.691865661252898</v>
      </c>
    </row>
    <row r="34" spans="1:27">
      <c r="A34" s="262" t="s">
        <v>454</v>
      </c>
      <c r="B34" s="262" t="s">
        <v>455</v>
      </c>
      <c r="C34" s="263"/>
      <c r="D34" s="322">
        <f t="shared" si="2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3">
        <f t="shared" si="4"/>
        <v>-34.86</v>
      </c>
      <c r="R34" s="274">
        <f>P34/E34</f>
        <v>9.9803949147086856E-3</v>
      </c>
      <c r="S34" s="275" t="s">
        <v>410</v>
      </c>
      <c r="X34" s="39">
        <f t="shared" ca="1" si="1"/>
        <v>0</v>
      </c>
      <c r="Y34" s="119">
        <f t="shared" ca="1" si="3"/>
        <v>0</v>
      </c>
    </row>
    <row r="35" spans="1:27">
      <c r="A35" s="262" t="s">
        <v>454</v>
      </c>
      <c r="B35" s="262" t="s">
        <v>350</v>
      </c>
      <c r="C35" s="263">
        <v>4090</v>
      </c>
      <c r="D35" s="322">
        <f t="shared" si="2"/>
        <v>149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271">
        <v>43754</v>
      </c>
      <c r="L35" s="263">
        <v>67.53</v>
      </c>
      <c r="M35" s="264">
        <f>(H35*L35)</f>
        <v>4186.8599999999997</v>
      </c>
      <c r="N35" s="264">
        <f>-(IF((M35*0.0075)&lt;30,30,(M35*0.0075)) + (M35*0.0035))</f>
        <v>-46.055459999999997</v>
      </c>
      <c r="O35" s="272">
        <f>J35+N35</f>
        <v>-90.542319999999989</v>
      </c>
      <c r="P35" s="273">
        <f>IF(K35=0,0,M35-E35+N35)</f>
        <v>52.057679999999479</v>
      </c>
      <c r="Q35" s="273">
        <f t="shared" si="4"/>
        <v>4140.8045400000001</v>
      </c>
      <c r="R35" s="274">
        <f>P35/E35</f>
        <v>1.2731940074177025E-2</v>
      </c>
      <c r="S35" s="275" t="s">
        <v>350</v>
      </c>
      <c r="U35" s="59"/>
      <c r="X35" s="39">
        <f t="shared" ca="1" si="1"/>
        <v>8.642691415313225E-2</v>
      </c>
      <c r="Y35" s="119">
        <f t="shared" ca="1" si="3"/>
        <v>353.37777386310904</v>
      </c>
    </row>
    <row r="36" spans="1:27">
      <c r="A36" s="262" t="s">
        <v>454</v>
      </c>
      <c r="B36" s="262" t="s">
        <v>455</v>
      </c>
      <c r="C36" s="263"/>
      <c r="D36" s="322">
        <f t="shared" ref="D36" si="5">IF(OR(F36=0,K36=0),0,_xlfn.DAYS(K36,F36))</f>
        <v>0</v>
      </c>
      <c r="E36" s="278">
        <v>5148.0928800000002</v>
      </c>
      <c r="F36" s="300"/>
      <c r="G36" s="263"/>
      <c r="H36" s="266"/>
      <c r="I36" s="264"/>
      <c r="J36" s="264"/>
      <c r="K36" s="271">
        <v>43773</v>
      </c>
      <c r="L36" s="263">
        <f>43.12*2</f>
        <v>86.24</v>
      </c>
      <c r="M36" s="264"/>
      <c r="N36" s="264">
        <f>(8.19+10.48+2.5+0.53)*2*(-1)</f>
        <v>-43.400000000000006</v>
      </c>
      <c r="O36" s="272"/>
      <c r="P36" s="273">
        <f>L36+N36</f>
        <v>42.839999999999989</v>
      </c>
      <c r="Q36" s="273">
        <f t="shared" ref="Q36" si="6">M36+N36</f>
        <v>-43.400000000000006</v>
      </c>
      <c r="R36" s="274">
        <f>P36/E36</f>
        <v>8.3215281850159608E-3</v>
      </c>
      <c r="S36" s="275" t="s">
        <v>410</v>
      </c>
      <c r="X36" s="39">
        <f t="shared" ca="1" si="1"/>
        <v>0</v>
      </c>
      <c r="Y36" s="119">
        <f t="shared" ca="1" si="3"/>
        <v>0</v>
      </c>
    </row>
    <row r="37" spans="1:27">
      <c r="A37" s="262"/>
      <c r="B37" s="262"/>
      <c r="C37" s="263"/>
      <c r="D37" s="322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/>
      <c r="Q37" s="273"/>
      <c r="R37" s="274"/>
      <c r="S37" s="275"/>
      <c r="X37" s="39">
        <f t="shared" ca="1" si="1"/>
        <v>0</v>
      </c>
      <c r="Y37" s="119">
        <f t="shared" ca="1" si="3"/>
        <v>0</v>
      </c>
    </row>
    <row r="38" spans="1:27">
      <c r="A38" s="262"/>
      <c r="B38" s="262"/>
      <c r="C38" s="263"/>
      <c r="D38" s="322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3"/>
      <c r="R38" s="274"/>
      <c r="S38" s="275"/>
      <c r="X38" s="39">
        <f t="shared" ca="1" si="1"/>
        <v>0</v>
      </c>
      <c r="Y38" s="119">
        <f t="shared" ca="1" si="3"/>
        <v>0</v>
      </c>
    </row>
    <row r="39" spans="1:27">
      <c r="A39" s="262"/>
      <c r="B39" s="262"/>
      <c r="C39" s="263"/>
      <c r="D39" s="322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3"/>
      <c r="R39" s="274"/>
      <c r="S39" s="275"/>
      <c r="X39" s="39">
        <f t="shared" ca="1" si="1"/>
        <v>0</v>
      </c>
      <c r="Y39" s="119">
        <f t="shared" ca="1" si="3"/>
        <v>0</v>
      </c>
    </row>
    <row r="40" spans="1:27">
      <c r="A40" s="262"/>
      <c r="B40" s="262"/>
      <c r="C40" s="263"/>
      <c r="D40" s="322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3"/>
      <c r="R40" s="274"/>
      <c r="S40" s="275"/>
      <c r="X40" s="39">
        <f t="shared" ca="1" si="1"/>
        <v>0</v>
      </c>
      <c r="Y40" s="119">
        <f t="shared" ca="1" si="3"/>
        <v>0</v>
      </c>
    </row>
    <row r="41" spans="1:27">
      <c r="A41" s="262"/>
      <c r="B41" s="262"/>
      <c r="C41" s="263"/>
      <c r="D41" s="322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3"/>
      <c r="R41" s="274"/>
      <c r="S41" s="275"/>
      <c r="X41" s="39">
        <f t="shared" ca="1" si="1"/>
        <v>0</v>
      </c>
      <c r="Y41" s="119">
        <f t="shared" ca="1" si="3"/>
        <v>0</v>
      </c>
    </row>
    <row r="42" spans="1:27">
      <c r="A42" s="313"/>
      <c r="B42" s="314"/>
      <c r="C42" s="315"/>
      <c r="D42" s="325">
        <f ca="1">SUM(D13:D41)</f>
        <v>2735</v>
      </c>
      <c r="E42" s="315">
        <f>SUM(E13:E41)</f>
        <v>56475.638345999992</v>
      </c>
      <c r="F42" s="318"/>
      <c r="G42" s="315"/>
      <c r="H42" s="316"/>
      <c r="I42" s="315"/>
      <c r="J42" s="319">
        <f>SUM(J13:J41)</f>
        <v>-231.578036</v>
      </c>
      <c r="K42" s="314"/>
      <c r="L42" s="314"/>
      <c r="M42" s="314"/>
      <c r="N42" s="319">
        <f>SUM(N13:N41)</f>
        <v>-422.56071900000006</v>
      </c>
      <c r="O42" s="315">
        <f>SUM(O13:O41)</f>
        <v>-565.35885699999994</v>
      </c>
      <c r="P42" s="315">
        <f ca="1">SUM(P13:P41)</f>
        <v>4213.7495230000004</v>
      </c>
      <c r="Q42" s="315"/>
      <c r="R42" s="326">
        <f ca="1">SUM(R13:R41)</f>
        <v>4.0363722784209823</v>
      </c>
      <c r="S42" s="317"/>
      <c r="X42" s="327">
        <f ca="1">SUM(X13:X41)</f>
        <v>1.5864269141531322</v>
      </c>
      <c r="Y42" s="328">
        <f ca="1">SUM(Y13:Y41)</f>
        <v>5025.0798652714611</v>
      </c>
      <c r="Z42" s="329">
        <f ca="1">P42/Y42</f>
        <v>0.83854379153680747</v>
      </c>
      <c r="AA42" s="329">
        <f ca="1">Z42/(D$43/365)</f>
        <v>0.17753392338221274</v>
      </c>
    </row>
    <row r="43" spans="1:27">
      <c r="C43" s="119" t="s">
        <v>506</v>
      </c>
      <c r="D43" s="46">
        <f ca="1">_xlfn.DAYS(TODAY(),F13)</f>
        <v>1724</v>
      </c>
      <c r="E43" s="119"/>
      <c r="F43" s="300"/>
      <c r="G43" s="119"/>
      <c r="H43" s="303"/>
      <c r="I43" s="119"/>
      <c r="J43" s="119"/>
      <c r="P43" s="119"/>
      <c r="Q43" s="119"/>
      <c r="R43" s="59"/>
    </row>
    <row r="44" spans="1:27">
      <c r="C44" s="119"/>
      <c r="E44" s="119"/>
      <c r="F44" s="300"/>
      <c r="G44" s="119"/>
      <c r="H44" s="303"/>
      <c r="I44" s="119"/>
      <c r="J44" s="119"/>
    </row>
    <row r="45" spans="1:27">
      <c r="C45" s="119"/>
      <c r="E45" s="119"/>
      <c r="F45" s="300"/>
      <c r="G45" s="119"/>
      <c r="H45" s="303"/>
      <c r="I45" s="119"/>
      <c r="J45" s="119"/>
      <c r="R45" s="119"/>
    </row>
    <row r="46" spans="1:27">
      <c r="C46" s="119"/>
      <c r="E46" s="119"/>
      <c r="F46" s="300"/>
      <c r="G46" s="119"/>
      <c r="H46" s="303"/>
      <c r="I46" s="119"/>
      <c r="J46" s="119"/>
      <c r="L46" s="119"/>
    </row>
    <row r="47" spans="1:27">
      <c r="C47" s="119"/>
      <c r="E47" s="119"/>
      <c r="F47" s="300"/>
      <c r="G47" s="119"/>
      <c r="H47" s="303"/>
      <c r="I47" s="119"/>
      <c r="J47" s="119"/>
    </row>
    <row r="48" spans="1:27">
      <c r="C48" s="119"/>
      <c r="E48" s="119"/>
      <c r="F48" s="300"/>
      <c r="G48" s="119"/>
      <c r="H48" s="303"/>
      <c r="I48" s="119"/>
      <c r="J48" s="119"/>
    </row>
    <row r="49" spans="3:29">
      <c r="C49" s="119"/>
      <c r="E49" s="119"/>
      <c r="F49" s="300"/>
      <c r="G49" s="119"/>
      <c r="H49" s="303"/>
      <c r="I49" s="119"/>
      <c r="J49" s="119"/>
    </row>
    <row r="50" spans="3:29">
      <c r="C50" s="119"/>
      <c r="E50" s="119"/>
      <c r="F50" s="300"/>
      <c r="G50" s="119"/>
      <c r="H50" s="303"/>
      <c r="I50" s="119"/>
      <c r="J50" s="119"/>
    </row>
    <row r="51" spans="3:29">
      <c r="T51" s="119"/>
      <c r="U51" s="58"/>
    </row>
    <row r="52" spans="3:29">
      <c r="E52" s="41"/>
      <c r="I52" s="41"/>
      <c r="J52" s="41"/>
      <c r="K52" s="41"/>
      <c r="L52" s="41"/>
      <c r="M52" s="41"/>
      <c r="N52" s="41"/>
      <c r="O52" s="41"/>
      <c r="P52" s="41"/>
      <c r="Q52" s="41"/>
      <c r="T52" s="41"/>
    </row>
    <row r="53" spans="3:29">
      <c r="G53" s="38"/>
      <c r="H53" s="41"/>
    </row>
    <row r="54" spans="3:29">
      <c r="AC54" s="119"/>
    </row>
    <row r="55" spans="3:29">
      <c r="I55" s="38"/>
      <c r="J55" s="38"/>
      <c r="K55" s="38"/>
      <c r="L55" s="38"/>
      <c r="M55" s="38"/>
      <c r="N55" s="38"/>
      <c r="O55" s="38"/>
      <c r="P55" s="38"/>
      <c r="Q55" s="38"/>
      <c r="R55" s="38"/>
      <c r="T55" s="38"/>
    </row>
    <row r="56" spans="3:29">
      <c r="E56" t="s">
        <v>474</v>
      </c>
      <c r="F56">
        <v>74.89</v>
      </c>
      <c r="G56">
        <v>52</v>
      </c>
      <c r="H56" s="58">
        <f>1-(G56/F56)</f>
        <v>0.30564828415008682</v>
      </c>
      <c r="R56" s="38"/>
      <c r="U56" s="58"/>
      <c r="W56" s="59"/>
      <c r="X56" s="59"/>
    </row>
    <row r="57" spans="3:29">
      <c r="E57" t="s">
        <v>475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R57" s="38"/>
      <c r="T57" s="38"/>
    </row>
    <row r="58" spans="3:29">
      <c r="E58" t="s">
        <v>476</v>
      </c>
      <c r="F58">
        <v>93.54</v>
      </c>
      <c r="G58">
        <v>65</v>
      </c>
      <c r="H58" s="58">
        <f>1-(G58/F58)</f>
        <v>0.30511011332050464</v>
      </c>
      <c r="I58" s="304"/>
      <c r="J58" s="304"/>
      <c r="K58" s="304"/>
      <c r="L58" s="38"/>
      <c r="R58" s="119"/>
    </row>
    <row r="59" spans="3:29">
      <c r="D59" s="46" t="s">
        <v>477</v>
      </c>
      <c r="F59">
        <v>20</v>
      </c>
      <c r="G59">
        <v>14</v>
      </c>
      <c r="H59" s="58">
        <f>1-(G59/F59)</f>
        <v>0.30000000000000004</v>
      </c>
      <c r="R59" s="119"/>
      <c r="T59" s="306"/>
    </row>
    <row r="60" spans="3:29">
      <c r="G60" s="38"/>
      <c r="T60" s="304"/>
      <c r="U60">
        <f>(0.00242*12)</f>
        <v>2.9039999999999996E-2</v>
      </c>
    </row>
    <row r="61" spans="3:29">
      <c r="P61" s="304"/>
      <c r="Q61" s="304"/>
      <c r="T61" s="307"/>
      <c r="U61">
        <f>4700*U60</f>
        <v>136.48799999999997</v>
      </c>
    </row>
    <row r="62" spans="3:29">
      <c r="R62" s="59"/>
      <c r="T62" s="308" t="s">
        <v>478</v>
      </c>
      <c r="U62" s="41" t="s">
        <v>479</v>
      </c>
      <c r="V62" s="38"/>
    </row>
    <row r="63" spans="3:29" ht="15.75">
      <c r="G63" s="38"/>
      <c r="S63" t="s">
        <v>480</v>
      </c>
      <c r="T63" s="309" t="s">
        <v>481</v>
      </c>
      <c r="U63" s="310"/>
      <c r="V63" s="38"/>
    </row>
    <row r="64" spans="3:29">
      <c r="F64" s="38"/>
      <c r="G64" s="38"/>
      <c r="S64" t="s">
        <v>482</v>
      </c>
      <c r="T64" s="309" t="s">
        <v>483</v>
      </c>
      <c r="U64" t="s">
        <v>484</v>
      </c>
    </row>
    <row r="65" spans="6:22">
      <c r="F65" s="38"/>
      <c r="G65" s="38"/>
      <c r="H65" s="38"/>
      <c r="K65" t="s">
        <v>485</v>
      </c>
      <c r="T65" s="38"/>
      <c r="U65" t="s">
        <v>486</v>
      </c>
      <c r="V65" s="38"/>
    </row>
    <row r="66" spans="6:22">
      <c r="K66" s="311">
        <v>43587</v>
      </c>
      <c r="T66" s="306"/>
    </row>
    <row r="67" spans="6:22">
      <c r="K67" t="s">
        <v>487</v>
      </c>
      <c r="T67" s="312"/>
    </row>
    <row r="68" spans="6:22">
      <c r="K68" t="s">
        <v>488</v>
      </c>
      <c r="M68" t="s">
        <v>146</v>
      </c>
      <c r="T68" s="309"/>
      <c r="U68">
        <f>5000/12</f>
        <v>416.66666666666669</v>
      </c>
    </row>
    <row r="69" spans="6:22">
      <c r="K69" t="s">
        <v>489</v>
      </c>
      <c r="U69">
        <f>2.2/U68</f>
        <v>5.28E-3</v>
      </c>
    </row>
    <row r="70" spans="6:22">
      <c r="K70" t="s">
        <v>490</v>
      </c>
      <c r="U70">
        <f>100*U69</f>
        <v>0.52800000000000002</v>
      </c>
    </row>
    <row r="71" spans="6:22">
      <c r="K71" t="s">
        <v>491</v>
      </c>
      <c r="U71">
        <f>2.2*12</f>
        <v>26.400000000000002</v>
      </c>
    </row>
    <row r="72" spans="6:22">
      <c r="K72" t="s">
        <v>492</v>
      </c>
    </row>
    <row r="73" spans="6:22">
      <c r="K73" t="s">
        <v>493</v>
      </c>
    </row>
    <row r="74" spans="6:22">
      <c r="K74" t="s">
        <v>494</v>
      </c>
    </row>
    <row r="75" spans="6:22">
      <c r="K75" t="s">
        <v>495</v>
      </c>
    </row>
    <row r="76" spans="6:22">
      <c r="K76" t="s">
        <v>496</v>
      </c>
    </row>
    <row r="77" spans="6:22">
      <c r="K77" t="s">
        <v>497</v>
      </c>
    </row>
    <row r="78" spans="6:22">
      <c r="K78" t="s">
        <v>498</v>
      </c>
    </row>
  </sheetData>
  <mergeCells count="2">
    <mergeCell ref="A10:S10"/>
    <mergeCell ref="A11:S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40"/>
  <sheetViews>
    <sheetView workbookViewId="0">
      <selection activeCell="D33" sqref="D33"/>
    </sheetView>
  </sheetViews>
  <sheetFormatPr defaultColWidth="8.85546875"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</cols>
  <sheetData>
    <row r="1" spans="1:5">
      <c r="A1" s="447" t="s">
        <v>512</v>
      </c>
      <c r="B1" s="447"/>
      <c r="C1" s="447"/>
      <c r="D1" s="447"/>
      <c r="E1" s="447"/>
    </row>
    <row r="2" spans="1:5">
      <c r="A2" s="332" t="s">
        <v>508</v>
      </c>
      <c r="B2" s="333" t="s">
        <v>86</v>
      </c>
      <c r="C2" s="333" t="s">
        <v>509</v>
      </c>
      <c r="D2" s="333" t="s">
        <v>510</v>
      </c>
      <c r="E2" s="270"/>
    </row>
    <row r="3" spans="1:5">
      <c r="A3" s="334" t="s">
        <v>50</v>
      </c>
      <c r="B3" s="335">
        <f>5092.08</f>
        <v>5092.08</v>
      </c>
      <c r="C3" s="305">
        <f>B3/B$7</f>
        <v>1</v>
      </c>
      <c r="D3" s="335">
        <f ca="1">D$7*C3</f>
        <v>473.38311999999985</v>
      </c>
      <c r="E3" s="275"/>
    </row>
    <row r="4" spans="1:5">
      <c r="A4" s="334" t="s">
        <v>24</v>
      </c>
      <c r="B4" s="335">
        <v>0</v>
      </c>
      <c r="C4" s="305">
        <f t="shared" ref="C4:C6" si="0">B4/B$7</f>
        <v>0</v>
      </c>
      <c r="D4" s="335">
        <f t="shared" ref="D4:D6" ca="1" si="1">D$7*C4</f>
        <v>0</v>
      </c>
      <c r="E4" s="275"/>
    </row>
    <row r="5" spans="1:5">
      <c r="A5" s="334" t="s">
        <v>169</v>
      </c>
      <c r="B5" s="335">
        <v>0</v>
      </c>
      <c r="C5" s="305">
        <f t="shared" si="0"/>
        <v>0</v>
      </c>
      <c r="D5" s="335">
        <f t="shared" ca="1" si="1"/>
        <v>0</v>
      </c>
      <c r="E5" s="275"/>
    </row>
    <row r="6" spans="1:5">
      <c r="A6" s="334" t="s">
        <v>48</v>
      </c>
      <c r="B6" s="335">
        <v>0</v>
      </c>
      <c r="C6" s="305">
        <f t="shared" si="0"/>
        <v>0</v>
      </c>
      <c r="D6" s="335">
        <f t="shared" ca="1" si="1"/>
        <v>0</v>
      </c>
      <c r="E6" s="275"/>
    </row>
    <row r="7" spans="1:5">
      <c r="A7" s="334" t="s">
        <v>5</v>
      </c>
      <c r="B7" s="335">
        <f>SUM(B3:B6)</f>
        <v>5092.08</v>
      </c>
      <c r="C7" s="305">
        <f>SUM(C3:C6)</f>
        <v>1</v>
      </c>
      <c r="D7" s="276">
        <f ca="1">Bolsa1!P28</f>
        <v>473.38311999999985</v>
      </c>
      <c r="E7" s="275" t="s">
        <v>511</v>
      </c>
    </row>
    <row r="8" spans="1:5">
      <c r="A8" s="334"/>
      <c r="B8" s="335"/>
      <c r="C8" s="336"/>
      <c r="D8" s="336"/>
      <c r="E8" s="275"/>
    </row>
    <row r="9" spans="1:5">
      <c r="A9" s="334"/>
      <c r="B9" s="335"/>
      <c r="C9" s="336"/>
      <c r="D9" s="336"/>
      <c r="E9" s="275"/>
    </row>
    <row r="10" spans="1:5">
      <c r="A10" s="334"/>
      <c r="B10" s="336"/>
      <c r="C10" s="336"/>
      <c r="D10" s="336"/>
      <c r="E10" s="275"/>
    </row>
    <row r="11" spans="1:5">
      <c r="A11" s="334" t="s">
        <v>153</v>
      </c>
      <c r="B11" s="335">
        <v>5092.08</v>
      </c>
      <c r="C11" s="336"/>
      <c r="D11" s="336"/>
      <c r="E11" s="275"/>
    </row>
    <row r="12" spans="1:5">
      <c r="A12" s="337" t="s">
        <v>5</v>
      </c>
      <c r="B12" s="338">
        <f>B11</f>
        <v>5092.08</v>
      </c>
      <c r="C12" s="330"/>
      <c r="D12" s="330"/>
      <c r="E12" s="289"/>
    </row>
    <row r="15" spans="1:5">
      <c r="A15" s="445" t="s">
        <v>541</v>
      </c>
      <c r="B15" s="445"/>
      <c r="C15" s="445"/>
      <c r="D15" s="445"/>
      <c r="E15" s="445"/>
    </row>
    <row r="17" spans="1:4">
      <c r="A17" s="331" t="s">
        <v>513</v>
      </c>
    </row>
    <row r="19" spans="1:4">
      <c r="A19" t="s">
        <v>514</v>
      </c>
    </row>
    <row r="20" spans="1:4">
      <c r="A20" t="s">
        <v>515</v>
      </c>
    </row>
    <row r="21" spans="1:4">
      <c r="A21" t="s">
        <v>516</v>
      </c>
    </row>
    <row r="22" spans="1:4">
      <c r="A22" t="s">
        <v>517</v>
      </c>
    </row>
    <row r="23" spans="1:4">
      <c r="A23" t="s">
        <v>518</v>
      </c>
    </row>
    <row r="24" spans="1:4">
      <c r="A24" t="s">
        <v>519</v>
      </c>
    </row>
    <row r="25" spans="1:4">
      <c r="A25" t="s">
        <v>520</v>
      </c>
    </row>
    <row r="30" spans="1:4">
      <c r="A30" s="331" t="s">
        <v>521</v>
      </c>
      <c r="B30" s="331" t="s">
        <v>522</v>
      </c>
      <c r="C30" s="331" t="s">
        <v>523</v>
      </c>
      <c r="D30" s="331" t="s">
        <v>524</v>
      </c>
    </row>
    <row r="32" spans="1:4">
      <c r="A32" t="s">
        <v>525</v>
      </c>
      <c r="B32" t="s">
        <v>526</v>
      </c>
      <c r="C32" t="s">
        <v>527</v>
      </c>
      <c r="D32" t="s">
        <v>528</v>
      </c>
    </row>
    <row r="33" spans="1:4">
      <c r="A33" t="s">
        <v>529</v>
      </c>
      <c r="B33" t="s">
        <v>530</v>
      </c>
      <c r="C33" t="s">
        <v>531</v>
      </c>
      <c r="D33" t="s">
        <v>526</v>
      </c>
    </row>
    <row r="34" spans="1:4">
      <c r="A34" t="s">
        <v>532</v>
      </c>
      <c r="B34" t="s">
        <v>533</v>
      </c>
      <c r="C34" t="s">
        <v>534</v>
      </c>
      <c r="D34" t="s">
        <v>528</v>
      </c>
    </row>
    <row r="35" spans="1:4">
      <c r="A35" t="s">
        <v>535</v>
      </c>
      <c r="B35" t="s">
        <v>526</v>
      </c>
      <c r="C35" t="s">
        <v>531</v>
      </c>
      <c r="D35" t="s">
        <v>536</v>
      </c>
    </row>
    <row r="36" spans="1:4">
      <c r="A36" t="s">
        <v>362</v>
      </c>
      <c r="B36" t="s">
        <v>526</v>
      </c>
      <c r="C36" t="s">
        <v>527</v>
      </c>
      <c r="D36" t="s">
        <v>536</v>
      </c>
    </row>
    <row r="37" spans="1:4">
      <c r="A37" t="s">
        <v>537</v>
      </c>
      <c r="B37" t="s">
        <v>528</v>
      </c>
      <c r="C37" t="s">
        <v>534</v>
      </c>
      <c r="D37" t="s">
        <v>533</v>
      </c>
    </row>
    <row r="38" spans="1:4">
      <c r="A38" t="s">
        <v>538</v>
      </c>
      <c r="B38" t="s">
        <v>526</v>
      </c>
      <c r="C38" t="s">
        <v>534</v>
      </c>
      <c r="D38" t="s">
        <v>526</v>
      </c>
    </row>
    <row r="39" spans="1:4">
      <c r="A39" t="s">
        <v>539</v>
      </c>
      <c r="B39" t="s">
        <v>528</v>
      </c>
      <c r="C39" t="s">
        <v>527</v>
      </c>
      <c r="D39" t="s">
        <v>526</v>
      </c>
    </row>
    <row r="40" spans="1:4">
      <c r="A40" t="s">
        <v>540</v>
      </c>
      <c r="B40" t="s">
        <v>528</v>
      </c>
      <c r="C40" t="s">
        <v>527</v>
      </c>
      <c r="D40" t="s">
        <v>533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I58"/>
  <sheetViews>
    <sheetView topLeftCell="A37" workbookViewId="0">
      <selection activeCell="I55" sqref="I55"/>
    </sheetView>
  </sheetViews>
  <sheetFormatPr defaultColWidth="8" defaultRowHeight="15"/>
  <cols>
    <col min="1" max="1" width="15.140625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275</v>
      </c>
      <c r="I7" t="s">
        <v>276</v>
      </c>
    </row>
    <row r="8" spans="3:9">
      <c r="F8" t="s">
        <v>124</v>
      </c>
      <c r="G8">
        <v>386785</v>
      </c>
      <c r="I8">
        <v>713931</v>
      </c>
    </row>
    <row r="9" spans="3:9">
      <c r="F9" t="s">
        <v>125</v>
      </c>
      <c r="G9">
        <v>36372553</v>
      </c>
      <c r="I9">
        <v>95095910</v>
      </c>
    </row>
    <row r="10" spans="3:9">
      <c r="F10" t="s">
        <v>292</v>
      </c>
      <c r="I10" t="s">
        <v>293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126</v>
      </c>
    </row>
    <row r="21" spans="1:9">
      <c r="B21" t="s">
        <v>127</v>
      </c>
      <c r="C21" s="87"/>
      <c r="F21" t="s">
        <v>128</v>
      </c>
    </row>
    <row r="22" spans="1:9">
      <c r="B22" t="s">
        <v>129</v>
      </c>
      <c r="C22" s="87"/>
      <c r="F22" t="s">
        <v>130</v>
      </c>
    </row>
    <row r="23" spans="1:9">
      <c r="B23" t="s">
        <v>131</v>
      </c>
      <c r="C23" t="s">
        <v>164</v>
      </c>
      <c r="I23" s="44"/>
    </row>
    <row r="26" spans="1:9">
      <c r="B26" s="44" t="s">
        <v>16</v>
      </c>
    </row>
    <row r="27" spans="1:9">
      <c r="B27" t="s">
        <v>132</v>
      </c>
    </row>
    <row r="28" spans="1:9">
      <c r="B28" s="47"/>
      <c r="C28" s="44"/>
      <c r="D28" s="44"/>
      <c r="E28" s="47"/>
      <c r="F28" s="47"/>
    </row>
    <row r="33" spans="1:9" ht="120">
      <c r="B33" s="88" t="s">
        <v>133</v>
      </c>
      <c r="I33" s="88" t="s">
        <v>140</v>
      </c>
    </row>
    <row r="34" spans="1:9">
      <c r="B34" s="89" t="s">
        <v>134</v>
      </c>
      <c r="I34" t="s">
        <v>141</v>
      </c>
    </row>
    <row r="35" spans="1:9">
      <c r="B35" t="s">
        <v>135</v>
      </c>
      <c r="I35" t="s">
        <v>142</v>
      </c>
    </row>
    <row r="36" spans="1:9">
      <c r="B36" t="s">
        <v>136</v>
      </c>
    </row>
    <row r="38" spans="1:9">
      <c r="B38" t="s">
        <v>137</v>
      </c>
    </row>
    <row r="41" spans="1:9">
      <c r="A41" t="s">
        <v>138</v>
      </c>
      <c r="B41" t="s">
        <v>139</v>
      </c>
    </row>
    <row r="45" spans="1:9">
      <c r="A45" t="s">
        <v>161</v>
      </c>
      <c r="B45" t="s">
        <v>59</v>
      </c>
    </row>
    <row r="47" spans="1:9">
      <c r="A47" t="s">
        <v>175</v>
      </c>
      <c r="B47" t="s">
        <v>166</v>
      </c>
    </row>
    <row r="48" spans="1:9">
      <c r="A48" t="s">
        <v>165</v>
      </c>
      <c r="B48" t="s">
        <v>166</v>
      </c>
    </row>
    <row r="49" spans="1:2">
      <c r="A49" t="s">
        <v>46</v>
      </c>
      <c r="B49" t="s">
        <v>166</v>
      </c>
    </row>
    <row r="50" spans="1:2">
      <c r="A50" t="s">
        <v>168</v>
      </c>
      <c r="B50" t="s">
        <v>167</v>
      </c>
    </row>
    <row r="51" spans="1:2">
      <c r="A51" t="s">
        <v>190</v>
      </c>
      <c r="B51" t="s">
        <v>166</v>
      </c>
    </row>
    <row r="52" spans="1:2">
      <c r="A52" t="s">
        <v>199</v>
      </c>
      <c r="B52" t="s">
        <v>198</v>
      </c>
    </row>
    <row r="53" spans="1:2">
      <c r="A53" t="s">
        <v>202</v>
      </c>
      <c r="B53" t="s">
        <v>203</v>
      </c>
    </row>
    <row r="54" spans="1:2">
      <c r="A54" t="s">
        <v>33</v>
      </c>
      <c r="B54" t="s">
        <v>167</v>
      </c>
    </row>
    <row r="55" spans="1:2">
      <c r="A55" t="s">
        <v>756</v>
      </c>
      <c r="B55" t="s">
        <v>757</v>
      </c>
    </row>
    <row r="56" spans="1:2">
      <c r="A56" t="s">
        <v>888</v>
      </c>
      <c r="B56" t="s">
        <v>167</v>
      </c>
    </row>
    <row r="58" spans="1:2">
      <c r="A58" t="s">
        <v>839</v>
      </c>
      <c r="B58" t="s">
        <v>840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abSelected="1" topLeftCell="A280" workbookViewId="0">
      <selection activeCell="A257" sqref="A257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8" t="s">
        <v>9</v>
      </c>
      <c r="E4" s="408"/>
      <c r="F4" s="408"/>
      <c r="G4" s="401"/>
      <c r="H4" s="222">
        <v>2019</v>
      </c>
      <c r="I4" s="40" t="s">
        <v>55</v>
      </c>
      <c r="J4" s="105" t="s">
        <v>56</v>
      </c>
      <c r="K4" s="428" t="s">
        <v>57</v>
      </c>
      <c r="L4" s="429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 t="s">
        <v>181</v>
      </c>
      <c r="I5" s="106" t="s">
        <v>58</v>
      </c>
      <c r="J5" s="107" t="s">
        <v>59</v>
      </c>
      <c r="K5" s="430"/>
      <c r="L5" s="431"/>
      <c r="M5" s="1"/>
      <c r="N5" s="1"/>
      <c r="R5" s="3"/>
    </row>
    <row r="6" spans="1:22" ht="15.75">
      <c r="A6" s="112">
        <f>H6+(B6-SUM(D6:F6))</f>
        <v>395.26</v>
      </c>
      <c r="B6" s="133">
        <v>389.26</v>
      </c>
      <c r="C6" s="19" t="s">
        <v>772</v>
      </c>
      <c r="D6" s="137"/>
      <c r="E6" s="138"/>
      <c r="F6" s="138"/>
      <c r="G6" s="16" t="s">
        <v>30</v>
      </c>
      <c r="H6" s="112">
        <v>6</v>
      </c>
      <c r="I6" s="108" t="s">
        <v>58</v>
      </c>
      <c r="J6" s="107" t="s">
        <v>60</v>
      </c>
      <c r="K6" s="414"/>
      <c r="L6" s="415"/>
      <c r="M6" s="1" t="s">
        <v>163</v>
      </c>
      <c r="N6" s="1"/>
      <c r="R6" s="3"/>
    </row>
    <row r="7" spans="1:22" ht="15.75">
      <c r="A7" s="112">
        <f t="shared" ref="A7:A15" si="0">H7+(B7-SUM(D7:F7))</f>
        <v>506.45999999999992</v>
      </c>
      <c r="B7" s="134">
        <v>67.180000000000007</v>
      </c>
      <c r="C7" s="16" t="s">
        <v>338</v>
      </c>
      <c r="D7" s="137"/>
      <c r="E7" s="138"/>
      <c r="F7" s="138"/>
      <c r="G7" s="16" t="s">
        <v>72</v>
      </c>
      <c r="H7" s="112">
        <v>439.27999999999992</v>
      </c>
      <c r="I7" s="108" t="s">
        <v>61</v>
      </c>
      <c r="J7" s="107" t="s">
        <v>62</v>
      </c>
      <c r="K7" s="414"/>
      <c r="L7" s="415"/>
      <c r="M7" s="1"/>
      <c r="N7" s="1"/>
      <c r="R7" s="3"/>
    </row>
    <row r="8" spans="1:22" ht="15.75">
      <c r="A8" s="112">
        <f t="shared" si="0"/>
        <v>-115.77</v>
      </c>
      <c r="B8" s="134">
        <v>0</v>
      </c>
      <c r="C8" s="16" t="s">
        <v>33</v>
      </c>
      <c r="D8" s="137"/>
      <c r="F8" s="138"/>
      <c r="G8" s="16" t="s">
        <v>33</v>
      </c>
      <c r="H8" s="112">
        <v>-115.77</v>
      </c>
      <c r="I8" s="108" t="s">
        <v>61</v>
      </c>
      <c r="J8" s="107" t="s">
        <v>63</v>
      </c>
      <c r="K8" s="414"/>
      <c r="L8" s="415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>
        <v>0</v>
      </c>
      <c r="I9" s="108" t="s">
        <v>61</v>
      </c>
      <c r="J9" s="107" t="s">
        <v>155</v>
      </c>
      <c r="K9" s="414"/>
      <c r="L9" s="415"/>
      <c r="M9" s="1"/>
      <c r="N9" s="1"/>
      <c r="R9" s="3"/>
    </row>
    <row r="10" spans="1:22" ht="15.75">
      <c r="A10" s="112">
        <f t="shared" si="0"/>
        <v>12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12">
        <v>0</v>
      </c>
      <c r="I10" s="108" t="s">
        <v>61</v>
      </c>
      <c r="J10" s="107" t="s">
        <v>79</v>
      </c>
      <c r="K10" s="414"/>
      <c r="L10" s="415"/>
      <c r="M10" s="1" t="s">
        <v>154</v>
      </c>
      <c r="N10" s="1"/>
      <c r="R10" s="3"/>
    </row>
    <row r="11" spans="1:22" ht="15.75">
      <c r="A11" s="112">
        <f t="shared" si="0"/>
        <v>60.47</v>
      </c>
      <c r="B11" s="134">
        <v>30.24</v>
      </c>
      <c r="C11" s="16" t="s">
        <v>32</v>
      </c>
      <c r="D11" s="137"/>
      <c r="E11" s="138"/>
      <c r="F11" s="138"/>
      <c r="G11" s="16" t="s">
        <v>32</v>
      </c>
      <c r="H11" s="112">
        <v>30.23</v>
      </c>
      <c r="I11" s="108" t="s">
        <v>66</v>
      </c>
      <c r="J11" s="107" t="s">
        <v>67</v>
      </c>
      <c r="K11" s="414"/>
      <c r="L11" s="415"/>
      <c r="M11" s="1"/>
      <c r="N11" s="1"/>
      <c r="R11" s="3"/>
    </row>
    <row r="12" spans="1:22" ht="15.75">
      <c r="A12" s="112">
        <f t="shared" si="0"/>
        <v>44.54000000000002</v>
      </c>
      <c r="B12" s="134">
        <v>6.5</v>
      </c>
      <c r="C12" s="16" t="s">
        <v>264</v>
      </c>
      <c r="D12" s="137"/>
      <c r="E12" s="138"/>
      <c r="F12" s="138"/>
      <c r="G12" s="16"/>
      <c r="H12" s="112">
        <v>38.04000000000002</v>
      </c>
      <c r="I12" s="108" t="s">
        <v>156</v>
      </c>
      <c r="J12" s="107" t="s">
        <v>157</v>
      </c>
      <c r="K12" s="414"/>
      <c r="L12" s="415"/>
      <c r="M12" s="92"/>
      <c r="N12" s="1"/>
      <c r="R12" s="3"/>
    </row>
    <row r="13" spans="1:22" ht="15.75">
      <c r="A13" s="112">
        <f t="shared" si="0"/>
        <v>63</v>
      </c>
      <c r="B13" s="134">
        <v>0</v>
      </c>
      <c r="C13" s="16" t="s">
        <v>286</v>
      </c>
      <c r="D13" s="137"/>
      <c r="E13" s="138"/>
      <c r="F13" s="138"/>
      <c r="G13" s="16"/>
      <c r="H13" s="112">
        <v>63</v>
      </c>
      <c r="I13" s="108"/>
      <c r="J13" s="107"/>
      <c r="K13" s="414"/>
      <c r="L13" s="415"/>
      <c r="M13" s="1"/>
      <c r="N13" s="1"/>
      <c r="R13" s="3"/>
    </row>
    <row r="14" spans="1:22" ht="15.75">
      <c r="A14" s="112">
        <f t="shared" si="0"/>
        <v>71.349999999999994</v>
      </c>
      <c r="B14" s="134">
        <v>71.349999999999994</v>
      </c>
      <c r="C14" s="16" t="s">
        <v>391</v>
      </c>
      <c r="D14" s="137"/>
      <c r="E14" s="138"/>
      <c r="F14" s="138"/>
      <c r="G14" s="16"/>
      <c r="H14" s="112"/>
      <c r="I14" s="108"/>
      <c r="J14" s="107"/>
      <c r="K14" s="414"/>
      <c r="L14" s="415"/>
      <c r="M14" s="1"/>
      <c r="N14" s="1"/>
      <c r="R14" s="3"/>
    </row>
    <row r="15" spans="1:22" ht="15.75">
      <c r="A15" s="112">
        <f t="shared" si="0"/>
        <v>10</v>
      </c>
      <c r="B15" s="134">
        <v>10</v>
      </c>
      <c r="C15" s="16" t="s">
        <v>183</v>
      </c>
      <c r="D15" s="137"/>
      <c r="E15" s="138"/>
      <c r="F15" s="138"/>
      <c r="G15" s="16"/>
      <c r="H15" s="112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64</v>
      </c>
      <c r="J19" s="20"/>
      <c r="K19" s="416">
        <f>SUM(K5:K18)</f>
        <v>0</v>
      </c>
      <c r="L19" s="417"/>
      <c r="M19" s="1"/>
      <c r="N19" s="1"/>
      <c r="R19" s="3"/>
    </row>
    <row r="20" spans="1:18" ht="16.5" thickBot="1">
      <c r="A20" s="112">
        <f>SUM(A6:A15)</f>
        <v>1047.31</v>
      </c>
      <c r="B20" s="135">
        <f>SUM(B6:B19)</f>
        <v>586.53</v>
      </c>
      <c r="C20" s="17" t="s">
        <v>51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51</v>
      </c>
      <c r="H20" s="112">
        <v>460.78</v>
      </c>
      <c r="I20" s="89" t="s">
        <v>80</v>
      </c>
      <c r="K20" s="113"/>
      <c r="L20" s="113">
        <f>K19-K10-K12</f>
        <v>0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12"/>
      <c r="I22" s="418" t="s">
        <v>6</v>
      </c>
      <c r="J22" s="409"/>
      <c r="K22" s="409"/>
      <c r="L22" s="410"/>
      <c r="M22" s="1"/>
      <c r="N22" s="113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12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8" t="s">
        <v>9</v>
      </c>
      <c r="E24" s="408"/>
      <c r="F24" s="408"/>
      <c r="G24" s="401"/>
      <c r="H24" s="112"/>
      <c r="I24" s="40" t="s">
        <v>29</v>
      </c>
      <c r="J24" s="432" t="s">
        <v>85</v>
      </c>
      <c r="K24" s="433"/>
      <c r="L24" s="197" t="s">
        <v>86</v>
      </c>
      <c r="M24" s="1"/>
      <c r="R24" s="3"/>
    </row>
    <row r="25" spans="1:18" ht="15.75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12" t="s">
        <v>181</v>
      </c>
      <c r="I25" s="419" t="str">
        <f>AÑO!A8</f>
        <v>Manolo Salario</v>
      </c>
      <c r="J25" s="422" t="s">
        <v>339</v>
      </c>
      <c r="K25" s="423"/>
      <c r="L25" s="198"/>
      <c r="M25" s="1"/>
      <c r="R25" s="3"/>
    </row>
    <row r="26" spans="1:18" ht="15.75">
      <c r="A26" s="112">
        <f>H26+(B26-SUM(D26:F26))</f>
        <v>900</v>
      </c>
      <c r="B26" s="133">
        <v>900</v>
      </c>
      <c r="C26" s="27" t="s">
        <v>37</v>
      </c>
      <c r="D26" s="137"/>
      <c r="E26" s="138"/>
      <c r="F26" s="138"/>
      <c r="G26" s="16" t="s">
        <v>37</v>
      </c>
      <c r="H26" s="112">
        <v>0</v>
      </c>
      <c r="I26" s="420"/>
      <c r="J26" s="424"/>
      <c r="K26" s="425"/>
      <c r="L26" s="229"/>
      <c r="M26" s="1"/>
      <c r="R26" s="3"/>
    </row>
    <row r="27" spans="1:18" ht="15.75">
      <c r="A27" s="112">
        <f t="shared" ref="A27:A30" si="1">H27+(B27-SUM(D27:F27))</f>
        <v>202</v>
      </c>
      <c r="B27" s="134">
        <v>190</v>
      </c>
      <c r="C27" s="27" t="s">
        <v>38</v>
      </c>
      <c r="D27" s="137"/>
      <c r="E27" s="138"/>
      <c r="F27" s="138"/>
      <c r="G27" s="16" t="s">
        <v>38</v>
      </c>
      <c r="H27" s="112">
        <v>12</v>
      </c>
      <c r="I27" s="420"/>
      <c r="J27" s="424"/>
      <c r="K27" s="425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12">
        <v>46.120000000000005</v>
      </c>
      <c r="I28" s="420"/>
      <c r="J28" s="424"/>
      <c r="K28" s="425"/>
      <c r="L28" s="229"/>
      <c r="M28" s="1"/>
      <c r="R28" s="3"/>
    </row>
    <row r="29" spans="1:18" ht="15.75">
      <c r="A29" s="112">
        <f t="shared" si="1"/>
        <v>19.18</v>
      </c>
      <c r="B29" s="134">
        <v>18</v>
      </c>
      <c r="C29" s="27" t="s">
        <v>36</v>
      </c>
      <c r="D29" s="137"/>
      <c r="E29" s="138"/>
      <c r="F29" s="138"/>
      <c r="G29" s="16" t="s">
        <v>36</v>
      </c>
      <c r="H29" s="112">
        <v>1.1799999999999997</v>
      </c>
      <c r="I29" s="421"/>
      <c r="J29" s="426"/>
      <c r="K29" s="427"/>
      <c r="L29" s="230"/>
      <c r="M29" s="1"/>
      <c r="R29" s="3"/>
    </row>
    <row r="30" spans="1:18" ht="15.75" customHeight="1">
      <c r="A30" s="112">
        <f t="shared" si="1"/>
        <v>598.55999999999995</v>
      </c>
      <c r="B30" s="134">
        <v>5</v>
      </c>
      <c r="C30" s="27" t="s">
        <v>40</v>
      </c>
      <c r="D30" s="137"/>
      <c r="E30" s="138"/>
      <c r="F30" s="138"/>
      <c r="G30" s="16"/>
      <c r="H30" s="112">
        <v>593.55999999999995</v>
      </c>
      <c r="I30" s="419" t="str">
        <f>AÑO!A9</f>
        <v>Rocío Salario</v>
      </c>
      <c r="J30" s="422" t="s">
        <v>368</v>
      </c>
      <c r="K30" s="423"/>
      <c r="L30" s="231"/>
      <c r="M30" s="1"/>
      <c r="R30" s="3"/>
    </row>
    <row r="31" spans="1:18" ht="15.75">
      <c r="A31" s="112">
        <f>H31+(B31-SUM(D31:F31))</f>
        <v>10</v>
      </c>
      <c r="B31" s="134">
        <v>10</v>
      </c>
      <c r="C31" s="16" t="s">
        <v>803</v>
      </c>
      <c r="D31" s="137"/>
      <c r="E31" s="138"/>
      <c r="F31" s="138"/>
      <c r="G31" s="16"/>
      <c r="H31" s="112"/>
      <c r="I31" s="420"/>
      <c r="J31" s="424"/>
      <c r="K31" s="425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420"/>
      <c r="J32" s="424"/>
      <c r="K32" s="425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419" t="s">
        <v>212</v>
      </c>
      <c r="J35" s="422"/>
      <c r="K35" s="423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1815.86</v>
      </c>
      <c r="B40" s="135">
        <f>SUM(B26:B39)</f>
        <v>1163</v>
      </c>
      <c r="C40" s="17" t="s">
        <v>51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51</v>
      </c>
      <c r="H40" s="112">
        <v>652.8599999999999</v>
      </c>
      <c r="I40" s="419" t="str">
        <f>AÑO!A11</f>
        <v>Finanazas</v>
      </c>
      <c r="J40" s="422"/>
      <c r="K40" s="423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Supermercado</v>
      </c>
      <c r="C42" s="409"/>
      <c r="D42" s="409"/>
      <c r="E42" s="409"/>
      <c r="F42" s="409"/>
      <c r="G42" s="410"/>
      <c r="H42" s="112"/>
      <c r="I42" s="420"/>
      <c r="J42" s="424"/>
      <c r="K42" s="425"/>
      <c r="L42" s="22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12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8" t="s">
        <v>9</v>
      </c>
      <c r="E44" s="408"/>
      <c r="F44" s="408"/>
      <c r="G44" s="401"/>
      <c r="H44" s="112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12"/>
      <c r="I45" s="419" t="str">
        <f>AÑO!A12</f>
        <v>Regalos</v>
      </c>
      <c r="J45" s="422"/>
      <c r="K45" s="423"/>
      <c r="L45" s="231"/>
      <c r="M45" s="112"/>
      <c r="R45" s="3"/>
    </row>
    <row r="46" spans="1:18" ht="15.75">
      <c r="A46" s="1"/>
      <c r="B46" s="133">
        <v>315</v>
      </c>
      <c r="C46" s="19"/>
      <c r="D46" s="137"/>
      <c r="E46" s="138"/>
      <c r="F46" s="138"/>
      <c r="G46" s="30"/>
      <c r="H46" s="112"/>
      <c r="I46" s="420"/>
      <c r="J46" s="424"/>
      <c r="K46" s="425"/>
      <c r="L46" s="229"/>
      <c r="M46" s="1"/>
      <c r="R46" s="3"/>
    </row>
    <row r="47" spans="1:18" ht="15.75">
      <c r="A47" s="1"/>
      <c r="B47" s="134"/>
      <c r="C47" s="16"/>
      <c r="D47" s="137"/>
      <c r="E47" s="138"/>
      <c r="F47" s="138"/>
      <c r="G47" s="16"/>
      <c r="H47" s="112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12"/>
      <c r="I48" s="420"/>
      <c r="J48" s="424"/>
      <c r="K48" s="425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12"/>
      <c r="I49" s="421"/>
      <c r="J49" s="426"/>
      <c r="K49" s="427"/>
      <c r="L49" s="230"/>
      <c r="M49" s="1"/>
      <c r="R49" s="3"/>
    </row>
    <row r="50" spans="1:18" ht="15.75">
      <c r="A50" s="1"/>
      <c r="B50" s="134"/>
      <c r="C50" s="16"/>
      <c r="D50" s="137"/>
      <c r="E50" s="138"/>
      <c r="F50" s="138"/>
      <c r="G50" s="16"/>
      <c r="H50" s="112"/>
      <c r="I50" s="419" t="str">
        <f>AÑO!A13</f>
        <v>Gubernamental</v>
      </c>
      <c r="J50" s="422" t="s">
        <v>849</v>
      </c>
      <c r="K50" s="423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12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12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12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12"/>
      <c r="I54" s="421"/>
      <c r="J54" s="426"/>
      <c r="K54" s="427"/>
      <c r="L54" s="230"/>
      <c r="M54" s="1"/>
      <c r="R54" s="3"/>
    </row>
    <row r="55" spans="1:18" ht="15.75">
      <c r="A55" s="1"/>
      <c r="B55" s="134"/>
      <c r="C55" s="16"/>
      <c r="D55" s="137"/>
      <c r="E55" s="138"/>
      <c r="F55" s="138"/>
      <c r="G55" s="16"/>
      <c r="H55" s="112"/>
      <c r="I55" s="419" t="str">
        <f>AÑO!A14</f>
        <v>Mutualite/DKV</v>
      </c>
      <c r="J55" s="422"/>
      <c r="K55" s="423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12"/>
      <c r="I56" s="420"/>
      <c r="J56" s="424"/>
      <c r="K56" s="425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12"/>
      <c r="I57" s="420"/>
      <c r="J57" s="424"/>
      <c r="K57" s="425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12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421"/>
      <c r="J59" s="426"/>
      <c r="K59" s="427"/>
      <c r="L59" s="230"/>
      <c r="M59" s="1"/>
      <c r="R59" s="3"/>
    </row>
    <row r="60" spans="1:18" ht="16.5" thickBot="1">
      <c r="A60" s="1"/>
      <c r="B60" s="135">
        <f>SUM(B46:B59)</f>
        <v>315</v>
      </c>
      <c r="C60" s="17" t="s">
        <v>51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51</v>
      </c>
      <c r="H60" s="112"/>
      <c r="I60" s="419" t="str">
        <f>AÑO!A15</f>
        <v>Alquiler Cartama</v>
      </c>
      <c r="J60" s="422" t="s">
        <v>37</v>
      </c>
      <c r="K60" s="423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12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12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8" t="s">
        <v>9</v>
      </c>
      <c r="E64" s="408"/>
      <c r="F64" s="408"/>
      <c r="G64" s="401"/>
      <c r="H64" s="112"/>
      <c r="I64" s="421"/>
      <c r="J64" s="426"/>
      <c r="K64" s="427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12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H66+(B66-SUM(D66:F78))</f>
        <v>217.13</v>
      </c>
      <c r="B66" s="133">
        <v>175</v>
      </c>
      <c r="C66" s="19" t="s">
        <v>31</v>
      </c>
      <c r="D66" s="137"/>
      <c r="E66" s="138"/>
      <c r="F66" s="138"/>
      <c r="G66" s="19"/>
      <c r="H66" s="112">
        <v>42.13</v>
      </c>
      <c r="I66" s="420"/>
      <c r="J66" s="424"/>
      <c r="K66" s="425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420"/>
      <c r="J67" s="424"/>
      <c r="K67" s="425"/>
      <c r="L67" s="229"/>
      <c r="M67" s="1"/>
      <c r="R67" s="3"/>
    </row>
    <row r="68" spans="1:18" ht="15.75">
      <c r="A68" s="112"/>
      <c r="B68" s="134"/>
      <c r="C68" s="16"/>
      <c r="D68" s="137"/>
      <c r="E68" s="138"/>
      <c r="F68" s="138"/>
      <c r="G68" s="16"/>
      <c r="H68" s="112"/>
      <c r="I68" s="420"/>
      <c r="J68" s="424"/>
      <c r="K68" s="425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/>
      <c r="G69" s="16"/>
      <c r="H69" s="112"/>
      <c r="I69" s="434"/>
      <c r="J69" s="435"/>
      <c r="K69" s="436"/>
      <c r="L69" s="232"/>
      <c r="M69" s="1"/>
      <c r="R69" s="3"/>
    </row>
    <row r="70" spans="1:18" ht="15.75">
      <c r="A70" s="112"/>
      <c r="B70" s="134"/>
      <c r="C70" s="16"/>
      <c r="D70" s="137"/>
      <c r="E70" s="138"/>
      <c r="F70" s="138"/>
      <c r="G70" s="16"/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12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12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10</v>
      </c>
      <c r="B79" s="233">
        <v>10</v>
      </c>
      <c r="C79" s="17" t="s">
        <v>230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227.13</v>
      </c>
      <c r="B80" s="135">
        <f>SUM(B66:B79)</f>
        <v>185</v>
      </c>
      <c r="C80" s="17" t="s">
        <v>51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51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12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12"/>
      <c r="M83" s="1"/>
      <c r="R83" s="3"/>
    </row>
    <row r="84" spans="1:18" ht="15.75">
      <c r="A84" s="1"/>
      <c r="B84" s="400" t="s">
        <v>8</v>
      </c>
      <c r="C84" s="401"/>
      <c r="D84" s="408" t="s">
        <v>9</v>
      </c>
      <c r="E84" s="408"/>
      <c r="F84" s="408"/>
      <c r="G84" s="401"/>
      <c r="H84" s="112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12"/>
      <c r="M85" s="1"/>
      <c r="R85" s="3"/>
    </row>
    <row r="86" spans="1:18" ht="15.75">
      <c r="A86" s="1"/>
      <c r="B86" s="133">
        <v>150</v>
      </c>
      <c r="C86" s="19" t="s">
        <v>197</v>
      </c>
      <c r="D86" s="137"/>
      <c r="E86" s="138"/>
      <c r="F86" s="138"/>
      <c r="G86" s="16"/>
      <c r="H86" s="112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12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12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12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51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12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12"/>
      <c r="M103" s="1"/>
      <c r="R103" s="3"/>
    </row>
    <row r="104" spans="1:18" ht="15.75">
      <c r="A104" s="1"/>
      <c r="B104" s="400" t="s">
        <v>8</v>
      </c>
      <c r="C104" s="401"/>
      <c r="D104" s="408" t="s">
        <v>9</v>
      </c>
      <c r="E104" s="408"/>
      <c r="F104" s="408"/>
      <c r="G104" s="401"/>
      <c r="H104" s="112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12" t="s">
        <v>181</v>
      </c>
      <c r="M105" s="1"/>
      <c r="R105" s="3"/>
    </row>
    <row r="106" spans="1:18" ht="15.75">
      <c r="A106" s="112">
        <f>H106+(B106-SUM(D106:F106))</f>
        <v>258.47000000000003</v>
      </c>
      <c r="B106" s="133">
        <v>258.47000000000003</v>
      </c>
      <c r="C106" s="18" t="s">
        <v>42</v>
      </c>
      <c r="D106" s="137"/>
      <c r="E106" s="138"/>
      <c r="F106" s="138"/>
      <c r="G106" s="31" t="s">
        <v>42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70.390000000000015</v>
      </c>
      <c r="B107" s="134">
        <v>69</v>
      </c>
      <c r="C107" s="18" t="s">
        <v>43</v>
      </c>
      <c r="D107" s="137"/>
      <c r="E107" s="138"/>
      <c r="F107" s="138"/>
      <c r="G107" s="31" t="s">
        <v>43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200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A119" s="112">
        <f>H119+(B119-SUM(D119:F119))</f>
        <v>35</v>
      </c>
      <c r="B119" s="135">
        <v>35</v>
      </c>
      <c r="C119" s="17" t="s">
        <v>671</v>
      </c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3567.5500000000006</v>
      </c>
      <c r="B120" s="135">
        <f>SUM(B106:B119)</f>
        <v>440</v>
      </c>
      <c r="C120" s="17" t="s">
        <v>51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51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12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12"/>
      <c r="M123" s="1"/>
      <c r="R123" s="3"/>
    </row>
    <row r="124" spans="1:18" ht="15.75">
      <c r="A124" s="1"/>
      <c r="B124" s="400" t="s">
        <v>8</v>
      </c>
      <c r="C124" s="401"/>
      <c r="D124" s="408" t="s">
        <v>9</v>
      </c>
      <c r="E124" s="408"/>
      <c r="F124" s="408"/>
      <c r="G124" s="401"/>
      <c r="H124" s="112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12"/>
      <c r="M125" s="1"/>
      <c r="R125" s="3"/>
    </row>
    <row r="126" spans="1:18" ht="15.75">
      <c r="A126" s="112">
        <f>H26+(B126-SUM(D126:F126))</f>
        <v>27.5</v>
      </c>
      <c r="B126" s="133">
        <v>27.5</v>
      </c>
      <c r="C126" s="19" t="s">
        <v>44</v>
      </c>
      <c r="D126" s="137"/>
      <c r="E126" s="138"/>
      <c r="F126" s="138"/>
      <c r="G126" s="16" t="s">
        <v>44</v>
      </c>
      <c r="H126" s="112"/>
      <c r="I126" s="89" t="s">
        <v>816</v>
      </c>
      <c r="M126" s="1"/>
      <c r="R126" s="3"/>
    </row>
    <row r="127" spans="1:18" ht="15.75">
      <c r="A127" s="112">
        <f>H27+(B127-SUM(D127:F128))</f>
        <v>27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/>
      <c r="I127" s="113">
        <f>D127+D128</f>
        <v>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12"/>
      <c r="M128" s="1"/>
      <c r="R128" s="3"/>
    </row>
    <row r="129" spans="1:18" ht="15.75">
      <c r="A129" s="112">
        <f t="shared" ref="A129:A130" si="4">H29+(B129-SUM(D129:F129))</f>
        <v>9.18</v>
      </c>
      <c r="B129" s="134">
        <v>8</v>
      </c>
      <c r="C129" s="16" t="s">
        <v>160</v>
      </c>
      <c r="D129" s="137"/>
      <c r="E129" s="138"/>
      <c r="F129" s="138"/>
      <c r="G129" s="16" t="s">
        <v>160</v>
      </c>
      <c r="H129" s="112"/>
      <c r="M129" s="1"/>
      <c r="R129" s="3"/>
    </row>
    <row r="130" spans="1:18" ht="15.75">
      <c r="A130" s="112">
        <f t="shared" si="4"/>
        <v>611.05999999999995</v>
      </c>
      <c r="B130" s="134">
        <f>2.5+15</f>
        <v>17.5</v>
      </c>
      <c r="C130" s="16" t="s">
        <v>825</v>
      </c>
      <c r="D130" s="137"/>
      <c r="E130" s="138"/>
      <c r="F130" s="138"/>
      <c r="G130" s="16"/>
      <c r="H130" s="112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13">
        <f>SUM(A126:A128)</f>
        <v>54.5</v>
      </c>
      <c r="B140" s="135">
        <f>SUM(B126:B139)</f>
        <v>68</v>
      </c>
      <c r="C140" s="17" t="s">
        <v>51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51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12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12"/>
      <c r="M143" s="1"/>
      <c r="R143" s="3"/>
    </row>
    <row r="144" spans="1:18" ht="15.75">
      <c r="A144" s="1"/>
      <c r="B144" s="400" t="s">
        <v>8</v>
      </c>
      <c r="C144" s="401"/>
      <c r="D144" s="408" t="s">
        <v>9</v>
      </c>
      <c r="E144" s="408"/>
      <c r="F144" s="408"/>
      <c r="G144" s="401"/>
      <c r="H144" s="112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12"/>
      <c r="M145" s="1"/>
      <c r="R145" s="3"/>
    </row>
    <row r="146" spans="1:22" ht="15.75">
      <c r="A146" s="1"/>
      <c r="B146" s="133">
        <v>50</v>
      </c>
      <c r="C146" s="19" t="s">
        <v>173</v>
      </c>
      <c r="D146" s="137">
        <v>23.67</v>
      </c>
      <c r="E146" s="138"/>
      <c r="F146" s="138"/>
      <c r="G146" s="16" t="s">
        <v>240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51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8" t="s">
        <v>9</v>
      </c>
      <c r="E164" s="408"/>
      <c r="F164" s="408"/>
      <c r="G164" s="401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/>
      <c r="B166" s="133">
        <v>200</v>
      </c>
      <c r="C166" s="19" t="s">
        <v>31</v>
      </c>
      <c r="D166" s="137"/>
      <c r="E166" s="138"/>
      <c r="F166" s="138"/>
      <c r="G166" s="16"/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/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8" t="s">
        <v>9</v>
      </c>
      <c r="E184" s="408"/>
      <c r="F184" s="408"/>
      <c r="G184" s="401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885</v>
      </c>
      <c r="D186" s="137"/>
      <c r="E186" s="138"/>
      <c r="F186" s="138"/>
      <c r="G186" s="16"/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80</v>
      </c>
      <c r="C200" s="17" t="s">
        <v>51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51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  <c r="H202" s="112"/>
    </row>
    <row r="203" spans="2:12" ht="15" customHeight="1" thickBot="1">
      <c r="B203" s="411"/>
      <c r="C203" s="412"/>
      <c r="D203" s="412"/>
      <c r="E203" s="412"/>
      <c r="F203" s="412"/>
      <c r="G203" s="413"/>
      <c r="H203" s="112"/>
    </row>
    <row r="204" spans="2:12" ht="15.75">
      <c r="B204" s="400" t="s">
        <v>8</v>
      </c>
      <c r="C204" s="401"/>
      <c r="D204" s="408" t="s">
        <v>9</v>
      </c>
      <c r="E204" s="408"/>
      <c r="F204" s="408"/>
      <c r="G204" s="401"/>
      <c r="H204" s="112"/>
    </row>
    <row r="205" spans="2:12" ht="15.75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  <c r="H205" s="112"/>
    </row>
    <row r="206" spans="2:12" ht="15.75">
      <c r="B206" s="133">
        <v>35</v>
      </c>
      <c r="C206" s="19"/>
      <c r="D206" s="137"/>
      <c r="E206" s="138"/>
      <c r="F206" s="138"/>
      <c r="G206" s="16"/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402" t="str">
        <f>AÑO!A31</f>
        <v>Deportes</v>
      </c>
      <c r="C222" s="409"/>
      <c r="D222" s="409"/>
      <c r="E222" s="409"/>
      <c r="F222" s="409"/>
      <c r="G222" s="410"/>
      <c r="H222" s="112"/>
    </row>
    <row r="223" spans="2:8" ht="15" customHeight="1" thickBot="1">
      <c r="B223" s="411"/>
      <c r="C223" s="412"/>
      <c r="D223" s="412"/>
      <c r="E223" s="412"/>
      <c r="F223" s="412"/>
      <c r="G223" s="413"/>
      <c r="H223" s="112"/>
    </row>
    <row r="224" spans="2:8" ht="15.75">
      <c r="B224" s="400" t="s">
        <v>8</v>
      </c>
      <c r="C224" s="401"/>
      <c r="D224" s="408" t="s">
        <v>9</v>
      </c>
      <c r="E224" s="408"/>
      <c r="F224" s="408"/>
      <c r="G224" s="401"/>
      <c r="H224" s="112"/>
    </row>
    <row r="225" spans="2:8" ht="15.75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  <c r="H225" s="112"/>
    </row>
    <row r="226" spans="2:8" ht="15.75">
      <c r="B226" s="133">
        <v>20</v>
      </c>
      <c r="C226" s="19" t="s">
        <v>41</v>
      </c>
      <c r="D226" s="137"/>
      <c r="E226" s="138"/>
      <c r="F226" s="138"/>
      <c r="G226" s="16" t="s">
        <v>41</v>
      </c>
      <c r="H226" s="112"/>
    </row>
    <row r="227" spans="2:8" ht="15.75">
      <c r="B227" s="134"/>
      <c r="C227" s="16" t="s">
        <v>40</v>
      </c>
      <c r="D227" s="137"/>
      <c r="E227" s="138"/>
      <c r="F227" s="138"/>
      <c r="G227" s="16"/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  <c r="H240" s="112"/>
    </row>
    <row r="241" spans="1:8" ht="16.5" thickBot="1">
      <c r="B241" s="5"/>
      <c r="C241" s="3"/>
      <c r="D241" s="5"/>
      <c r="E241" s="5"/>
      <c r="H241" s="112"/>
    </row>
    <row r="242" spans="1:8" ht="14.45" customHeight="1">
      <c r="B242" s="402" t="str">
        <f>AÑO!A32</f>
        <v>Hogar</v>
      </c>
      <c r="C242" s="409"/>
      <c r="D242" s="409"/>
      <c r="E242" s="409"/>
      <c r="F242" s="409"/>
      <c r="G242" s="410"/>
      <c r="H242" s="112"/>
    </row>
    <row r="243" spans="1:8" ht="15" customHeight="1" thickBot="1">
      <c r="B243" s="411"/>
      <c r="C243" s="412"/>
      <c r="D243" s="412"/>
      <c r="E243" s="412"/>
      <c r="F243" s="412"/>
      <c r="G243" s="413"/>
      <c r="H243" s="112"/>
    </row>
    <row r="244" spans="1:8" ht="15" customHeight="1">
      <c r="B244" s="400" t="s">
        <v>8</v>
      </c>
      <c r="C244" s="401"/>
      <c r="D244" s="408" t="s">
        <v>9</v>
      </c>
      <c r="E244" s="408"/>
      <c r="F244" s="408"/>
      <c r="G244" s="401"/>
      <c r="H244" s="112"/>
    </row>
    <row r="245" spans="1:8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  <c r="H245" s="112"/>
    </row>
    <row r="246" spans="1:8" ht="15" customHeight="1">
      <c r="A246" s="112">
        <f>H246+(B246-SUM(D246:F255))</f>
        <v>50</v>
      </c>
      <c r="B246" s="134">
        <v>50</v>
      </c>
      <c r="C246" s="27" t="s">
        <v>340</v>
      </c>
      <c r="D246" s="137"/>
      <c r="E246" s="138"/>
      <c r="F246" s="138"/>
      <c r="G246" s="16"/>
      <c r="H246" s="112"/>
    </row>
    <row r="247" spans="1:8" ht="15" customHeight="1">
      <c r="A247" s="112"/>
      <c r="B247" s="134"/>
      <c r="C247" s="16"/>
      <c r="D247" s="137"/>
      <c r="E247" s="138"/>
      <c r="F247" s="138"/>
      <c r="G247" s="16"/>
      <c r="H247" s="112"/>
    </row>
    <row r="248" spans="1:8" ht="15.75">
      <c r="A248" s="112"/>
      <c r="B248" s="134"/>
      <c r="C248" s="16"/>
      <c r="D248" s="137"/>
      <c r="E248" s="138"/>
      <c r="F248" s="138"/>
      <c r="G248" s="16"/>
      <c r="H248" s="112"/>
    </row>
    <row r="249" spans="1:8" ht="15.75">
      <c r="A249" s="112"/>
      <c r="B249" s="134"/>
      <c r="C249" s="16"/>
      <c r="D249" s="137"/>
      <c r="E249" s="138"/>
      <c r="F249" s="138"/>
      <c r="G249" s="16"/>
      <c r="H249" s="112"/>
    </row>
    <row r="250" spans="1:8" ht="15.75">
      <c r="A250" s="112"/>
      <c r="B250" s="134"/>
      <c r="C250" s="16"/>
      <c r="D250" s="137"/>
      <c r="E250" s="138"/>
      <c r="F250" s="138"/>
      <c r="G250" s="16"/>
      <c r="H250" s="112"/>
    </row>
    <row r="251" spans="1:8" ht="15.75">
      <c r="A251" s="112"/>
      <c r="B251" s="134"/>
      <c r="C251" s="16"/>
      <c r="D251" s="137"/>
      <c r="E251" s="138"/>
      <c r="F251" s="138"/>
      <c r="G251" s="16"/>
      <c r="H251" s="112"/>
    </row>
    <row r="252" spans="1:8" ht="15.75">
      <c r="A252" s="112"/>
      <c r="B252" s="134"/>
      <c r="C252" s="16"/>
      <c r="D252" s="137"/>
      <c r="E252" s="138"/>
      <c r="F252" s="138"/>
      <c r="G252" s="16"/>
      <c r="H252" s="112"/>
    </row>
    <row r="253" spans="1:8" ht="15.75">
      <c r="A253" s="112"/>
      <c r="B253" s="134"/>
      <c r="C253" s="16"/>
      <c r="D253" s="137"/>
      <c r="E253" s="138"/>
      <c r="F253" s="138"/>
      <c r="G253" s="16"/>
      <c r="H253" s="112"/>
    </row>
    <row r="254" spans="1:8" ht="15.75">
      <c r="A254" s="112"/>
      <c r="B254" s="134"/>
      <c r="C254" s="16"/>
      <c r="D254" s="137"/>
      <c r="E254" s="138"/>
      <c r="F254" s="138"/>
      <c r="G254" s="16"/>
      <c r="H254" s="112"/>
    </row>
    <row r="255" spans="1:8" ht="15.75">
      <c r="A255" s="112"/>
      <c r="B255" s="134"/>
      <c r="C255" s="16"/>
      <c r="D255" s="137"/>
      <c r="E255" s="138"/>
      <c r="F255" s="138"/>
      <c r="G255" s="16"/>
      <c r="H255" s="112"/>
    </row>
    <row r="256" spans="1:8" ht="15.75">
      <c r="A256" s="112">
        <f>H256+(B256-SUM(D256:F256))</f>
        <v>0</v>
      </c>
      <c r="B256" s="134">
        <f>0</f>
        <v>0</v>
      </c>
      <c r="C256" s="16" t="s">
        <v>347</v>
      </c>
      <c r="D256" s="137"/>
      <c r="E256" s="138"/>
      <c r="F256" s="138"/>
      <c r="G256" s="16"/>
      <c r="H256" s="112"/>
    </row>
    <row r="257" spans="1:9" ht="15.75">
      <c r="A257" s="112">
        <f>H257+(B257-SUM(D257:F257))</f>
        <v>0</v>
      </c>
      <c r="B257" s="134">
        <f>0</f>
        <v>0</v>
      </c>
      <c r="C257" s="16" t="s">
        <v>886</v>
      </c>
      <c r="D257" s="137"/>
      <c r="E257" s="138"/>
      <c r="F257" s="138"/>
      <c r="G257" s="16" t="s">
        <v>343</v>
      </c>
      <c r="H257" s="112"/>
      <c r="I257" s="89">
        <f>1208-(100.67*8)</f>
        <v>402.64</v>
      </c>
    </row>
    <row r="258" spans="1:9" ht="15.75">
      <c r="A258" s="112"/>
      <c r="B258" s="134"/>
      <c r="C258" s="16"/>
      <c r="D258" s="137"/>
      <c r="E258" s="138"/>
      <c r="F258" s="138"/>
      <c r="G258" s="16"/>
      <c r="H258" s="112"/>
    </row>
    <row r="259" spans="1:9" ht="16.5" thickBot="1">
      <c r="A259" s="112"/>
      <c r="B259" s="135"/>
      <c r="C259" s="17"/>
      <c r="D259" s="135"/>
      <c r="E259" s="139"/>
      <c r="F259" s="139"/>
      <c r="G259" s="17"/>
      <c r="H259" s="112"/>
    </row>
    <row r="260" spans="1:9" ht="16.5" thickBot="1">
      <c r="A260" s="112">
        <f>SUM(A246:A259)</f>
        <v>50</v>
      </c>
      <c r="B260" s="135">
        <f>SUM(B246:B259)</f>
        <v>50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  <c r="H260" s="112"/>
    </row>
    <row r="261" spans="1:9" ht="16.5" thickBot="1">
      <c r="B261" s="5"/>
      <c r="C261" s="3"/>
      <c r="D261" s="5"/>
      <c r="E261" s="5"/>
      <c r="H261" s="112"/>
    </row>
    <row r="262" spans="1:9" ht="14.45" customHeight="1">
      <c r="B262" s="402" t="str">
        <f>AÑO!A33</f>
        <v>Formación</v>
      </c>
      <c r="C262" s="409"/>
      <c r="D262" s="409"/>
      <c r="E262" s="409"/>
      <c r="F262" s="409"/>
      <c r="G262" s="410"/>
      <c r="H262" s="112"/>
    </row>
    <row r="263" spans="1:9" ht="15" customHeight="1" thickBot="1">
      <c r="B263" s="411"/>
      <c r="C263" s="412"/>
      <c r="D263" s="412"/>
      <c r="E263" s="412"/>
      <c r="F263" s="412"/>
      <c r="G263" s="413"/>
      <c r="H263" s="112"/>
    </row>
    <row r="264" spans="1:9" ht="15.75">
      <c r="B264" s="400" t="s">
        <v>8</v>
      </c>
      <c r="C264" s="401"/>
      <c r="D264" s="408" t="s">
        <v>9</v>
      </c>
      <c r="E264" s="408"/>
      <c r="F264" s="408"/>
      <c r="G264" s="401"/>
      <c r="H264" s="112"/>
    </row>
    <row r="265" spans="1:9" ht="15.75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  <c r="H265" s="112"/>
    </row>
    <row r="266" spans="1:9" ht="15.75">
      <c r="B266" s="133">
        <v>40</v>
      </c>
      <c r="C266" s="19"/>
      <c r="D266" s="137"/>
      <c r="E266" s="138"/>
      <c r="F266" s="138"/>
      <c r="G266" s="16"/>
      <c r="H266" s="112"/>
    </row>
    <row r="267" spans="1:9" ht="15.75">
      <c r="B267" s="134"/>
      <c r="C267" s="16"/>
      <c r="D267" s="137"/>
      <c r="E267" s="138"/>
      <c r="F267" s="138"/>
      <c r="G267" s="16"/>
      <c r="H267" s="112"/>
    </row>
    <row r="268" spans="1:9" ht="15.75">
      <c r="B268" s="134"/>
      <c r="C268" s="16"/>
      <c r="D268" s="137"/>
      <c r="E268" s="138"/>
      <c r="F268" s="138"/>
      <c r="G268" s="16"/>
      <c r="H268" s="112"/>
    </row>
    <row r="269" spans="1:9" ht="15.75">
      <c r="B269" s="134"/>
      <c r="C269" s="16"/>
      <c r="D269" s="137"/>
      <c r="E269" s="138"/>
      <c r="F269" s="138"/>
      <c r="G269" s="16"/>
      <c r="H269" s="112"/>
    </row>
    <row r="270" spans="1:9" ht="15.75">
      <c r="B270" s="134"/>
      <c r="C270" s="16"/>
      <c r="D270" s="137"/>
      <c r="E270" s="138"/>
      <c r="F270" s="138"/>
      <c r="G270" s="16"/>
      <c r="H270" s="112"/>
    </row>
    <row r="271" spans="1:9" ht="15.75">
      <c r="B271" s="134"/>
      <c r="C271" s="16"/>
      <c r="D271" s="137"/>
      <c r="E271" s="138"/>
      <c r="F271" s="138"/>
      <c r="G271" s="16"/>
      <c r="H271" s="112"/>
    </row>
    <row r="272" spans="1:9" ht="15.75">
      <c r="B272" s="134"/>
      <c r="C272" s="16"/>
      <c r="D272" s="137"/>
      <c r="E272" s="138"/>
      <c r="F272" s="138"/>
      <c r="G272" s="16"/>
      <c r="H272" s="112"/>
    </row>
    <row r="273" spans="1:8" ht="15.75">
      <c r="B273" s="134"/>
      <c r="C273" s="16"/>
      <c r="D273" s="137"/>
      <c r="E273" s="138"/>
      <c r="F273" s="138"/>
      <c r="G273" s="16"/>
      <c r="H273" s="112"/>
    </row>
    <row r="274" spans="1:8" ht="15.75">
      <c r="B274" s="134"/>
      <c r="C274" s="16"/>
      <c r="D274" s="137"/>
      <c r="E274" s="138"/>
      <c r="F274" s="138"/>
      <c r="G274" s="16"/>
      <c r="H274" s="112"/>
    </row>
    <row r="275" spans="1:8" ht="15.75">
      <c r="B275" s="134"/>
      <c r="C275" s="16"/>
      <c r="D275" s="137"/>
      <c r="E275" s="138"/>
      <c r="F275" s="138"/>
      <c r="G275" s="16"/>
      <c r="H275" s="112"/>
    </row>
    <row r="276" spans="1:8" ht="15.75">
      <c r="B276" s="134"/>
      <c r="C276" s="16"/>
      <c r="D276" s="137"/>
      <c r="E276" s="138"/>
      <c r="F276" s="138"/>
      <c r="G276" s="16"/>
      <c r="H276" s="112"/>
    </row>
    <row r="277" spans="1:8" ht="15.75">
      <c r="B277" s="134"/>
      <c r="C277" s="16"/>
      <c r="D277" s="137"/>
      <c r="E277" s="138"/>
      <c r="F277" s="138"/>
      <c r="G277" s="16"/>
      <c r="H277" s="112"/>
    </row>
    <row r="278" spans="1:8" ht="15.75">
      <c r="B278" s="134"/>
      <c r="C278" s="16"/>
      <c r="D278" s="137"/>
      <c r="E278" s="138"/>
      <c r="F278" s="138"/>
      <c r="G278" s="16"/>
      <c r="H278" s="112"/>
    </row>
    <row r="279" spans="1:8" ht="16.5" thickBot="1">
      <c r="B279" s="135"/>
      <c r="C279" s="17"/>
      <c r="D279" s="135"/>
      <c r="E279" s="139"/>
      <c r="F279" s="139"/>
      <c r="G279" s="17"/>
      <c r="H279" s="112"/>
    </row>
    <row r="280" spans="1:8" ht="16.5" thickBot="1">
      <c r="B280" s="135">
        <f>SUM(B266:B279)</f>
        <v>40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  <c r="H280" s="112"/>
    </row>
    <row r="281" spans="1:8" ht="16.5" thickBot="1">
      <c r="B281" s="5"/>
      <c r="C281" s="3"/>
      <c r="D281" s="5"/>
      <c r="E281" s="5"/>
      <c r="H281" s="112"/>
    </row>
    <row r="282" spans="1:8" ht="14.45" customHeight="1">
      <c r="B282" s="402" t="str">
        <f>AÑO!A34</f>
        <v>Regalos</v>
      </c>
      <c r="C282" s="409"/>
      <c r="D282" s="409"/>
      <c r="E282" s="409"/>
      <c r="F282" s="409"/>
      <c r="G282" s="410"/>
      <c r="H282" s="112"/>
    </row>
    <row r="283" spans="1:8" ht="15" customHeight="1" thickBot="1">
      <c r="B283" s="411"/>
      <c r="C283" s="412"/>
      <c r="D283" s="412"/>
      <c r="E283" s="412"/>
      <c r="F283" s="412"/>
      <c r="G283" s="413"/>
      <c r="H283" s="112"/>
    </row>
    <row r="284" spans="1:8" ht="15.75">
      <c r="B284" s="400" t="s">
        <v>8</v>
      </c>
      <c r="C284" s="401"/>
      <c r="D284" s="408" t="s">
        <v>9</v>
      </c>
      <c r="E284" s="408"/>
      <c r="F284" s="408"/>
      <c r="G284" s="401"/>
      <c r="H284" s="112"/>
    </row>
    <row r="285" spans="1:8" ht="15.75">
      <c r="A285" s="1" t="s">
        <v>181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  <c r="H285" s="112"/>
    </row>
    <row r="286" spans="1:8" ht="15.75">
      <c r="A286" s="112">
        <f>H286+(SUM(B286:B298)-SUM(D286:F298))</f>
        <v>50</v>
      </c>
      <c r="B286" s="133">
        <v>50</v>
      </c>
      <c r="C286" s="19" t="s">
        <v>31</v>
      </c>
      <c r="D286" s="137"/>
      <c r="E286" s="138"/>
      <c r="F286" s="138"/>
      <c r="G286" s="16"/>
      <c r="H286" s="112"/>
    </row>
    <row r="287" spans="1:8" ht="15.75">
      <c r="A287" s="112"/>
      <c r="B287" s="134"/>
      <c r="C287" s="16"/>
      <c r="D287" s="137"/>
      <c r="E287" s="138"/>
      <c r="F287" s="138"/>
      <c r="G287" s="16"/>
      <c r="H287" s="112"/>
    </row>
    <row r="288" spans="1:8" ht="15.75">
      <c r="A288" s="112"/>
      <c r="B288" s="134"/>
      <c r="C288" s="16"/>
      <c r="D288" s="137"/>
      <c r="E288" s="138"/>
      <c r="F288" s="138"/>
      <c r="G288" s="16"/>
      <c r="H288" s="112"/>
    </row>
    <row r="289" spans="1:8" ht="15.75">
      <c r="A289" s="112"/>
      <c r="B289" s="134"/>
      <c r="C289" s="16"/>
      <c r="D289" s="137"/>
      <c r="E289" s="138"/>
      <c r="F289" s="138"/>
      <c r="G289" s="16"/>
      <c r="H289" s="112"/>
    </row>
    <row r="290" spans="1:8" ht="15.75">
      <c r="A290" s="112"/>
      <c r="B290" s="134"/>
      <c r="C290" s="16"/>
      <c r="D290" s="137"/>
      <c r="E290" s="138"/>
      <c r="F290" s="138"/>
      <c r="G290" s="16"/>
      <c r="H290" s="112"/>
    </row>
    <row r="291" spans="1:8" ht="15.75">
      <c r="A291" s="112"/>
      <c r="B291" s="134"/>
      <c r="C291" s="16"/>
      <c r="D291" s="137"/>
      <c r="E291" s="138"/>
      <c r="F291" s="138"/>
      <c r="G291" s="16"/>
      <c r="H291" s="112"/>
    </row>
    <row r="292" spans="1:8" ht="15.75">
      <c r="A292" s="112"/>
      <c r="B292" s="134"/>
      <c r="C292" s="16"/>
      <c r="D292" s="137"/>
      <c r="E292" s="138"/>
      <c r="F292" s="138"/>
      <c r="G292" s="16"/>
      <c r="H292" s="112"/>
    </row>
    <row r="293" spans="1:8" ht="15.75">
      <c r="A293" s="112"/>
      <c r="B293" s="134"/>
      <c r="C293" s="16"/>
      <c r="D293" s="137"/>
      <c r="E293" s="138"/>
      <c r="F293" s="138"/>
      <c r="G293" s="16"/>
      <c r="H293" s="112"/>
    </row>
    <row r="294" spans="1:8" ht="15.75">
      <c r="A294" s="112"/>
      <c r="B294" s="134"/>
      <c r="C294" s="16"/>
      <c r="D294" s="137"/>
      <c r="E294" s="138"/>
      <c r="F294" s="138"/>
      <c r="G294" s="16"/>
      <c r="H294" s="112"/>
    </row>
    <row r="295" spans="1:8" ht="15.75">
      <c r="A295" s="112"/>
      <c r="B295" s="134"/>
      <c r="C295" s="16"/>
      <c r="D295" s="137"/>
      <c r="E295" s="138"/>
      <c r="F295" s="138"/>
      <c r="G295" s="16"/>
      <c r="H295" s="112"/>
    </row>
    <row r="296" spans="1:8" ht="15.75">
      <c r="A296" s="112"/>
      <c r="B296" s="134"/>
      <c r="C296" s="16"/>
      <c r="D296" s="137"/>
      <c r="E296" s="138"/>
      <c r="F296" s="138"/>
      <c r="G296" s="16"/>
      <c r="H296" s="112"/>
    </row>
    <row r="297" spans="1:8" ht="15.75">
      <c r="A297" s="112"/>
      <c r="B297" s="134"/>
      <c r="C297" s="16"/>
      <c r="D297" s="137"/>
      <c r="E297" s="138"/>
      <c r="F297" s="138"/>
      <c r="G297" s="16"/>
      <c r="H297" s="112"/>
    </row>
    <row r="298" spans="1:8" ht="15.75">
      <c r="A298" s="112"/>
      <c r="B298" s="134"/>
      <c r="C298" s="16"/>
      <c r="D298" s="137"/>
      <c r="E298" s="138"/>
      <c r="F298" s="138"/>
      <c r="G298" s="16"/>
      <c r="H298" s="112"/>
    </row>
    <row r="299" spans="1:8" ht="16.5" thickBot="1">
      <c r="A299" s="112">
        <f>H299+(B299-SUM(D299:F299))</f>
        <v>45</v>
      </c>
      <c r="B299" s="135">
        <f>40+5</f>
        <v>45</v>
      </c>
      <c r="C299" s="17" t="s">
        <v>887</v>
      </c>
      <c r="D299" s="135"/>
      <c r="E299" s="139"/>
      <c r="F299" s="139"/>
      <c r="G299" s="17"/>
      <c r="H299" s="112"/>
    </row>
    <row r="300" spans="1:8" ht="16.5" thickBot="1">
      <c r="A300" s="112">
        <f>SUM(A286:A299)</f>
        <v>95</v>
      </c>
      <c r="B300" s="135">
        <f>SUM(B286:B299)</f>
        <v>95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  <c r="H300" s="112"/>
    </row>
    <row r="301" spans="1:8" ht="16.5" thickBot="1">
      <c r="B301" s="5"/>
      <c r="C301" s="3"/>
      <c r="D301" s="5"/>
      <c r="E301" s="5"/>
      <c r="H301" s="112"/>
    </row>
    <row r="302" spans="1:8" ht="14.45" customHeight="1">
      <c r="B302" s="402" t="str">
        <f>AÑO!A35</f>
        <v>Salud</v>
      </c>
      <c r="C302" s="409"/>
      <c r="D302" s="409"/>
      <c r="E302" s="409"/>
      <c r="F302" s="409"/>
      <c r="G302" s="410"/>
      <c r="H302" s="112"/>
    </row>
    <row r="303" spans="1:8" ht="15" customHeight="1" thickBot="1">
      <c r="B303" s="411"/>
      <c r="C303" s="412"/>
      <c r="D303" s="412"/>
      <c r="E303" s="412"/>
      <c r="F303" s="412"/>
      <c r="G303" s="413"/>
      <c r="H303" s="112"/>
    </row>
    <row r="304" spans="1:8" ht="15.75">
      <c r="B304" s="400" t="s">
        <v>8</v>
      </c>
      <c r="C304" s="401"/>
      <c r="D304" s="408" t="s">
        <v>9</v>
      </c>
      <c r="E304" s="408"/>
      <c r="F304" s="408"/>
      <c r="G304" s="401"/>
      <c r="H304" s="112"/>
    </row>
    <row r="305" spans="2:8" ht="15.75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  <c r="H305" s="112"/>
    </row>
    <row r="306" spans="2:8" ht="15.75">
      <c r="B306" s="133">
        <v>130</v>
      </c>
      <c r="C306" s="19" t="s">
        <v>226</v>
      </c>
      <c r="D306" s="137"/>
      <c r="E306" s="138"/>
      <c r="F306" s="138"/>
      <c r="G306" s="16"/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130</v>
      </c>
      <c r="C320" s="17" t="s">
        <v>51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51</v>
      </c>
      <c r="H320" s="112"/>
    </row>
    <row r="321" spans="2:8" ht="16.5" thickBot="1">
      <c r="H321" s="112"/>
    </row>
    <row r="322" spans="2:8" ht="14.45" customHeight="1">
      <c r="B322" s="402" t="str">
        <f>AÑO!A36</f>
        <v>Nenas</v>
      </c>
      <c r="C322" s="409"/>
      <c r="D322" s="409"/>
      <c r="E322" s="409"/>
      <c r="F322" s="409"/>
      <c r="G322" s="410"/>
      <c r="H322" s="112"/>
    </row>
    <row r="323" spans="2:8" ht="15" customHeight="1" thickBot="1">
      <c r="B323" s="411"/>
      <c r="C323" s="412"/>
      <c r="D323" s="412"/>
      <c r="E323" s="412"/>
      <c r="F323" s="412"/>
      <c r="G323" s="413"/>
      <c r="H323" s="112"/>
    </row>
    <row r="324" spans="2:8" ht="15.75">
      <c r="B324" s="400" t="s">
        <v>8</v>
      </c>
      <c r="C324" s="401"/>
      <c r="D324" s="408" t="s">
        <v>9</v>
      </c>
      <c r="E324" s="408"/>
      <c r="F324" s="408"/>
      <c r="G324" s="401"/>
      <c r="H324" s="112"/>
    </row>
    <row r="325" spans="2:8" ht="15.75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  <c r="H325" s="112"/>
    </row>
    <row r="326" spans="2:8" ht="15.75">
      <c r="B326" s="133">
        <v>90</v>
      </c>
      <c r="C326" s="19"/>
      <c r="D326" s="137"/>
      <c r="E326" s="138"/>
      <c r="F326" s="138"/>
      <c r="G326" s="16"/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402" t="str">
        <f>AÑO!A37</f>
        <v>Imprevistos</v>
      </c>
      <c r="C342" s="409"/>
      <c r="D342" s="409"/>
      <c r="E342" s="409"/>
      <c r="F342" s="409"/>
      <c r="G342" s="410"/>
      <c r="H342" s="112"/>
    </row>
    <row r="343" spans="2:8" ht="15" customHeight="1" thickBot="1">
      <c r="B343" s="411"/>
      <c r="C343" s="412"/>
      <c r="D343" s="412"/>
      <c r="E343" s="412"/>
      <c r="F343" s="412"/>
      <c r="G343" s="413"/>
      <c r="H343" s="112"/>
    </row>
    <row r="344" spans="2:8" ht="15.75">
      <c r="B344" s="400" t="s">
        <v>8</v>
      </c>
      <c r="C344" s="401"/>
      <c r="D344" s="408" t="s">
        <v>9</v>
      </c>
      <c r="E344" s="408"/>
      <c r="F344" s="408"/>
      <c r="G344" s="401"/>
      <c r="H344" s="112"/>
    </row>
    <row r="345" spans="2:8" ht="15.75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  <c r="H345" s="112"/>
    </row>
    <row r="346" spans="2:8" ht="15.75">
      <c r="B346" s="133">
        <v>0</v>
      </c>
      <c r="C346" s="19" t="s">
        <v>195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0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402" t="str">
        <f>AÑO!A38</f>
        <v>Gastos Curros</v>
      </c>
      <c r="C362" s="409"/>
      <c r="D362" s="409"/>
      <c r="E362" s="409"/>
      <c r="F362" s="409"/>
      <c r="G362" s="410"/>
      <c r="H362" s="112"/>
    </row>
    <row r="363" spans="2:8" ht="15" customHeight="1" thickBot="1">
      <c r="B363" s="411"/>
      <c r="C363" s="412"/>
      <c r="D363" s="412"/>
      <c r="E363" s="412"/>
      <c r="F363" s="412"/>
      <c r="G363" s="413"/>
      <c r="H363" s="112"/>
    </row>
    <row r="364" spans="2:8" ht="15.75">
      <c r="B364" s="400" t="s">
        <v>8</v>
      </c>
      <c r="C364" s="401"/>
      <c r="D364" s="408" t="s">
        <v>9</v>
      </c>
      <c r="E364" s="408"/>
      <c r="F364" s="408"/>
      <c r="G364" s="401"/>
      <c r="H364" s="112"/>
    </row>
    <row r="365" spans="2:8" ht="15.75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  <c r="H365" s="112"/>
    </row>
    <row r="366" spans="2:8" ht="15.75">
      <c r="B366" s="133">
        <v>60</v>
      </c>
      <c r="C366" s="19" t="s">
        <v>31</v>
      </c>
      <c r="D366" s="137"/>
      <c r="E366" s="138"/>
      <c r="F366" s="138"/>
      <c r="G366" s="31" t="s">
        <v>65</v>
      </c>
      <c r="H366" s="112"/>
    </row>
    <row r="367" spans="2:8" ht="15.75">
      <c r="B367" s="134"/>
      <c r="C367" s="16"/>
      <c r="D367" s="137"/>
      <c r="E367" s="138"/>
      <c r="F367" s="138"/>
      <c r="G367" s="31"/>
      <c r="H367" s="112"/>
    </row>
    <row r="368" spans="2:8" ht="15.75">
      <c r="B368" s="134"/>
      <c r="C368" s="16"/>
      <c r="D368" s="137"/>
      <c r="E368" s="138"/>
      <c r="F368" s="138"/>
      <c r="G368" s="16"/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60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51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402" t="str">
        <f>AÑO!A39</f>
        <v>Dreamed Holidays</v>
      </c>
      <c r="C382" s="409"/>
      <c r="D382" s="409"/>
      <c r="E382" s="409"/>
      <c r="F382" s="409"/>
      <c r="G382" s="410"/>
      <c r="H382" s="112"/>
    </row>
    <row r="383" spans="2:8" ht="15" customHeight="1" thickBot="1">
      <c r="B383" s="411"/>
      <c r="C383" s="412"/>
      <c r="D383" s="412"/>
      <c r="E383" s="412"/>
      <c r="F383" s="412"/>
      <c r="G383" s="413"/>
      <c r="H383" s="112"/>
    </row>
    <row r="384" spans="2:8" ht="15.75">
      <c r="B384" s="400" t="s">
        <v>8</v>
      </c>
      <c r="C384" s="401"/>
      <c r="D384" s="408" t="s">
        <v>9</v>
      </c>
      <c r="E384" s="408"/>
      <c r="F384" s="408"/>
      <c r="G384" s="401"/>
      <c r="H384" s="112"/>
    </row>
    <row r="385" spans="2:8" ht="15.75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  <c r="H385" s="112"/>
    </row>
    <row r="386" spans="2:8" ht="15.75">
      <c r="B386" s="133">
        <v>10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10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402" t="str">
        <f>AÑO!A40</f>
        <v>Financieros</v>
      </c>
      <c r="C402" s="409"/>
      <c r="D402" s="409"/>
      <c r="E402" s="409"/>
      <c r="F402" s="409"/>
      <c r="G402" s="410"/>
      <c r="H402" s="112"/>
    </row>
    <row r="403" spans="2:8" ht="15" customHeight="1" thickBot="1">
      <c r="B403" s="411"/>
      <c r="C403" s="412"/>
      <c r="D403" s="412"/>
      <c r="E403" s="412"/>
      <c r="F403" s="412"/>
      <c r="G403" s="413"/>
      <c r="H403" s="112"/>
    </row>
    <row r="404" spans="2:8" ht="15.75">
      <c r="B404" s="400" t="s">
        <v>8</v>
      </c>
      <c r="C404" s="401"/>
      <c r="D404" s="408" t="s">
        <v>9</v>
      </c>
      <c r="E404" s="408"/>
      <c r="F404" s="408"/>
      <c r="G404" s="401"/>
      <c r="H404" s="112"/>
    </row>
    <row r="405" spans="2:8" ht="15.75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  <c r="H405" s="112"/>
    </row>
    <row r="406" spans="2:8" ht="15.75">
      <c r="B406" s="133">
        <v>50</v>
      </c>
      <c r="C406" s="19"/>
      <c r="D406" s="137"/>
      <c r="E406" s="138"/>
      <c r="F406" s="138"/>
      <c r="G406" s="16"/>
      <c r="H406" s="112"/>
    </row>
    <row r="407" spans="2:8" ht="15.75">
      <c r="B407" s="134"/>
      <c r="C407" s="16"/>
      <c r="D407" s="137"/>
      <c r="E407" s="138"/>
      <c r="F407" s="138"/>
      <c r="G407" s="16"/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50</v>
      </c>
      <c r="C420" s="17" t="s">
        <v>51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51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402" t="str">
        <f>AÑO!A41</f>
        <v>Ahorros Colchón</v>
      </c>
      <c r="C422" s="403"/>
      <c r="D422" s="403"/>
      <c r="E422" s="403"/>
      <c r="F422" s="403"/>
      <c r="G422" s="404"/>
      <c r="H422" s="112"/>
    </row>
    <row r="423" spans="1:8" ht="15" customHeight="1" thickBot="1">
      <c r="B423" s="405"/>
      <c r="C423" s="406"/>
      <c r="D423" s="406"/>
      <c r="E423" s="406"/>
      <c r="F423" s="406"/>
      <c r="G423" s="407"/>
      <c r="H423" s="112"/>
    </row>
    <row r="424" spans="1:8" ht="15.75">
      <c r="B424" s="400" t="s">
        <v>8</v>
      </c>
      <c r="C424" s="401"/>
      <c r="D424" s="408" t="s">
        <v>9</v>
      </c>
      <c r="E424" s="408"/>
      <c r="F424" s="408"/>
      <c r="G424" s="401"/>
      <c r="H424" s="112"/>
    </row>
    <row r="425" spans="1:8" ht="15.75">
      <c r="A425" s="113">
        <f>AÑO!C17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  <c r="H425" s="112"/>
    </row>
    <row r="426" spans="1:8" ht="15.75">
      <c r="A426" s="112">
        <v>3900</v>
      </c>
      <c r="B426" s="134">
        <f>A425-SUM(A426:A439)</f>
        <v>-3900</v>
      </c>
      <c r="C426" s="19" t="s">
        <v>227</v>
      </c>
      <c r="D426" s="137"/>
      <c r="E426" s="138"/>
      <c r="F426" s="138"/>
      <c r="G426" s="16"/>
      <c r="H426" s="112"/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-3900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402" t="str">
        <f>AÑO!A42</f>
        <v>Dinero Bloqueado</v>
      </c>
      <c r="C442" s="403"/>
      <c r="D442" s="403"/>
      <c r="E442" s="403"/>
      <c r="F442" s="403"/>
      <c r="G442" s="404"/>
      <c r="H442" s="112"/>
    </row>
    <row r="443" spans="2:8" ht="15" customHeight="1" thickBot="1">
      <c r="B443" s="405"/>
      <c r="C443" s="406"/>
      <c r="D443" s="406"/>
      <c r="E443" s="406"/>
      <c r="F443" s="406"/>
      <c r="G443" s="407"/>
      <c r="H443" s="112"/>
    </row>
    <row r="444" spans="2:8" ht="15.75">
      <c r="B444" s="400" t="s">
        <v>8</v>
      </c>
      <c r="C444" s="401"/>
      <c r="D444" s="408" t="s">
        <v>9</v>
      </c>
      <c r="E444" s="408"/>
      <c r="F444" s="408"/>
      <c r="G444" s="401"/>
      <c r="H444" s="112"/>
    </row>
    <row r="445" spans="2:8" ht="15.75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  <c r="H445" s="112"/>
    </row>
    <row r="446" spans="2:8" ht="15.75">
      <c r="B446" s="133"/>
      <c r="C446" s="19"/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402" t="str">
        <f>AÑO!A43</f>
        <v>NULO</v>
      </c>
      <c r="C462" s="403"/>
      <c r="D462" s="403"/>
      <c r="E462" s="403"/>
      <c r="F462" s="403"/>
      <c r="G462" s="404"/>
      <c r="H462" s="112"/>
    </row>
    <row r="463" spans="2:8" ht="15" customHeight="1" thickBot="1">
      <c r="B463" s="405"/>
      <c r="C463" s="406"/>
      <c r="D463" s="406"/>
      <c r="E463" s="406"/>
      <c r="F463" s="406"/>
      <c r="G463" s="407"/>
      <c r="H463" s="112"/>
    </row>
    <row r="464" spans="2:8" ht="15.75">
      <c r="B464" s="400" t="s">
        <v>8</v>
      </c>
      <c r="C464" s="401"/>
      <c r="D464" s="408" t="s">
        <v>9</v>
      </c>
      <c r="E464" s="408"/>
      <c r="F464" s="408"/>
      <c r="G464" s="401"/>
      <c r="H464" s="112"/>
    </row>
    <row r="465" spans="1:8" ht="15.75"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  <c r="H465" s="112"/>
    </row>
    <row r="466" spans="1:8" ht="15.75">
      <c r="A466" s="112"/>
      <c r="B466" s="134"/>
      <c r="C466" s="16"/>
      <c r="D466" s="137"/>
      <c r="E466" s="138"/>
      <c r="F466" s="138"/>
      <c r="G466" s="16"/>
      <c r="H466" s="112"/>
    </row>
    <row r="467" spans="1:8" ht="15.75">
      <c r="A467" s="112"/>
      <c r="B467" s="134"/>
      <c r="C467" s="16"/>
      <c r="D467" s="137"/>
      <c r="E467" s="138"/>
      <c r="F467" s="138"/>
      <c r="G467" s="16"/>
      <c r="H467" s="112"/>
    </row>
    <row r="468" spans="1:8" ht="15.75">
      <c r="A468" s="112"/>
      <c r="B468" s="134"/>
      <c r="C468" s="16"/>
      <c r="D468" s="137"/>
      <c r="E468" s="138"/>
      <c r="F468" s="138"/>
      <c r="G468" s="16"/>
      <c r="H468" s="112"/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/>
      <c r="B480" s="135">
        <f>SUM(B466:B479)</f>
        <v>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  <c r="H480" s="112"/>
    </row>
    <row r="481" spans="2:8" ht="16.5" thickBot="1">
      <c r="H481" s="112"/>
    </row>
    <row r="482" spans="2:8" ht="14.45" customHeight="1">
      <c r="B482" s="402" t="str">
        <f>AÑO!A44</f>
        <v>NULO</v>
      </c>
      <c r="C482" s="403"/>
      <c r="D482" s="403"/>
      <c r="E482" s="403"/>
      <c r="F482" s="403"/>
      <c r="G482" s="404"/>
      <c r="H482" s="112"/>
    </row>
    <row r="483" spans="2:8" ht="15" customHeight="1" thickBot="1">
      <c r="B483" s="405"/>
      <c r="C483" s="406"/>
      <c r="D483" s="406"/>
      <c r="E483" s="406"/>
      <c r="F483" s="406"/>
      <c r="G483" s="407"/>
      <c r="H483" s="112"/>
    </row>
    <row r="484" spans="2:8" ht="15.75">
      <c r="B484" s="400" t="s">
        <v>8</v>
      </c>
      <c r="C484" s="401"/>
      <c r="D484" s="408" t="s">
        <v>9</v>
      </c>
      <c r="E484" s="408"/>
      <c r="F484" s="408"/>
      <c r="G484" s="401"/>
      <c r="H484" s="112"/>
    </row>
    <row r="485" spans="2:8" ht="15.75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402" t="str">
        <f>AÑO!A45</f>
        <v>OTROS</v>
      </c>
      <c r="C502" s="403"/>
      <c r="D502" s="403"/>
      <c r="E502" s="403"/>
      <c r="F502" s="403"/>
      <c r="G502" s="404"/>
      <c r="H502" s="112"/>
    </row>
    <row r="503" spans="2:8" ht="15" customHeight="1" thickBot="1">
      <c r="B503" s="405"/>
      <c r="C503" s="406"/>
      <c r="D503" s="406"/>
      <c r="E503" s="406"/>
      <c r="F503" s="406"/>
      <c r="G503" s="407"/>
      <c r="H503" s="112"/>
    </row>
    <row r="504" spans="2:8" ht="15.75">
      <c r="B504" s="400" t="s">
        <v>8</v>
      </c>
      <c r="C504" s="401"/>
      <c r="D504" s="408" t="s">
        <v>9</v>
      </c>
      <c r="E504" s="408"/>
      <c r="F504" s="408"/>
      <c r="G504" s="401"/>
      <c r="H504" s="112"/>
    </row>
    <row r="505" spans="2:8" ht="15.75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  <c r="H505" s="112"/>
    </row>
    <row r="506" spans="2:8" ht="15.75">
      <c r="B506" s="133">
        <v>5</v>
      </c>
      <c r="C506" s="19" t="s">
        <v>880</v>
      </c>
      <c r="D506" s="137"/>
      <c r="E506" s="138"/>
      <c r="F506" s="138"/>
      <c r="G506" s="16"/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  <c r="H520" s="112"/>
    </row>
  </sheetData>
  <mergeCells count="151"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</mergeCells>
  <hyperlinks>
    <hyperlink ref="I22" location="Trimestre!C39:F40" display="TELÉFONO" xr:uid="{00000000-0004-0000-0100-000000000000}"/>
    <hyperlink ref="I22:L23" location="AÑO!C7:F17" display="INGRESOS" xr:uid="{00000000-0004-0000-0100-000001000000}"/>
    <hyperlink ref="I2" location="Trimestre!C39:F40" display="TELÉFONO" xr:uid="{00000000-0004-0000-0100-000002000000}"/>
    <hyperlink ref="I2:L3" location="AÑO!C4:F5" display="SALDO REAL" xr:uid="{00000000-0004-0000-0100-000003000000}"/>
    <hyperlink ref="B2" location="Trimestre!C25:F26" display="HIPOTECA" xr:uid="{00000000-0004-0000-0100-000004000000}"/>
    <hyperlink ref="B2:G3" location="AÑO!C20:F20" display="AÑO!C20:F20" xr:uid="{00000000-0004-0000-0100-000005000000}"/>
    <hyperlink ref="B22" location="Trimestre!C25:F26" display="HIPOTECA" xr:uid="{00000000-0004-0000-0100-000006000000}"/>
    <hyperlink ref="B22:G23" location="AÑO!C21:F21" display="AÑO!C21:F21" xr:uid="{00000000-0004-0000-0100-000007000000}"/>
    <hyperlink ref="B42" location="Trimestre!C25:F26" display="HIPOTECA" xr:uid="{00000000-0004-0000-0100-000008000000}"/>
    <hyperlink ref="B42:G43" location="AÑO!C22:F22" display="AÑO!C22:F22" xr:uid="{00000000-0004-0000-0100-000009000000}"/>
    <hyperlink ref="B62" location="Trimestre!C25:F26" display="HIPOTECA" xr:uid="{00000000-0004-0000-0100-00000A000000}"/>
    <hyperlink ref="B62:G63" location="AÑO!C23:F23" display="AÑO!C23:F23" xr:uid="{00000000-0004-0000-0100-00000B000000}"/>
    <hyperlink ref="B82" location="Trimestre!C25:F26" display="HIPOTECA" xr:uid="{00000000-0004-0000-0100-00000C000000}"/>
    <hyperlink ref="B82:G83" location="AÑO!C24:F24" display="AÑO!C24:F24" xr:uid="{00000000-0004-0000-0100-00000D000000}"/>
    <hyperlink ref="B102" location="Trimestre!C25:F26" display="HIPOTECA" xr:uid="{00000000-0004-0000-0100-00000E000000}"/>
    <hyperlink ref="B102:G103" location="AÑO!C25:F25" display="AÑO!C25:F25" xr:uid="{00000000-0004-0000-0100-00000F000000}"/>
    <hyperlink ref="B122" location="Trimestre!C25:F26" display="HIPOTECA" xr:uid="{00000000-0004-0000-0100-000010000000}"/>
    <hyperlink ref="B122:G123" location="AÑO!C26:F26" display="AÑO!C26:F26" xr:uid="{00000000-0004-0000-0100-000011000000}"/>
    <hyperlink ref="B142" location="Trimestre!C25:F26" display="HIPOTECA" xr:uid="{00000000-0004-0000-0100-000012000000}"/>
    <hyperlink ref="B142:G143" location="AÑO!C27:F27" display="AÑO!C27:F27" xr:uid="{00000000-0004-0000-0100-000013000000}"/>
    <hyperlink ref="B162" location="Trimestre!C25:F26" display="HIPOTECA" xr:uid="{00000000-0004-0000-0100-000014000000}"/>
    <hyperlink ref="B162:G163" location="AÑO!C28:F28" display="AÑO!C28:F28" xr:uid="{00000000-0004-0000-0100-000015000000}"/>
    <hyperlink ref="B182" location="Trimestre!C25:F26" display="HIPOTECA" xr:uid="{00000000-0004-0000-0100-000016000000}"/>
    <hyperlink ref="B182:G183" location="AÑO!C29:F29" display="AÑO!C29:F29" xr:uid="{00000000-0004-0000-0100-000017000000}"/>
    <hyperlink ref="B202" location="Trimestre!C25:F26" display="HIPOTECA" xr:uid="{00000000-0004-0000-0100-000018000000}"/>
    <hyperlink ref="B202:G203" location="AÑO!C30:F30" display="AÑO!C30:F30" xr:uid="{00000000-0004-0000-0100-000019000000}"/>
    <hyperlink ref="B222" location="Trimestre!C25:F26" display="HIPOTECA" xr:uid="{00000000-0004-0000-0100-00001A000000}"/>
    <hyperlink ref="B222:G223" location="AÑO!C31:F31" display="AÑO!C31:F31" xr:uid="{00000000-0004-0000-0100-00001B000000}"/>
    <hyperlink ref="B242" location="Trimestre!C25:F26" display="HIPOTECA" xr:uid="{00000000-0004-0000-0100-00001C000000}"/>
    <hyperlink ref="B242:G243" location="AÑO!C32:F32" display="AÑO!C32:F32" xr:uid="{00000000-0004-0000-0100-00001D000000}"/>
    <hyperlink ref="B262" location="Trimestre!C25:F26" display="HIPOTECA" xr:uid="{00000000-0004-0000-0100-00001E000000}"/>
    <hyperlink ref="B282" location="Trimestre!C25:F26" display="HIPOTECA" xr:uid="{00000000-0004-0000-0100-00001F000000}"/>
    <hyperlink ref="B282:G283" location="AÑO!C34:F34" display="AÑO!C34:F34" xr:uid="{00000000-0004-0000-0100-000020000000}"/>
    <hyperlink ref="B302" location="Trimestre!C25:F26" display="HIPOTECA" xr:uid="{00000000-0004-0000-0100-000021000000}"/>
    <hyperlink ref="B302:G303" location="AÑO!C35:F35" display="AÑO!C35:F35" xr:uid="{00000000-0004-0000-0100-000022000000}"/>
    <hyperlink ref="B322" location="Trimestre!C25:F26" display="HIPOTECA" xr:uid="{00000000-0004-0000-0100-000023000000}"/>
    <hyperlink ref="B322:G323" location="AÑO!C36:F36" display="AÑO!C36:F36" xr:uid="{00000000-0004-0000-0100-000024000000}"/>
    <hyperlink ref="B342" location="Trimestre!C25:F26" display="HIPOTECA" xr:uid="{00000000-0004-0000-0100-000025000000}"/>
    <hyperlink ref="B342:G343" location="AÑO!C37:F37" display="AÑO!C37:F37" xr:uid="{00000000-0004-0000-0100-000026000000}"/>
    <hyperlink ref="B362" location="Trimestre!C25:F26" display="HIPOTECA" xr:uid="{00000000-0004-0000-0100-000027000000}"/>
    <hyperlink ref="B362:G363" location="AÑO!C38:F38" display="AÑO!C38:F38" xr:uid="{00000000-0004-0000-0100-000028000000}"/>
    <hyperlink ref="B382" location="Trimestre!C25:F26" display="HIPOTECA" xr:uid="{00000000-0004-0000-0100-000029000000}"/>
    <hyperlink ref="B382:G383" location="AÑO!C39:F39" display="AÑO!C39:F39" xr:uid="{00000000-0004-0000-0100-00002A000000}"/>
    <hyperlink ref="B402" location="Trimestre!C25:F26" display="HIPOTECA" xr:uid="{00000000-0004-0000-0100-00002B000000}"/>
    <hyperlink ref="B402:G403" location="AÑO!C40:F40" display="AÑO!C40:F40" xr:uid="{00000000-0004-0000-0100-00002C000000}"/>
    <hyperlink ref="B422" location="Trimestre!C25:F26" display="HIPOTECA" xr:uid="{00000000-0004-0000-0100-00002D000000}"/>
    <hyperlink ref="B422:G423" location="AÑO!C41:F41" display="AÑO!C41:F41" xr:uid="{00000000-0004-0000-0100-00002E000000}"/>
    <hyperlink ref="B442" location="Trimestre!C25:F26" display="HIPOTECA" xr:uid="{00000000-0004-0000-0100-00002F000000}"/>
    <hyperlink ref="B442:G443" location="AÑO!C42:F42" display="AÑO!C42:F42" xr:uid="{00000000-0004-0000-0100-000030000000}"/>
    <hyperlink ref="B462" location="Trimestre!C25:F26" display="HIPOTECA" xr:uid="{00000000-0004-0000-0100-000031000000}"/>
    <hyperlink ref="B462:G463" location="AÑO!C43:F43" display="AÑO!C43:F43" xr:uid="{00000000-0004-0000-0100-000032000000}"/>
    <hyperlink ref="B482" location="Trimestre!C25:F26" display="HIPOTECA" xr:uid="{00000000-0004-0000-0100-000033000000}"/>
    <hyperlink ref="B482:G483" location="AÑO!C44:F44" display="AÑO!C44:F44" xr:uid="{00000000-0004-0000-0100-000034000000}"/>
    <hyperlink ref="B502" location="Trimestre!C25:F26" display="HIPOTECA" xr:uid="{00000000-0004-0000-0100-000035000000}"/>
    <hyperlink ref="B502:G503" location="AÑO!C45:F45" display="AÑO!C45:F45" xr:uid="{00000000-0004-0000-0100-000036000000}"/>
    <hyperlink ref="B262:G263" location="AÑO!C33:F33" display="AÑO!C33:F33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114" zoomScaleNormal="100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214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8" t="s">
        <v>9</v>
      </c>
      <c r="E4" s="408"/>
      <c r="F4" s="408"/>
      <c r="G4" s="401"/>
      <c r="H4" s="222"/>
      <c r="I4" s="40" t="s">
        <v>55</v>
      </c>
      <c r="J4" s="105" t="s">
        <v>56</v>
      </c>
      <c r="K4" s="428" t="s">
        <v>57</v>
      </c>
      <c r="L4" s="429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0">
        <f>2397.48-4.45</f>
        <v>2393.0300000000002</v>
      </c>
      <c r="L5" s="431"/>
      <c r="M5" s="1"/>
      <c r="N5" s="1"/>
      <c r="R5" s="3"/>
    </row>
    <row r="6" spans="1:22" ht="15.75">
      <c r="A6" s="112">
        <f>'01'!A6+(B6-SUM(D6:F6))</f>
        <v>395.26</v>
      </c>
      <c r="B6" s="133">
        <v>262.38</v>
      </c>
      <c r="C6" s="19" t="s">
        <v>178</v>
      </c>
      <c r="D6" s="137"/>
      <c r="E6" s="138">
        <v>262.38</v>
      </c>
      <c r="F6" s="138"/>
      <c r="G6" s="16" t="s">
        <v>30</v>
      </c>
      <c r="H6" s="1"/>
      <c r="I6" s="108" t="s">
        <v>58</v>
      </c>
      <c r="J6" s="107" t="s">
        <v>60</v>
      </c>
      <c r="K6" s="414">
        <v>620.08000000000004</v>
      </c>
      <c r="L6" s="415"/>
      <c r="M6" s="1" t="s">
        <v>163</v>
      </c>
      <c r="N6" s="1"/>
      <c r="R6" s="3"/>
    </row>
    <row r="7" spans="1:22" ht="15.75">
      <c r="A7" s="112">
        <f>'01'!A7+(B7-SUM(D7:F7))</f>
        <v>576.63999999999987</v>
      </c>
      <c r="B7" s="134">
        <v>70.180000000000007</v>
      </c>
      <c r="C7" s="16" t="s">
        <v>196</v>
      </c>
      <c r="D7" s="137"/>
      <c r="E7" s="138"/>
      <c r="F7" s="138"/>
      <c r="G7" s="16" t="s">
        <v>72</v>
      </c>
      <c r="H7" s="1"/>
      <c r="I7" s="108" t="s">
        <v>61</v>
      </c>
      <c r="J7" s="107" t="s">
        <v>62</v>
      </c>
      <c r="K7" s="414">
        <f>7340.23-4.45</f>
        <v>7335.78</v>
      </c>
      <c r="L7" s="415"/>
      <c r="M7" s="1"/>
      <c r="N7" s="1"/>
      <c r="R7" s="3"/>
    </row>
    <row r="8" spans="1:22" ht="15.75">
      <c r="A8" s="112">
        <f>'01'!A8+(B8-SUM(D8:F8))</f>
        <v>-227.88</v>
      </c>
      <c r="B8" s="134">
        <v>0</v>
      </c>
      <c r="C8" s="16" t="s">
        <v>33</v>
      </c>
      <c r="D8" s="137"/>
      <c r="E8" s="113">
        <v>112.11</v>
      </c>
      <c r="F8" s="138"/>
      <c r="G8" s="16" t="s">
        <v>33</v>
      </c>
      <c r="H8" s="1"/>
      <c r="I8" s="108" t="s">
        <v>61</v>
      </c>
      <c r="J8" s="107" t="s">
        <v>63</v>
      </c>
      <c r="K8" s="414">
        <v>7001.87</v>
      </c>
      <c r="L8" s="415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"/>
      <c r="I9" s="108" t="s">
        <v>61</v>
      </c>
      <c r="J9" s="107" t="s">
        <v>155</v>
      </c>
      <c r="K9" s="414">
        <v>669.52</v>
      </c>
      <c r="L9" s="415"/>
      <c r="M9" s="1"/>
      <c r="N9" s="1"/>
      <c r="R9" s="3"/>
    </row>
    <row r="10" spans="1:22" ht="15.75">
      <c r="A10" s="112">
        <f>'01'!A10+(B10-SUM(D10:F10))</f>
        <v>12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4">
        <v>1802.02</v>
      </c>
      <c r="L10" s="415"/>
      <c r="M10" s="1" t="s">
        <v>154</v>
      </c>
      <c r="N10" s="1"/>
      <c r="R10" s="3"/>
    </row>
    <row r="11" spans="1:22" ht="15.75">
      <c r="A11" s="112">
        <f>'01'!A11+(B11-SUM(D11:F11))</f>
        <v>30.25</v>
      </c>
      <c r="B11" s="134">
        <v>0.02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4">
        <f>160+155</f>
        <v>315</v>
      </c>
      <c r="L11" s="415"/>
      <c r="M11" s="1"/>
      <c r="N11" s="1"/>
      <c r="R11" s="3"/>
    </row>
    <row r="12" spans="1:22" ht="15.75">
      <c r="A12" s="112">
        <f>'01'!A12+(B12-SUM(D12:F12))</f>
        <v>69.54000000000002</v>
      </c>
      <c r="B12" s="134">
        <v>25</v>
      </c>
      <c r="C12" s="16" t="s">
        <v>201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14">
        <v>5092.08</v>
      </c>
      <c r="L12" s="415"/>
      <c r="M12" s="92"/>
      <c r="N12" s="1"/>
      <c r="R12" s="3"/>
    </row>
    <row r="13" spans="1:22" ht="15.75">
      <c r="A13" s="112">
        <f>'01'!A13+(B13-SUM(D13:F13))</f>
        <v>70</v>
      </c>
      <c r="B13" s="134">
        <v>7</v>
      </c>
      <c r="C13" s="16" t="s">
        <v>264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16">
        <f>SUM(K5:K18)</f>
        <v>25229.379999999997</v>
      </c>
      <c r="L19" s="417"/>
      <c r="M19" s="1"/>
      <c r="N19" s="1"/>
      <c r="R19" s="3"/>
    </row>
    <row r="20" spans="1:18" ht="16.5" thickBot="1">
      <c r="A20" s="112">
        <f>SUM(A6:A15)</f>
        <v>925.81</v>
      </c>
      <c r="B20" s="135">
        <f>SUM(B6:B19)</f>
        <v>376.58</v>
      </c>
      <c r="C20" s="17" t="s">
        <v>51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8" t="s">
        <v>9</v>
      </c>
      <c r="E24" s="408"/>
      <c r="F24" s="408"/>
      <c r="G24" s="401"/>
      <c r="H24" s="1"/>
      <c r="I24" s="40" t="s">
        <v>29</v>
      </c>
      <c r="J24" s="432" t="s">
        <v>85</v>
      </c>
      <c r="K24" s="433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19" t="str">
        <f>AÑO!A8</f>
        <v>Manolo Salario</v>
      </c>
      <c r="J25" s="422" t="s">
        <v>339</v>
      </c>
      <c r="K25" s="423"/>
      <c r="L25" s="198">
        <v>2592.42</v>
      </c>
      <c r="M25" s="1"/>
      <c r="R25" s="3"/>
    </row>
    <row r="26" spans="1:18" ht="15.75">
      <c r="A26" s="112">
        <f>'01'!A26+(B26-SUM(D26:F26))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0"/>
      <c r="J26" s="424"/>
      <c r="K26" s="425"/>
      <c r="L26" s="199"/>
      <c r="M26" s="1"/>
      <c r="R26" s="3"/>
    </row>
    <row r="27" spans="1:18" ht="15.75">
      <c r="A27" s="112">
        <f>'01'!A27+(B27-SUM(D27:F27))</f>
        <v>205</v>
      </c>
      <c r="B27" s="134">
        <v>170</v>
      </c>
      <c r="C27" s="27" t="s">
        <v>38</v>
      </c>
      <c r="D27" s="137">
        <v>167</v>
      </c>
      <c r="E27" s="138"/>
      <c r="F27" s="138"/>
      <c r="G27" s="16" t="s">
        <v>38</v>
      </c>
      <c r="H27" s="1"/>
      <c r="I27" s="420"/>
      <c r="J27" s="424"/>
      <c r="K27" s="425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0"/>
      <c r="J28" s="424"/>
      <c r="K28" s="425"/>
      <c r="L28" s="199"/>
      <c r="M28" s="1"/>
      <c r="R28" s="3"/>
    </row>
    <row r="29" spans="1:18" ht="15.75">
      <c r="A29" s="112">
        <f>'01'!A29+(B29-SUM(D29:F29))</f>
        <v>19.23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1"/>
      <c r="J29" s="426"/>
      <c r="K29" s="427"/>
      <c r="L29" s="201"/>
      <c r="M29" s="1"/>
      <c r="R29" s="3"/>
    </row>
    <row r="30" spans="1:18" ht="15.75" customHeight="1">
      <c r="A30" s="112">
        <f>'01'!A30+(B30-SUM(D30:F30))</f>
        <v>598.55999999999995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252</v>
      </c>
      <c r="K30" s="423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257</v>
      </c>
      <c r="K31" s="425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266</v>
      </c>
      <c r="K32" s="425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 t="s">
        <v>252</v>
      </c>
      <c r="K33" s="425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212</v>
      </c>
      <c r="J35" s="422" t="s">
        <v>297</v>
      </c>
      <c r="K35" s="423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01"/>
      <c r="M39" s="1"/>
      <c r="R39" s="3"/>
    </row>
    <row r="40" spans="1:18" ht="16.5" thickBot="1">
      <c r="A40" s="112">
        <f>SUM(A26:A35)</f>
        <v>1848.9099999999999</v>
      </c>
      <c r="B40" s="135">
        <f>SUM(B26:B39)</f>
        <v>1128</v>
      </c>
      <c r="C40" s="17" t="s">
        <v>51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19" t="str">
        <f>AÑO!A11</f>
        <v>Finanazas</v>
      </c>
      <c r="J40" s="422"/>
      <c r="K40" s="42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199"/>
      <c r="M41" s="1"/>
      <c r="R41" s="3"/>
    </row>
    <row r="42" spans="1:18" ht="15.6" customHeight="1">
      <c r="A42" s="1"/>
      <c r="B42" s="402" t="str">
        <f>AÑO!A22</f>
        <v>Supermercado</v>
      </c>
      <c r="C42" s="409"/>
      <c r="D42" s="409"/>
      <c r="E42" s="409"/>
      <c r="F42" s="409"/>
      <c r="G42" s="410"/>
      <c r="H42" s="1"/>
      <c r="I42" s="420"/>
      <c r="J42" s="424"/>
      <c r="K42" s="425"/>
      <c r="L42" s="19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199"/>
      <c r="M43" s="1"/>
      <c r="R43" s="3"/>
    </row>
    <row r="44" spans="1:18" ht="15.75">
      <c r="A44" s="1"/>
      <c r="B44" s="400" t="s">
        <v>8</v>
      </c>
      <c r="C44" s="401"/>
      <c r="D44" s="408" t="s">
        <v>9</v>
      </c>
      <c r="E44" s="408"/>
      <c r="F44" s="408"/>
      <c r="G44" s="401"/>
      <c r="H44" s="1"/>
      <c r="I44" s="421"/>
      <c r="J44" s="426"/>
      <c r="K44" s="427"/>
      <c r="L44" s="201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19" t="str">
        <f>AÑO!A12</f>
        <v>Regalos</v>
      </c>
      <c r="J45" s="422" t="s">
        <v>158</v>
      </c>
      <c r="K45" s="423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245</v>
      </c>
      <c r="H46" s="1"/>
      <c r="I46" s="420"/>
      <c r="J46" s="424"/>
      <c r="K46" s="425"/>
      <c r="L46" s="199"/>
      <c r="M46" s="1"/>
      <c r="R46" s="3"/>
    </row>
    <row r="47" spans="1:18" ht="15.75">
      <c r="A47" s="1"/>
      <c r="B47" s="134">
        <v>30.35</v>
      </c>
      <c r="C47" s="16" t="s">
        <v>76</v>
      </c>
      <c r="D47" s="137">
        <f>103.32-D146</f>
        <v>70.849999999999994</v>
      </c>
      <c r="E47" s="138"/>
      <c r="F47" s="138"/>
      <c r="G47" s="16" t="s">
        <v>246</v>
      </c>
      <c r="H47" s="1"/>
      <c r="I47" s="420"/>
      <c r="J47" s="424"/>
      <c r="K47" s="425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250</v>
      </c>
      <c r="H48" s="1"/>
      <c r="I48" s="420"/>
      <c r="J48" s="424"/>
      <c r="K48" s="425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251</v>
      </c>
      <c r="H49" s="1"/>
      <c r="I49" s="421"/>
      <c r="J49" s="426"/>
      <c r="K49" s="427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262</v>
      </c>
      <c r="H50" s="1"/>
      <c r="I50" s="419" t="str">
        <f>AÑO!A13</f>
        <v>Gubernamental</v>
      </c>
      <c r="J50" s="422" t="s">
        <v>236</v>
      </c>
      <c r="K50" s="423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269</v>
      </c>
      <c r="H51" s="1"/>
      <c r="I51" s="420"/>
      <c r="J51" s="424"/>
      <c r="K51" s="425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270</v>
      </c>
      <c r="H52" s="1"/>
      <c r="I52" s="420"/>
      <c r="J52" s="424"/>
      <c r="K52" s="425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283</v>
      </c>
      <c r="H53" s="1"/>
      <c r="I53" s="420"/>
      <c r="J53" s="424"/>
      <c r="K53" s="425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287</v>
      </c>
      <c r="H54" s="1"/>
      <c r="I54" s="421"/>
      <c r="J54" s="426"/>
      <c r="K54" s="427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288</v>
      </c>
      <c r="H55" s="1"/>
      <c r="I55" s="419" t="str">
        <f>AÑO!A14</f>
        <v>Mutualite/DKV</v>
      </c>
      <c r="J55" s="422"/>
      <c r="K55" s="423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51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51</v>
      </c>
      <c r="H60" s="1"/>
      <c r="I60" s="419" t="str">
        <f>AÑO!A15</f>
        <v>Alquiler Cartama</v>
      </c>
      <c r="J60" s="422" t="s">
        <v>253</v>
      </c>
      <c r="K60" s="423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19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19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199"/>
      <c r="M63" s="1"/>
      <c r="R63" s="3"/>
    </row>
    <row r="64" spans="1:18" ht="15.75">
      <c r="A64" s="1"/>
      <c r="B64" s="400" t="s">
        <v>8</v>
      </c>
      <c r="C64" s="401"/>
      <c r="D64" s="408" t="s">
        <v>9</v>
      </c>
      <c r="E64" s="408"/>
      <c r="F64" s="408"/>
      <c r="G64" s="401"/>
      <c r="H64" s="1"/>
      <c r="I64" s="421"/>
      <c r="J64" s="426"/>
      <c r="K64" s="427"/>
      <c r="L64" s="201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19" t="str">
        <f>AÑO!A16</f>
        <v>Otros</v>
      </c>
      <c r="J65" s="422"/>
      <c r="K65" s="423"/>
      <c r="L65" s="198"/>
      <c r="M65" s="1"/>
      <c r="R65" s="3"/>
    </row>
    <row r="66" spans="1:18" ht="15.75">
      <c r="A66" s="112">
        <f>'01'!A66+(B66-SUM(D66:F78))</f>
        <v>191.49</v>
      </c>
      <c r="B66" s="133">
        <v>150</v>
      </c>
      <c r="C66" s="19" t="s">
        <v>31</v>
      </c>
      <c r="D66" s="137">
        <v>21.6</v>
      </c>
      <c r="E66" s="138"/>
      <c r="F66" s="138"/>
      <c r="G66" s="19" t="s">
        <v>258</v>
      </c>
      <c r="H66" s="1"/>
      <c r="I66" s="420"/>
      <c r="J66" s="424"/>
      <c r="K66" s="425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272</v>
      </c>
      <c r="H67" s="1"/>
      <c r="I67" s="420"/>
      <c r="J67" s="424"/>
      <c r="K67" s="425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274</v>
      </c>
      <c r="H68" s="1"/>
      <c r="I68" s="420"/>
      <c r="J68" s="424"/>
      <c r="K68" s="425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279</v>
      </c>
      <c r="H69" s="1"/>
      <c r="I69" s="434"/>
      <c r="J69" s="435"/>
      <c r="K69" s="436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291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30</v>
      </c>
      <c r="B79" s="233">
        <v>20</v>
      </c>
      <c r="C79" s="17" t="s">
        <v>230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221.49</v>
      </c>
      <c r="B80" s="233">
        <f>SUM(B66:B79)</f>
        <v>180</v>
      </c>
      <c r="C80" s="17" t="s">
        <v>51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8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160</v>
      </c>
      <c r="C86" s="19" t="s">
        <v>197</v>
      </c>
      <c r="D86" s="137">
        <v>48.45</v>
      </c>
      <c r="E86" s="138"/>
      <c r="F86" s="138"/>
      <c r="G86" s="16" t="s">
        <v>267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282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281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295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8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'01'!A106+(B106-SUM(D106:F106))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'01'!A107+(B107-SUM(D107:F107))</f>
        <v>70.480000000000018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200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626.04999999999995</v>
      </c>
      <c r="B120" s="135">
        <f>SUM(B106:B119)</f>
        <v>405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8" t="s">
        <v>9</v>
      </c>
      <c r="E124" s="408"/>
      <c r="F124" s="408"/>
      <c r="G124" s="401"/>
      <c r="H124" s="1"/>
      <c r="M124" s="1"/>
      <c r="R124" s="3"/>
    </row>
    <row r="125" spans="1:18" ht="15.75">
      <c r="A125" s="1"/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"/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"/>
      <c r="B127" s="134">
        <v>12.5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816</v>
      </c>
      <c r="I127" s="113">
        <f>D127+D128+'01'!I127</f>
        <v>20</v>
      </c>
      <c r="M127" s="1"/>
      <c r="R127" s="3"/>
    </row>
    <row r="128" spans="1:18" ht="15.75">
      <c r="A128" s="1"/>
      <c r="B128" s="134">
        <v>8</v>
      </c>
      <c r="C128" s="16" t="s">
        <v>160</v>
      </c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160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51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8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>
        <f>43.29-10.82</f>
        <v>32.47</v>
      </c>
      <c r="E146" s="138"/>
      <c r="F146" s="138"/>
      <c r="G146" s="16" t="s">
        <v>246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265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278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8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181</v>
      </c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'01'!A166+(B166-SUM(D166:F172))</f>
        <v>200</v>
      </c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'01'!A173+(B173-SUM(D173:F179))</f>
        <v>-80.509999999999991</v>
      </c>
      <c r="B173" s="134">
        <v>600.04</v>
      </c>
      <c r="C173" s="16" t="s">
        <v>158</v>
      </c>
      <c r="D173" s="137">
        <v>225.14</v>
      </c>
      <c r="E173" s="138"/>
      <c r="F173" s="138"/>
      <c r="G173" s="16" t="s">
        <v>254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>
        <v>455.41</v>
      </c>
      <c r="F174" s="138"/>
      <c r="G174" s="16" t="s">
        <v>268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200</v>
      </c>
      <c r="B180" s="135">
        <f>SUM(B166:B179)</f>
        <v>800.04</v>
      </c>
      <c r="C180" s="17" t="s">
        <v>51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8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>
        <v>5</v>
      </c>
      <c r="E186" s="138"/>
      <c r="F186" s="138"/>
      <c r="G186" s="16" t="s">
        <v>260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269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8" t="s">
        <v>9</v>
      </c>
      <c r="E204" s="408"/>
      <c r="F204" s="408"/>
      <c r="G204" s="401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8" t="s">
        <v>9</v>
      </c>
      <c r="E224" s="408"/>
      <c r="F224" s="408"/>
      <c r="G224" s="401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>
        <v>3.5</v>
      </c>
      <c r="E227" s="138"/>
      <c r="F227" s="138"/>
      <c r="G227" s="16" t="s">
        <v>288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2:7" ht="15.75" thickBot="1">
      <c r="B241" s="5"/>
      <c r="C241" s="3"/>
      <c r="D241" s="5"/>
      <c r="E241" s="5"/>
    </row>
    <row r="242" spans="2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2:7" ht="15" customHeight="1" thickBot="1">
      <c r="B243" s="411"/>
      <c r="C243" s="412"/>
      <c r="D243" s="412"/>
      <c r="E243" s="412"/>
      <c r="F243" s="412"/>
      <c r="G243" s="413"/>
    </row>
    <row r="244" spans="2:7" ht="15" customHeight="1">
      <c r="B244" s="400" t="s">
        <v>8</v>
      </c>
      <c r="C244" s="401"/>
      <c r="D244" s="408" t="s">
        <v>9</v>
      </c>
      <c r="E244" s="408"/>
      <c r="F244" s="408"/>
      <c r="G244" s="401"/>
    </row>
    <row r="245" spans="2:7" ht="15" customHeight="1"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288</v>
      </c>
    </row>
    <row r="247" spans="2:7" ht="15" customHeight="1">
      <c r="B247" s="134">
        <v>40</v>
      </c>
      <c r="C247" s="16" t="s">
        <v>299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51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2:7" ht="15.75" thickBot="1">
      <c r="B261" s="5"/>
      <c r="C261" s="3"/>
      <c r="D261" s="5"/>
      <c r="E261" s="5"/>
    </row>
    <row r="262" spans="2:7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2:7" ht="15" customHeight="1" thickBot="1">
      <c r="B263" s="411"/>
      <c r="C263" s="412"/>
      <c r="D263" s="412"/>
      <c r="E263" s="412"/>
      <c r="F263" s="412"/>
      <c r="G263" s="413"/>
    </row>
    <row r="264" spans="2:7">
      <c r="B264" s="400" t="s">
        <v>8</v>
      </c>
      <c r="C264" s="401"/>
      <c r="D264" s="408" t="s">
        <v>9</v>
      </c>
      <c r="E264" s="408"/>
      <c r="F264" s="408"/>
      <c r="G264" s="401"/>
    </row>
    <row r="265" spans="2:7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255</v>
      </c>
    </row>
    <row r="267" spans="2:7">
      <c r="B267" s="134"/>
      <c r="C267" s="16"/>
      <c r="D267" s="137">
        <v>10.45</v>
      </c>
      <c r="E267" s="138"/>
      <c r="F267" s="138"/>
      <c r="G267" s="16" t="s">
        <v>259</v>
      </c>
    </row>
    <row r="268" spans="2:7">
      <c r="B268" s="134"/>
      <c r="C268" s="16"/>
      <c r="D268" s="137"/>
      <c r="E268" s="138">
        <v>57.96</v>
      </c>
      <c r="F268" s="138"/>
      <c r="G268" s="16" t="s">
        <v>285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8" t="s">
        <v>9</v>
      </c>
      <c r="E284" s="408"/>
      <c r="F284" s="408"/>
      <c r="G284" s="401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2:8">
      <c r="B286" s="133">
        <v>90</v>
      </c>
      <c r="C286" s="19" t="s">
        <v>31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8" t="s">
        <v>9</v>
      </c>
      <c r="E304" s="408"/>
      <c r="F304" s="408"/>
      <c r="G304" s="401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100</v>
      </c>
      <c r="C306" s="19" t="s">
        <v>170</v>
      </c>
      <c r="D306" s="137">
        <v>13.6</v>
      </c>
      <c r="E306" s="138"/>
      <c r="F306" s="138"/>
      <c r="G306" s="16" t="s">
        <v>271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284</v>
      </c>
    </row>
    <row r="308" spans="2:7">
      <c r="B308" s="134">
        <v>61.11</v>
      </c>
      <c r="C308" s="27" t="s">
        <v>298</v>
      </c>
      <c r="D308" s="137">
        <v>11.12</v>
      </c>
      <c r="E308" s="138"/>
      <c r="F308" s="138"/>
      <c r="G308" s="16" t="s">
        <v>289</v>
      </c>
    </row>
    <row r="309" spans="2:7">
      <c r="B309" s="134"/>
      <c r="C309" s="16"/>
      <c r="D309" s="137">
        <v>6</v>
      </c>
      <c r="E309" s="138"/>
      <c r="F309" s="138"/>
      <c r="G309" s="16" t="s">
        <v>288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51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51</v>
      </c>
    </row>
    <row r="321" spans="2:7" ht="15.75" thickBot="1"/>
    <row r="322" spans="2:7" ht="14.45" customHeight="1">
      <c r="B322" s="402" t="str">
        <f>AÑO!A36</f>
        <v>Nenas</v>
      </c>
      <c r="C322" s="409"/>
      <c r="D322" s="409"/>
      <c r="E322" s="409"/>
      <c r="F322" s="409"/>
      <c r="G322" s="410"/>
    </row>
    <row r="323" spans="2:7" ht="15" customHeight="1" thickBot="1">
      <c r="B323" s="411"/>
      <c r="C323" s="412"/>
      <c r="D323" s="412"/>
      <c r="E323" s="412"/>
      <c r="F323" s="412"/>
      <c r="G323" s="413"/>
    </row>
    <row r="324" spans="2:7">
      <c r="B324" s="400" t="s">
        <v>8</v>
      </c>
      <c r="C324" s="401"/>
      <c r="D324" s="408" t="s">
        <v>9</v>
      </c>
      <c r="E324" s="408"/>
      <c r="F324" s="408"/>
      <c r="G324" s="401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269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51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02" t="str">
        <f>AÑO!A37</f>
        <v>Imprevistos</v>
      </c>
      <c r="C342" s="409"/>
      <c r="D342" s="409"/>
      <c r="E342" s="409"/>
      <c r="F342" s="409"/>
      <c r="G342" s="410"/>
    </row>
    <row r="343" spans="2:7" ht="15" customHeight="1" thickBot="1">
      <c r="B343" s="411"/>
      <c r="C343" s="412"/>
      <c r="D343" s="412"/>
      <c r="E343" s="412"/>
      <c r="F343" s="412"/>
      <c r="G343" s="413"/>
    </row>
    <row r="344" spans="2:7">
      <c r="B344" s="400" t="s">
        <v>8</v>
      </c>
      <c r="C344" s="401"/>
      <c r="D344" s="408" t="s">
        <v>9</v>
      </c>
      <c r="E344" s="408"/>
      <c r="F344" s="408"/>
      <c r="G344" s="401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2:7">
      <c r="B346" s="133">
        <v>45</v>
      </c>
      <c r="C346" s="19" t="s">
        <v>195</v>
      </c>
      <c r="D346" s="137">
        <v>285.64999999999998</v>
      </c>
      <c r="E346" s="138"/>
      <c r="F346" s="138"/>
      <c r="G346" s="16" t="s">
        <v>256</v>
      </c>
    </row>
    <row r="347" spans="2:7">
      <c r="B347" s="134"/>
      <c r="C347" s="16"/>
      <c r="D347" s="137"/>
      <c r="E347" s="138"/>
      <c r="F347" s="138">
        <v>30</v>
      </c>
      <c r="G347" s="16" t="s">
        <v>280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51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2:7" ht="15" customHeight="1" thickBot="1">
      <c r="B363" s="411"/>
      <c r="C363" s="412"/>
      <c r="D363" s="412"/>
      <c r="E363" s="412"/>
      <c r="F363" s="412"/>
      <c r="G363" s="413"/>
    </row>
    <row r="364" spans="2:7">
      <c r="B364" s="400" t="s">
        <v>8</v>
      </c>
      <c r="C364" s="401"/>
      <c r="D364" s="408" t="s">
        <v>9</v>
      </c>
      <c r="E364" s="408"/>
      <c r="F364" s="408"/>
      <c r="G364" s="401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2:7">
      <c r="B366" s="133">
        <v>70</v>
      </c>
      <c r="C366" s="19" t="s">
        <v>31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65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265</v>
      </c>
    </row>
    <row r="368" spans="2:7">
      <c r="B368" s="134"/>
      <c r="C368" s="16"/>
      <c r="D368" s="137">
        <v>60</v>
      </c>
      <c r="E368" s="138"/>
      <c r="F368" s="138"/>
      <c r="G368" s="16" t="s">
        <v>273</v>
      </c>
    </row>
    <row r="369" spans="2:7">
      <c r="B369" s="134"/>
      <c r="C369" s="16"/>
      <c r="D369" s="137">
        <v>26.58</v>
      </c>
      <c r="E369" s="138"/>
      <c r="F369" s="138"/>
      <c r="G369" s="16" t="s">
        <v>277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51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9"/>
      <c r="D382" s="409"/>
      <c r="E382" s="409"/>
      <c r="F382" s="409"/>
      <c r="G382" s="410"/>
    </row>
    <row r="383" spans="2:7" ht="15" customHeight="1" thickBot="1">
      <c r="B383" s="411"/>
      <c r="C383" s="412"/>
      <c r="D383" s="412"/>
      <c r="E383" s="412"/>
      <c r="F383" s="412"/>
      <c r="G383" s="413"/>
    </row>
    <row r="384" spans="2:7">
      <c r="B384" s="400" t="s">
        <v>8</v>
      </c>
      <c r="C384" s="401"/>
      <c r="D384" s="408" t="s">
        <v>9</v>
      </c>
      <c r="E384" s="408"/>
      <c r="F384" s="408"/>
      <c r="G384" s="401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8" t="s">
        <v>9</v>
      </c>
      <c r="E404" s="408"/>
      <c r="F404" s="408"/>
      <c r="G404" s="401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239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51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8" ht="15.75" thickBot="1">
      <c r="B421" s="5"/>
      <c r="C421" s="3"/>
      <c r="D421" s="5"/>
      <c r="E421" s="5"/>
    </row>
    <row r="422" spans="1:8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8" ht="15" customHeight="1" thickBot="1">
      <c r="B423" s="405"/>
      <c r="C423" s="406"/>
      <c r="D423" s="406"/>
      <c r="E423" s="406"/>
      <c r="F423" s="406"/>
      <c r="G423" s="407"/>
    </row>
    <row r="424" spans="1:8">
      <c r="B424" s="400" t="s">
        <v>8</v>
      </c>
      <c r="C424" s="401"/>
      <c r="D424" s="408" t="s">
        <v>9</v>
      </c>
      <c r="E424" s="408"/>
      <c r="F424" s="408"/>
      <c r="G424" s="401"/>
    </row>
    <row r="425" spans="1:8">
      <c r="A425" s="113">
        <f>AÑO!G17</f>
        <v>4821.67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  <c r="H425" s="234" t="s">
        <v>294</v>
      </c>
    </row>
    <row r="426" spans="1:8" ht="15.75">
      <c r="A426" s="112">
        <v>3900</v>
      </c>
      <c r="B426" s="134">
        <f>A425-SUM(A426:A439)</f>
        <v>120.06999999999971</v>
      </c>
      <c r="C426" s="19" t="s">
        <v>227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-3349.9300000000021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NULO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'01'!A466+(B466-SUM(D466:F466))</f>
        <v>0</v>
      </c>
      <c r="B466" s="134">
        <v>0</v>
      </c>
      <c r="C466" s="16" t="s">
        <v>172</v>
      </c>
      <c r="D466" s="137"/>
      <c r="E466" s="138"/>
      <c r="F466" s="138"/>
      <c r="G466" s="16"/>
    </row>
    <row r="467" spans="1:7" ht="15.75">
      <c r="A467" s="112">
        <f>'01'!A467+(B467-SUM(D467:F467))</f>
        <v>-282.79000000000002</v>
      </c>
      <c r="B467" s="134">
        <f>399.59-B6+50+30</f>
        <v>217.20999999999998</v>
      </c>
      <c r="C467" s="16" t="s">
        <v>182</v>
      </c>
      <c r="D467" s="137"/>
      <c r="E467" s="138">
        <v>500</v>
      </c>
      <c r="F467" s="138"/>
      <c r="G467" s="16" t="s">
        <v>247</v>
      </c>
    </row>
    <row r="468" spans="1:7" ht="15.75">
      <c r="A468" s="112">
        <f>'01'!A468+(B468-SUM(D468:F468))</f>
        <v>20.21</v>
      </c>
      <c r="B468" s="134">
        <f>10+10.21</f>
        <v>20.21</v>
      </c>
      <c r="C468" s="16" t="s">
        <v>183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-262.58000000000004</v>
      </c>
      <c r="B480" s="135">
        <f>SUM(B466:B479)</f>
        <v>237.42</v>
      </c>
      <c r="C480" s="17" t="s">
        <v>51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8" t="s">
        <v>9</v>
      </c>
      <c r="E504" s="408"/>
      <c r="F504" s="408"/>
      <c r="G504" s="401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>
        <v>13.39</v>
      </c>
      <c r="E506" s="138"/>
      <c r="F506" s="138"/>
      <c r="G506" s="16" t="s">
        <v>296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2" location="Trimestre!C39:F40" display="TELÉFONO" xr:uid="{00000000-0004-0000-0200-000000000000}"/>
    <hyperlink ref="I22:L23" location="AÑO!G7:J17" display="INGRESOS" xr:uid="{00000000-0004-0000-0200-000001000000}"/>
    <hyperlink ref="I2" location="Trimestre!C39:F40" display="TELÉFONO" xr:uid="{00000000-0004-0000-0200-000002000000}"/>
    <hyperlink ref="I2:L3" location="AÑO!G4:J5" display="SALDO REAL" xr:uid="{00000000-0004-0000-0200-000003000000}"/>
    <hyperlink ref="B2" location="Trimestre!C25:F26" display="HIPOTECA" xr:uid="{00000000-0004-0000-0200-000004000000}"/>
    <hyperlink ref="B2:G3" location="AÑO!G20:J20" display="AÑO!G20:J20" xr:uid="{00000000-0004-0000-0200-000005000000}"/>
    <hyperlink ref="B22" location="Trimestre!C25:F26" display="HIPOTECA" xr:uid="{00000000-0004-0000-0200-000006000000}"/>
    <hyperlink ref="B22:G23" location="AÑO!G21:J21" display="AÑO!G21:J21" xr:uid="{00000000-0004-0000-0200-000007000000}"/>
    <hyperlink ref="B42" location="Trimestre!C25:F26" display="HIPOTECA" xr:uid="{00000000-0004-0000-0200-000008000000}"/>
    <hyperlink ref="B42:G43" location="AÑO!G22:J22" display="AÑO!G22:J22" xr:uid="{00000000-0004-0000-0200-000009000000}"/>
    <hyperlink ref="B62" location="Trimestre!C25:F26" display="HIPOTECA" xr:uid="{00000000-0004-0000-0200-00000A000000}"/>
    <hyperlink ref="B62:G63" location="AÑO!G23:J23" display="AÑO!G23:J23" xr:uid="{00000000-0004-0000-0200-00000B000000}"/>
    <hyperlink ref="B82" location="Trimestre!C25:F26" display="HIPOTECA" xr:uid="{00000000-0004-0000-0200-00000C000000}"/>
    <hyperlink ref="B82:G83" location="AÑO!G24:J24" display="AÑO!G24:J24" xr:uid="{00000000-0004-0000-0200-00000D000000}"/>
    <hyperlink ref="B102" location="Trimestre!C25:F26" display="HIPOTECA" xr:uid="{00000000-0004-0000-0200-00000E000000}"/>
    <hyperlink ref="B102:G103" location="AÑO!G25:J25" display="AÑO!G25:J25" xr:uid="{00000000-0004-0000-0200-00000F000000}"/>
    <hyperlink ref="B122" location="Trimestre!C25:F26" display="HIPOTECA" xr:uid="{00000000-0004-0000-0200-000010000000}"/>
    <hyperlink ref="B122:G123" location="AÑO!G26:J26" display="AÑO!G26:J26" xr:uid="{00000000-0004-0000-0200-000011000000}"/>
    <hyperlink ref="B142" location="Trimestre!C25:F26" display="HIPOTECA" xr:uid="{00000000-0004-0000-0200-000012000000}"/>
    <hyperlink ref="B142:G143" location="AÑO!G27:J27" display="AÑO!G27:J27" xr:uid="{00000000-0004-0000-0200-000013000000}"/>
    <hyperlink ref="B162" location="Trimestre!C25:F26" display="HIPOTECA" xr:uid="{00000000-0004-0000-0200-000014000000}"/>
    <hyperlink ref="B162:G163" location="AÑO!G28:J28" display="AÑO!G28:J28" xr:uid="{00000000-0004-0000-0200-000015000000}"/>
    <hyperlink ref="B182" location="Trimestre!C25:F26" display="HIPOTECA" xr:uid="{00000000-0004-0000-0200-000016000000}"/>
    <hyperlink ref="B182:G183" location="AÑO!G29:J29" display="AÑO!G29:J29" xr:uid="{00000000-0004-0000-0200-000017000000}"/>
    <hyperlink ref="B202" location="Trimestre!C25:F26" display="HIPOTECA" xr:uid="{00000000-0004-0000-0200-000018000000}"/>
    <hyperlink ref="B202:G203" location="AÑO!G30:J30" display="AÑO!G30:J30" xr:uid="{00000000-0004-0000-0200-000019000000}"/>
    <hyperlink ref="B222" location="Trimestre!C25:F26" display="HIPOTECA" xr:uid="{00000000-0004-0000-0200-00001A000000}"/>
    <hyperlink ref="B222:G223" location="AÑO!G31:J31" display="AÑO!G31:J31" xr:uid="{00000000-0004-0000-0200-00001B000000}"/>
    <hyperlink ref="B242" location="Trimestre!C25:F26" display="HIPOTECA" xr:uid="{00000000-0004-0000-0200-00001C000000}"/>
    <hyperlink ref="B242:G243" location="AÑO!G32:J32" display="AÑO!G32:J32" xr:uid="{00000000-0004-0000-0200-00001D000000}"/>
    <hyperlink ref="B262" location="Trimestre!C25:F26" display="HIPOTECA" xr:uid="{00000000-0004-0000-0200-00001E000000}"/>
    <hyperlink ref="B262:G263" location="AÑO!G33:J33" display="AÑO!G33:J33" xr:uid="{00000000-0004-0000-0200-00001F000000}"/>
    <hyperlink ref="B282" location="Trimestre!C25:F26" display="HIPOTECA" xr:uid="{00000000-0004-0000-0200-000020000000}"/>
    <hyperlink ref="B282:G283" location="AÑO!G34:J34" display="AÑO!G34:J34" xr:uid="{00000000-0004-0000-0200-000021000000}"/>
    <hyperlink ref="B302" location="Trimestre!C25:F26" display="HIPOTECA" xr:uid="{00000000-0004-0000-0200-000022000000}"/>
    <hyperlink ref="B302:G303" location="AÑO!G35:J35" display="AÑO!G35:J35" xr:uid="{00000000-0004-0000-0200-000023000000}"/>
    <hyperlink ref="B322" location="Trimestre!C25:F26" display="HIPOTECA" xr:uid="{00000000-0004-0000-0200-000024000000}"/>
    <hyperlink ref="B322:G323" location="AÑO!G36:J36" display="AÑO!G36:J36" xr:uid="{00000000-0004-0000-0200-000025000000}"/>
    <hyperlink ref="B342" location="Trimestre!C25:F26" display="HIPOTECA" xr:uid="{00000000-0004-0000-0200-000026000000}"/>
    <hyperlink ref="B342:G343" location="AÑO!G37:J37" display="AÑO!G37:J37" xr:uid="{00000000-0004-0000-0200-000027000000}"/>
    <hyperlink ref="B362" location="Trimestre!C25:F26" display="HIPOTECA" xr:uid="{00000000-0004-0000-0200-000028000000}"/>
    <hyperlink ref="B362:G363" location="AÑO!G38:J38" display="AÑO!G38:J38" xr:uid="{00000000-0004-0000-0200-000029000000}"/>
    <hyperlink ref="B382" location="Trimestre!C25:F26" display="HIPOTECA" xr:uid="{00000000-0004-0000-0200-00002A000000}"/>
    <hyperlink ref="B382:G383" location="AÑO!G39:J39" display="AÑO!G39:J39" xr:uid="{00000000-0004-0000-0200-00002B000000}"/>
    <hyperlink ref="B402" location="Trimestre!C25:F26" display="HIPOTECA" xr:uid="{00000000-0004-0000-0200-00002C000000}"/>
    <hyperlink ref="B402:G403" location="AÑO!G40:J40" display="AÑO!G40:J40" xr:uid="{00000000-0004-0000-0200-00002D000000}"/>
    <hyperlink ref="B422" location="Trimestre!C25:F26" display="HIPOTECA" xr:uid="{00000000-0004-0000-0200-00002E000000}"/>
    <hyperlink ref="B422:G423" location="AÑO!G41:J41" display="AÑO!G41:J41" xr:uid="{00000000-0004-0000-0200-00002F000000}"/>
    <hyperlink ref="B442" location="Trimestre!C25:F26" display="HIPOTECA" xr:uid="{00000000-0004-0000-0200-000030000000}"/>
    <hyperlink ref="B442:G443" location="AÑO!G42:J42" display="AÑO!G42:J42" xr:uid="{00000000-0004-0000-0200-000031000000}"/>
    <hyperlink ref="B462" location="Trimestre!C25:F26" display="HIPOTECA" xr:uid="{00000000-0004-0000-0200-000032000000}"/>
    <hyperlink ref="B462:G463" location="AÑO!G43:J43" display="AÑO!G43:J43" xr:uid="{00000000-0004-0000-0200-000033000000}"/>
    <hyperlink ref="B482" location="Trimestre!C25:F26" display="HIPOTECA" xr:uid="{00000000-0004-0000-0200-000034000000}"/>
    <hyperlink ref="B482:G483" location="AÑO!G44:J44" display="AÑO!G44:J44" xr:uid="{00000000-0004-0000-0200-000035000000}"/>
    <hyperlink ref="B502" location="Trimestre!C25:F26" display="HIPOTECA" xr:uid="{00000000-0004-0000-0200-000036000000}"/>
    <hyperlink ref="B502:G503" location="AÑO!G45:J45" display="AÑO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11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8" t="s">
        <v>9</v>
      </c>
      <c r="E4" s="408"/>
      <c r="F4" s="408"/>
      <c r="G4" s="401"/>
      <c r="H4" s="222"/>
      <c r="I4" s="40" t="s">
        <v>55</v>
      </c>
      <c r="J4" s="105" t="s">
        <v>56</v>
      </c>
      <c r="K4" s="428" t="s">
        <v>57</v>
      </c>
      <c r="L4" s="429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0">
        <v>1559.34</v>
      </c>
      <c r="L5" s="431"/>
      <c r="M5" s="1"/>
      <c r="N5" s="1"/>
      <c r="R5" s="3"/>
    </row>
    <row r="6" spans="1:22" ht="15.75">
      <c r="A6" s="112">
        <f>'02'!A6+(B6-SUM(D6:F6))</f>
        <v>395.26</v>
      </c>
      <c r="B6" s="133">
        <v>399.59</v>
      </c>
      <c r="C6" s="19" t="s">
        <v>178</v>
      </c>
      <c r="D6" s="137"/>
      <c r="E6" s="138">
        <v>399.59</v>
      </c>
      <c r="F6" s="138"/>
      <c r="G6" s="16" t="s">
        <v>30</v>
      </c>
      <c r="H6" s="1"/>
      <c r="I6" s="108" t="s">
        <v>58</v>
      </c>
      <c r="J6" s="107" t="s">
        <v>60</v>
      </c>
      <c r="K6" s="414">
        <v>620.08000000000004</v>
      </c>
      <c r="L6" s="415"/>
      <c r="M6" s="1" t="s">
        <v>163</v>
      </c>
      <c r="N6" s="1"/>
      <c r="R6" s="3"/>
    </row>
    <row r="7" spans="1:22" ht="15.75">
      <c r="A7" s="112">
        <f>'02'!A7+(B7-SUM(D7:F7))</f>
        <v>-101.71000000000004</v>
      </c>
      <c r="B7" s="134">
        <v>70.180000000000007</v>
      </c>
      <c r="C7" s="16" t="s">
        <v>196</v>
      </c>
      <c r="D7" s="137"/>
      <c r="E7" s="138">
        <f>332.75+142.41+273.37</f>
        <v>748.53</v>
      </c>
      <c r="F7" s="138"/>
      <c r="G7" s="16" t="s">
        <v>72</v>
      </c>
      <c r="H7" s="1"/>
      <c r="I7" s="108" t="s">
        <v>61</v>
      </c>
      <c r="J7" s="107" t="s">
        <v>62</v>
      </c>
      <c r="K7" s="414">
        <v>8577.0300000000007</v>
      </c>
      <c r="L7" s="415"/>
      <c r="M7" s="1"/>
      <c r="N7" s="1"/>
      <c r="R7" s="3"/>
    </row>
    <row r="8" spans="1:22" ht="15.75">
      <c r="A8" s="112">
        <f>'02'!A8+(B8-SUM(D8:F8))</f>
        <v>-115.77</v>
      </c>
      <c r="B8" s="134">
        <v>112.11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4">
        <v>3501.87</v>
      </c>
      <c r="L8" s="415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35</v>
      </c>
      <c r="D9" s="137"/>
      <c r="E9" s="138">
        <v>20.28</v>
      </c>
      <c r="F9" s="138"/>
      <c r="G9" s="16" t="s">
        <v>35</v>
      </c>
      <c r="H9" s="1"/>
      <c r="I9" s="108" t="s">
        <v>61</v>
      </c>
      <c r="J9" s="107" t="s">
        <v>155</v>
      </c>
      <c r="K9" s="414">
        <v>4167.34</v>
      </c>
      <c r="L9" s="415"/>
      <c r="M9" s="1"/>
      <c r="N9" s="1"/>
      <c r="R9" s="3"/>
    </row>
    <row r="10" spans="1:22" ht="15.75">
      <c r="A10" s="112">
        <f>'02'!A10+(B10-SUM(D10:F10))</f>
        <v>24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"/>
      <c r="I10" s="108" t="s">
        <v>61</v>
      </c>
      <c r="J10" s="107" t="s">
        <v>79</v>
      </c>
      <c r="K10" s="414">
        <v>1802.02</v>
      </c>
      <c r="L10" s="415"/>
      <c r="M10" s="1" t="s">
        <v>154</v>
      </c>
      <c r="N10" s="1"/>
      <c r="R10" s="3"/>
    </row>
    <row r="11" spans="1:22" ht="15.75">
      <c r="A11" s="112">
        <f>'02'!A11+(B11-SUM(D11:F11))</f>
        <v>30.240000000000002</v>
      </c>
      <c r="B11" s="134">
        <v>30.23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4">
        <v>255</v>
      </c>
      <c r="L11" s="415"/>
      <c r="M11" s="1"/>
      <c r="N11" s="1"/>
      <c r="R11" s="3"/>
    </row>
    <row r="12" spans="1:22" ht="15.75">
      <c r="A12" s="112">
        <f>'02'!A12+(B12-SUM(D12:F12))</f>
        <v>94.54000000000002</v>
      </c>
      <c r="B12" s="134">
        <v>25</v>
      </c>
      <c r="C12" s="16" t="s">
        <v>201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14">
        <v>5092.08</v>
      </c>
      <c r="L12" s="415"/>
      <c r="M12" s="92"/>
      <c r="N12" s="1"/>
      <c r="R12" s="3"/>
    </row>
    <row r="13" spans="1:22" ht="15.75">
      <c r="A13" s="112">
        <f>'02'!A13+(B13-SUM(D13:F13))</f>
        <v>-2</v>
      </c>
      <c r="B13" s="134">
        <v>7</v>
      </c>
      <c r="C13" s="16" t="s">
        <v>264</v>
      </c>
      <c r="D13" s="137"/>
      <c r="E13" s="138">
        <v>79</v>
      </c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16">
        <f>SUM(K5:K18)</f>
        <v>25574.760000000002</v>
      </c>
      <c r="L19" s="417"/>
      <c r="M19" s="1"/>
      <c r="N19" s="1"/>
      <c r="R19" s="3"/>
    </row>
    <row r="20" spans="1:18" ht="16.5" thickBot="1">
      <c r="A20" s="112">
        <f>SUM(A6:A15)</f>
        <v>324.56</v>
      </c>
      <c r="B20" s="135">
        <f>SUM(B6:B19)</f>
        <v>676.39</v>
      </c>
      <c r="C20" s="17" t="s">
        <v>51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8" t="s">
        <v>9</v>
      </c>
      <c r="E24" s="408"/>
      <c r="F24" s="408"/>
      <c r="G24" s="401"/>
      <c r="H24" s="1"/>
      <c r="I24" s="40" t="s">
        <v>29</v>
      </c>
      <c r="J24" s="432" t="s">
        <v>85</v>
      </c>
      <c r="K24" s="433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19" t="str">
        <f>AÑO!A8</f>
        <v>Manolo Salario</v>
      </c>
      <c r="J25" s="422" t="s">
        <v>339</v>
      </c>
      <c r="K25" s="423"/>
      <c r="L25" s="198">
        <v>2526.87</v>
      </c>
      <c r="M25" s="1"/>
      <c r="R25" s="3"/>
    </row>
    <row r="26" spans="1:18" ht="15.75">
      <c r="A26" s="112">
        <f>'02'!A26+(B26-SUM(D26:F26))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0"/>
      <c r="J26" s="424"/>
      <c r="K26" s="425"/>
      <c r="L26" s="199"/>
      <c r="M26" s="1"/>
      <c r="R26" s="3"/>
    </row>
    <row r="27" spans="1:18" ht="15.75">
      <c r="A27" s="112">
        <f>'02'!A27+(B27-SUM(D27:F27))</f>
        <v>205</v>
      </c>
      <c r="B27" s="134">
        <f>407.28+170</f>
        <v>577.28</v>
      </c>
      <c r="C27" s="27" t="s">
        <v>38</v>
      </c>
      <c r="D27" s="137">
        <v>577.28</v>
      </c>
      <c r="E27" s="138"/>
      <c r="F27" s="138"/>
      <c r="G27" s="16" t="s">
        <v>38</v>
      </c>
      <c r="H27" s="1"/>
      <c r="I27" s="420"/>
      <c r="J27" s="424"/>
      <c r="K27" s="425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0"/>
      <c r="J28" s="424"/>
      <c r="K28" s="425"/>
      <c r="L28" s="199"/>
      <c r="M28" s="1"/>
      <c r="R28" s="3"/>
    </row>
    <row r="29" spans="1:18" ht="15.75">
      <c r="A29" s="112">
        <f>'02'!A29+(B29-SUM(D29:F29))</f>
        <v>19.28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1"/>
      <c r="J29" s="426"/>
      <c r="K29" s="427"/>
      <c r="L29" s="201"/>
      <c r="M29" s="1"/>
      <c r="R29" s="3"/>
    </row>
    <row r="30" spans="1:18" ht="15.75" customHeight="1">
      <c r="A30" s="112">
        <f>'02'!A30+(B30-SUM(D30:F30))</f>
        <v>191.27999999999997</v>
      </c>
      <c r="B30" s="134">
        <v>-407.28</v>
      </c>
      <c r="C30" s="27" t="s">
        <v>40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300</v>
      </c>
      <c r="K30" s="423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231</v>
      </c>
      <c r="K31" s="425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266</v>
      </c>
      <c r="K32" s="425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212</v>
      </c>
      <c r="J35" s="422"/>
      <c r="K35" s="423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01"/>
      <c r="M39" s="1"/>
      <c r="R39" s="3"/>
    </row>
    <row r="40" spans="1:18" ht="16.5" thickBot="1">
      <c r="A40" s="112">
        <f>SUM(A26:A35)</f>
        <v>1481.6799999999998</v>
      </c>
      <c r="B40" s="135">
        <f>SUM(B26:B39)</f>
        <v>1128</v>
      </c>
      <c r="C40" s="17" t="s">
        <v>51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19" t="str">
        <f>AÑO!A11</f>
        <v>Finanazas</v>
      </c>
      <c r="J40" s="422"/>
      <c r="K40" s="42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199"/>
      <c r="M41" s="1"/>
      <c r="R41" s="3"/>
    </row>
    <row r="42" spans="1:18" ht="15.6" customHeight="1">
      <c r="A42" s="1"/>
      <c r="B42" s="402" t="str">
        <f>AÑO!A22</f>
        <v>Supermercado</v>
      </c>
      <c r="C42" s="409"/>
      <c r="D42" s="409"/>
      <c r="E42" s="409"/>
      <c r="F42" s="409"/>
      <c r="G42" s="410"/>
      <c r="H42" s="1"/>
      <c r="I42" s="420"/>
      <c r="J42" s="424"/>
      <c r="K42" s="425"/>
      <c r="L42" s="19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199"/>
      <c r="M43" s="1"/>
      <c r="R43" s="3"/>
    </row>
    <row r="44" spans="1:18" ht="15.75">
      <c r="A44" s="1"/>
      <c r="B44" s="400" t="s">
        <v>8</v>
      </c>
      <c r="C44" s="401"/>
      <c r="D44" s="408" t="s">
        <v>9</v>
      </c>
      <c r="E44" s="408"/>
      <c r="F44" s="408"/>
      <c r="G44" s="401"/>
      <c r="H44" s="1"/>
      <c r="I44" s="421"/>
      <c r="J44" s="426"/>
      <c r="K44" s="427"/>
      <c r="L44" s="201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19" t="str">
        <f>AÑO!A12</f>
        <v>Regalos</v>
      </c>
      <c r="J45" s="422" t="s">
        <v>317</v>
      </c>
      <c r="K45" s="423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301</v>
      </c>
      <c r="H46" s="1"/>
      <c r="I46" s="420"/>
      <c r="J46" s="424" t="s">
        <v>158</v>
      </c>
      <c r="K46" s="425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76</v>
      </c>
      <c r="D47" s="137">
        <v>70.08</v>
      </c>
      <c r="E47" s="138"/>
      <c r="F47" s="138"/>
      <c r="G47" s="16" t="s">
        <v>302</v>
      </c>
      <c r="H47" s="1"/>
      <c r="I47" s="420"/>
      <c r="J47" s="424"/>
      <c r="K47" s="425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309</v>
      </c>
      <c r="H48" s="1"/>
      <c r="I48" s="420"/>
      <c r="J48" s="424"/>
      <c r="K48" s="425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313</v>
      </c>
      <c r="H49" s="1"/>
      <c r="I49" s="421"/>
      <c r="J49" s="426"/>
      <c r="K49" s="427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312</v>
      </c>
      <c r="H50" s="1"/>
      <c r="I50" s="419" t="str">
        <f>AÑO!A13</f>
        <v>Gubernamental</v>
      </c>
      <c r="J50" s="422" t="s">
        <v>236</v>
      </c>
      <c r="K50" s="423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319</v>
      </c>
      <c r="H51" s="1"/>
      <c r="I51" s="420"/>
      <c r="J51" s="424" t="s">
        <v>355</v>
      </c>
      <c r="K51" s="425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324</v>
      </c>
      <c r="H52" s="1"/>
      <c r="I52" s="420"/>
      <c r="J52" s="424"/>
      <c r="K52" s="425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325</v>
      </c>
      <c r="H53" s="1"/>
      <c r="I53" s="420"/>
      <c r="J53" s="424"/>
      <c r="K53" s="425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345</v>
      </c>
      <c r="H54" s="1"/>
      <c r="I54" s="421"/>
      <c r="J54" s="426"/>
      <c r="K54" s="427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359</v>
      </c>
      <c r="H55" s="1"/>
      <c r="I55" s="419" t="str">
        <f>AÑO!A14</f>
        <v>Mutualite/DKV</v>
      </c>
      <c r="J55" s="437" t="str">
        <f>G306</f>
        <v>12/03 Chirec</v>
      </c>
      <c r="K55" s="423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51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19" t="str">
        <f>AÑO!A15</f>
        <v>Alquiler Cartama</v>
      </c>
      <c r="J60" s="422" t="s">
        <v>304</v>
      </c>
      <c r="K60" s="423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19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19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199"/>
      <c r="M63" s="1"/>
      <c r="R63" s="3"/>
    </row>
    <row r="64" spans="1:18" ht="15.75">
      <c r="A64" s="1"/>
      <c r="B64" s="400" t="s">
        <v>8</v>
      </c>
      <c r="C64" s="401"/>
      <c r="D64" s="408" t="s">
        <v>9</v>
      </c>
      <c r="E64" s="408"/>
      <c r="F64" s="408"/>
      <c r="G64" s="401"/>
      <c r="H64" s="1"/>
      <c r="I64" s="421"/>
      <c r="J64" s="426"/>
      <c r="K64" s="427"/>
      <c r="L64" s="201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19" t="str">
        <f>AÑO!A16</f>
        <v>Otros</v>
      </c>
      <c r="J65" s="422"/>
      <c r="K65" s="423"/>
      <c r="L65" s="198"/>
      <c r="M65" s="1"/>
      <c r="R65" s="3"/>
    </row>
    <row r="66" spans="1:18" ht="15.75">
      <c r="A66" s="112">
        <f>'02'!A66+(B66-SUM(D66:F77))</f>
        <v>194.97000000000003</v>
      </c>
      <c r="B66" s="133">
        <v>160</v>
      </c>
      <c r="C66" s="19" t="s">
        <v>31</v>
      </c>
      <c r="D66" s="137"/>
      <c r="E66" s="138"/>
      <c r="F66" s="138">
        <v>31</v>
      </c>
      <c r="G66" s="19" t="s">
        <v>303</v>
      </c>
      <c r="H66" s="1"/>
      <c r="I66" s="420"/>
      <c r="J66" s="424"/>
      <c r="K66" s="425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311</v>
      </c>
      <c r="H67" s="1"/>
      <c r="I67" s="420"/>
      <c r="J67" s="424"/>
      <c r="K67" s="425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315</v>
      </c>
      <c r="H68" s="1"/>
      <c r="I68" s="420"/>
      <c r="J68" s="424"/>
      <c r="K68" s="425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326</v>
      </c>
      <c r="H69" s="1"/>
      <c r="I69" s="434"/>
      <c r="J69" s="435"/>
      <c r="K69" s="436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328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358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360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158</v>
      </c>
      <c r="D78" s="137"/>
      <c r="E78" s="138"/>
      <c r="F78" s="138">
        <v>100</v>
      </c>
      <c r="G78" s="16" t="s">
        <v>305</v>
      </c>
      <c r="H78" s="1" t="s">
        <v>158</v>
      </c>
      <c r="M78" s="1"/>
      <c r="R78" s="3"/>
    </row>
    <row r="79" spans="1:18" ht="16.5" thickBot="1">
      <c r="A79" s="112">
        <f>'02'!A79+(B79-SUM(D79:F79))</f>
        <v>40</v>
      </c>
      <c r="B79" s="233">
        <v>10</v>
      </c>
      <c r="C79" s="17" t="s">
        <v>230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234.97000000000003</v>
      </c>
      <c r="B80" s="233">
        <f>SUM(B66:B79)</f>
        <v>280</v>
      </c>
      <c r="C80" s="17" t="s">
        <v>51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8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160</v>
      </c>
      <c r="C86" s="19" t="s">
        <v>197</v>
      </c>
      <c r="D86" s="137">
        <v>49.03</v>
      </c>
      <c r="E86" s="138"/>
      <c r="F86" s="138"/>
      <c r="G86" s="16" t="s">
        <v>330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331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332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336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51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8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'02'!A106+(B106-SUM(D106:F106))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'02'!A107+(B107-SUM(D107:F107))</f>
        <v>70.570000000000022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1776.6500000000008</v>
      </c>
      <c r="B109" s="134">
        <f>37.53-1370+80+10</f>
        <v>-1242.47</v>
      </c>
      <c r="C109" s="18" t="s">
        <v>352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676.14</v>
      </c>
      <c r="B120" s="135">
        <f>SUM(B106:B119)</f>
        <v>-865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8" t="s">
        <v>9</v>
      </c>
      <c r="E124" s="408"/>
      <c r="F124" s="408"/>
      <c r="G124" s="401"/>
      <c r="H124" s="1"/>
      <c r="M124" s="1"/>
      <c r="R124" s="3"/>
    </row>
    <row r="125" spans="1:18" ht="15.75">
      <c r="A125" s="1"/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44</v>
      </c>
      <c r="D126" s="137">
        <f>27.5</f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45</v>
      </c>
      <c r="D127" s="137">
        <v>15</v>
      </c>
      <c r="E127" s="138"/>
      <c r="F127" s="138"/>
      <c r="G127" s="16" t="s">
        <v>149</v>
      </c>
      <c r="H127" s="112" t="s">
        <v>816</v>
      </c>
      <c r="I127" s="113">
        <f>D127+D128+'02'!I127</f>
        <v>35</v>
      </c>
      <c r="M127" s="1"/>
      <c r="R127" s="3"/>
    </row>
    <row r="128" spans="1:18" ht="15.75">
      <c r="A128" s="1"/>
      <c r="B128" s="134">
        <v>8</v>
      </c>
      <c r="C128" s="16" t="s">
        <v>160</v>
      </c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160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51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8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>
        <v>73.66</v>
      </c>
      <c r="E146" s="138"/>
      <c r="F146" s="138"/>
      <c r="G146" s="16" t="s">
        <v>310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324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8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181</v>
      </c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400</v>
      </c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158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400</v>
      </c>
      <c r="B180" s="135">
        <f>SUM(B166:B179)</f>
        <v>390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8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>
        <v>40.5</v>
      </c>
      <c r="E186" s="138"/>
      <c r="F186" s="138"/>
      <c r="G186" s="16" t="s">
        <v>348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51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8" t="s">
        <v>9</v>
      </c>
      <c r="E204" s="408"/>
      <c r="F204" s="408"/>
      <c r="G204" s="401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322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346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51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8" t="s">
        <v>9</v>
      </c>
      <c r="E224" s="408"/>
      <c r="F224" s="408"/>
      <c r="G224" s="401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f>20.98+20.98</f>
        <v>41.96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8" ht="15.75" thickBot="1">
      <c r="B241" s="5"/>
      <c r="C241" s="3"/>
      <c r="D241" s="5"/>
      <c r="E241" s="5"/>
    </row>
    <row r="242" spans="1:8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8" ht="15" customHeight="1" thickBot="1">
      <c r="B243" s="411"/>
      <c r="C243" s="412"/>
      <c r="D243" s="412"/>
      <c r="E243" s="412"/>
      <c r="F243" s="412"/>
      <c r="G243" s="413"/>
    </row>
    <row r="244" spans="1:8" ht="15" customHeight="1">
      <c r="B244" s="400" t="s">
        <v>8</v>
      </c>
      <c r="C244" s="401"/>
      <c r="D244" s="408" t="s">
        <v>9</v>
      </c>
      <c r="E244" s="408"/>
      <c r="F244" s="408"/>
      <c r="G244" s="401"/>
    </row>
    <row r="245" spans="1:8" ht="15" customHeight="1"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316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320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337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347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343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341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342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51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7" ht="15.75" thickBot="1">
      <c r="B261" s="5"/>
      <c r="C261" s="3"/>
      <c r="D261" s="5"/>
      <c r="E261" s="5"/>
    </row>
    <row r="262" spans="1:7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7" ht="15" customHeight="1" thickBot="1">
      <c r="B263" s="411"/>
      <c r="C263" s="412"/>
      <c r="D263" s="412"/>
      <c r="E263" s="412"/>
      <c r="F263" s="412"/>
      <c r="G263" s="413"/>
    </row>
    <row r="264" spans="1:7">
      <c r="B264" s="400" t="s">
        <v>8</v>
      </c>
      <c r="C264" s="401"/>
      <c r="D264" s="408" t="s">
        <v>9</v>
      </c>
      <c r="E264" s="408"/>
      <c r="F264" s="408"/>
      <c r="G264" s="401"/>
    </row>
    <row r="265" spans="1:7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306</v>
      </c>
    </row>
    <row r="267" spans="1:7">
      <c r="B267" s="134">
        <v>4021.94</v>
      </c>
      <c r="C267" s="16" t="s">
        <v>355</v>
      </c>
      <c r="D267" s="137"/>
      <c r="E267" s="138"/>
      <c r="F267" s="138">
        <v>15</v>
      </c>
      <c r="G267" s="16" t="s">
        <v>361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51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8" t="s">
        <v>9</v>
      </c>
      <c r="E284" s="408"/>
      <c r="F284" s="408"/>
      <c r="G284" s="401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2:8">
      <c r="B286" s="133">
        <v>90</v>
      </c>
      <c r="C286" s="19" t="s">
        <v>31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8" t="s">
        <v>9</v>
      </c>
      <c r="E304" s="408"/>
      <c r="F304" s="408"/>
      <c r="G304" s="401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100</v>
      </c>
      <c r="C306" s="19" t="s">
        <v>170</v>
      </c>
      <c r="D306" s="137">
        <v>45.36</v>
      </c>
      <c r="E306" s="138"/>
      <c r="F306" s="138"/>
      <c r="G306" s="16" t="s">
        <v>318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333</v>
      </c>
    </row>
    <row r="308" spans="2:7">
      <c r="B308" s="134">
        <f>L55</f>
        <v>9.44</v>
      </c>
      <c r="C308" s="27" t="s">
        <v>344</v>
      </c>
      <c r="D308" s="137">
        <v>8.27</v>
      </c>
      <c r="E308" s="138"/>
      <c r="F308" s="138"/>
      <c r="G308" s="16" t="s">
        <v>334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354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356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51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51</v>
      </c>
    </row>
    <row r="321" spans="2:7" ht="15.75" thickBot="1"/>
    <row r="322" spans="2:7" ht="14.45" customHeight="1">
      <c r="B322" s="402" t="str">
        <f>AÑO!A36</f>
        <v>Nenas</v>
      </c>
      <c r="C322" s="409"/>
      <c r="D322" s="409"/>
      <c r="E322" s="409"/>
      <c r="F322" s="409"/>
      <c r="G322" s="410"/>
    </row>
    <row r="323" spans="2:7" ht="15" customHeight="1" thickBot="1">
      <c r="B323" s="411"/>
      <c r="C323" s="412"/>
      <c r="D323" s="412"/>
      <c r="E323" s="412"/>
      <c r="F323" s="412"/>
      <c r="G323" s="413"/>
    </row>
    <row r="324" spans="2:7">
      <c r="B324" s="400" t="s">
        <v>8</v>
      </c>
      <c r="C324" s="401"/>
      <c r="D324" s="408" t="s">
        <v>9</v>
      </c>
      <c r="E324" s="408"/>
      <c r="F324" s="408"/>
      <c r="G324" s="401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329</v>
      </c>
    </row>
    <row r="327" spans="2:7">
      <c r="B327" s="134">
        <v>100</v>
      </c>
      <c r="C327" s="16" t="s">
        <v>317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51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02" t="str">
        <f>AÑO!A37</f>
        <v>Imprevistos</v>
      </c>
      <c r="C342" s="409"/>
      <c r="D342" s="409"/>
      <c r="E342" s="409"/>
      <c r="F342" s="409"/>
      <c r="G342" s="410"/>
    </row>
    <row r="343" spans="2:7" ht="15" customHeight="1" thickBot="1">
      <c r="B343" s="411"/>
      <c r="C343" s="412"/>
      <c r="D343" s="412"/>
      <c r="E343" s="412"/>
      <c r="F343" s="412"/>
      <c r="G343" s="413"/>
    </row>
    <row r="344" spans="2:7">
      <c r="B344" s="400" t="s">
        <v>8</v>
      </c>
      <c r="C344" s="401"/>
      <c r="D344" s="408" t="s">
        <v>9</v>
      </c>
      <c r="E344" s="408"/>
      <c r="F344" s="408"/>
      <c r="G344" s="401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2:7">
      <c r="B346" s="133">
        <v>45</v>
      </c>
      <c r="C346" s="19" t="s">
        <v>195</v>
      </c>
      <c r="D346" s="137">
        <v>16</v>
      </c>
      <c r="E346" s="138"/>
      <c r="F346" s="138"/>
      <c r="G346" s="16" t="s">
        <v>307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308</v>
      </c>
    </row>
    <row r="348" spans="2:7">
      <c r="B348" s="134"/>
      <c r="C348" s="16"/>
      <c r="D348" s="137">
        <v>16</v>
      </c>
      <c r="E348" s="138"/>
      <c r="F348" s="138"/>
      <c r="G348" s="16" t="s">
        <v>321</v>
      </c>
    </row>
    <row r="349" spans="2:7">
      <c r="B349" s="134"/>
      <c r="C349" s="16"/>
      <c r="D349" s="137">
        <v>10</v>
      </c>
      <c r="E349" s="138"/>
      <c r="F349" s="138"/>
      <c r="G349" s="16" t="s">
        <v>322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51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2:7" ht="15" customHeight="1" thickBot="1">
      <c r="B363" s="411"/>
      <c r="C363" s="412"/>
      <c r="D363" s="412"/>
      <c r="E363" s="412"/>
      <c r="F363" s="412"/>
      <c r="G363" s="413"/>
    </row>
    <row r="364" spans="2:7">
      <c r="B364" s="400" t="s">
        <v>8</v>
      </c>
      <c r="C364" s="401"/>
      <c r="D364" s="408" t="s">
        <v>9</v>
      </c>
      <c r="E364" s="408"/>
      <c r="F364" s="408"/>
      <c r="G364" s="401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2:7">
      <c r="B366" s="133">
        <v>70</v>
      </c>
      <c r="C366" s="19" t="s">
        <v>31</v>
      </c>
      <c r="D366" s="137"/>
      <c r="E366" s="138"/>
      <c r="F366" s="138">
        <f>3.5+4.45+8.3+3.4+4.45+4+4.5</f>
        <v>32.599999999999994</v>
      </c>
      <c r="G366" s="31" t="s">
        <v>65</v>
      </c>
    </row>
    <row r="367" spans="2:7">
      <c r="B367" s="134"/>
      <c r="C367" s="16"/>
      <c r="D367" s="137"/>
      <c r="E367" s="138"/>
      <c r="F367" s="138">
        <v>12</v>
      </c>
      <c r="G367" s="31" t="s">
        <v>335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9"/>
      <c r="D382" s="409"/>
      <c r="E382" s="409"/>
      <c r="F382" s="409"/>
      <c r="G382" s="410"/>
    </row>
    <row r="383" spans="2:7" ht="15" customHeight="1" thickBot="1">
      <c r="B383" s="411"/>
      <c r="C383" s="412"/>
      <c r="D383" s="412"/>
      <c r="E383" s="412"/>
      <c r="F383" s="412"/>
      <c r="G383" s="413"/>
    </row>
    <row r="384" spans="2:7">
      <c r="B384" s="400" t="s">
        <v>8</v>
      </c>
      <c r="C384" s="401"/>
      <c r="D384" s="408" t="s">
        <v>9</v>
      </c>
      <c r="E384" s="408"/>
      <c r="F384" s="408"/>
      <c r="G384" s="401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350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8" t="s">
        <v>9</v>
      </c>
      <c r="E404" s="408"/>
      <c r="F404" s="408"/>
      <c r="G404" s="401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239</v>
      </c>
    </row>
    <row r="407" spans="2:7">
      <c r="B407" s="134">
        <v>-984.2</v>
      </c>
      <c r="C407" s="16" t="s">
        <v>350</v>
      </c>
      <c r="D407" s="137">
        <v>44.93</v>
      </c>
      <c r="E407" s="138"/>
      <c r="F407" s="138"/>
      <c r="G407" s="16" t="s">
        <v>349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51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8" t="s">
        <v>9</v>
      </c>
      <c r="E424" s="408"/>
      <c r="F424" s="408"/>
      <c r="G424" s="401"/>
    </row>
    <row r="425" spans="1:7">
      <c r="A425" s="113">
        <f>AÑO!K17</f>
        <v>8724.6099999999988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-119.16000000000167</v>
      </c>
      <c r="C426" s="19" t="s">
        <v>227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4084.2</v>
      </c>
      <c r="C446" s="19" t="s">
        <v>353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NULO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9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9" ht="15.75">
      <c r="A466" s="112">
        <f>'02'!A466+(B466-SUM(D466:F466))</f>
        <v>-500</v>
      </c>
      <c r="B466" s="134">
        <v>-500</v>
      </c>
      <c r="C466" s="16" t="s">
        <v>351</v>
      </c>
      <c r="D466" s="137"/>
      <c r="E466" s="138"/>
      <c r="F466" s="138"/>
      <c r="G466" s="16"/>
    </row>
    <row r="467" spans="1:9" ht="15.75">
      <c r="A467" s="112">
        <f>'02'!A467+(B467-SUM(D467:F467))</f>
        <v>-207.79000000000002</v>
      </c>
      <c r="B467" s="134">
        <f>35+40</f>
        <v>75</v>
      </c>
      <c r="C467" s="16" t="s">
        <v>182</v>
      </c>
      <c r="D467" s="137"/>
      <c r="E467" s="138"/>
      <c r="F467" s="138"/>
      <c r="G467" s="16"/>
    </row>
    <row r="468" spans="1:9" ht="15.75">
      <c r="A468" s="112">
        <f>'02'!A468+(B468-SUM(D468:F468))</f>
        <v>40.21</v>
      </c>
      <c r="B468" s="134">
        <f>15+5</f>
        <v>20</v>
      </c>
      <c r="C468" s="16" t="s">
        <v>183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-667.57999999999993</v>
      </c>
      <c r="B480" s="135">
        <f>SUM(B466:B479)</f>
        <v>-405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8" t="s">
        <v>9</v>
      </c>
      <c r="E504" s="408"/>
      <c r="F504" s="408"/>
      <c r="G504" s="401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>
        <v>25.94</v>
      </c>
      <c r="E506" s="138"/>
      <c r="F506" s="138"/>
      <c r="G506" s="16" t="s">
        <v>357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00000000-0004-0000-0300-000000000000}"/>
    <hyperlink ref="I22:L23" location="AÑO!K7:N17" display="INGRESOS" xr:uid="{00000000-0004-0000-0300-000001000000}"/>
    <hyperlink ref="I2" location="Trimestre!C39:F40" display="TELÉFONO" xr:uid="{00000000-0004-0000-0300-000002000000}"/>
    <hyperlink ref="I2:L3" location="AÑO!K4:N5" display="SALDO REAL" xr:uid="{00000000-0004-0000-0300-000003000000}"/>
    <hyperlink ref="B2" location="Trimestre!C25:F26" display="HIPOTECA" xr:uid="{00000000-0004-0000-0300-000004000000}"/>
    <hyperlink ref="B2:G3" location="AÑO!K20:N20" display="AÑO!K20:N20" xr:uid="{00000000-0004-0000-0300-000005000000}"/>
    <hyperlink ref="B22" location="Trimestre!C25:F26" display="HIPOTECA" xr:uid="{00000000-0004-0000-0300-000006000000}"/>
    <hyperlink ref="B22:G23" location="AÑO!K21:N21" display="AÑO!K21:N21" xr:uid="{00000000-0004-0000-0300-000007000000}"/>
    <hyperlink ref="B42" location="Trimestre!C25:F26" display="HIPOTECA" xr:uid="{00000000-0004-0000-0300-000008000000}"/>
    <hyperlink ref="B42:G43" location="AÑO!K22:N22" display="AÑO!K22:N22" xr:uid="{00000000-0004-0000-0300-000009000000}"/>
    <hyperlink ref="B62" location="Trimestre!C25:F26" display="HIPOTECA" xr:uid="{00000000-0004-0000-0300-00000A000000}"/>
    <hyperlink ref="B62:G63" location="AÑO!K23:N23" display="AÑO!K23:N23" xr:uid="{00000000-0004-0000-0300-00000B000000}"/>
    <hyperlink ref="B82" location="Trimestre!C25:F26" display="HIPOTECA" xr:uid="{00000000-0004-0000-0300-00000C000000}"/>
    <hyperlink ref="B82:G83" location="AÑO!K24:N24" display="AÑO!K24:N24" xr:uid="{00000000-0004-0000-0300-00000D000000}"/>
    <hyperlink ref="B102" location="Trimestre!C25:F26" display="HIPOTECA" xr:uid="{00000000-0004-0000-0300-00000E000000}"/>
    <hyperlink ref="B102:G103" location="AÑO!K25:N25" display="AÑO!K25:N25" xr:uid="{00000000-0004-0000-0300-00000F000000}"/>
    <hyperlink ref="B122" location="Trimestre!C25:F26" display="HIPOTECA" xr:uid="{00000000-0004-0000-0300-000010000000}"/>
    <hyperlink ref="B122:G123" location="AÑO!K26:N26" display="AÑO!K26:N26" xr:uid="{00000000-0004-0000-0300-000011000000}"/>
    <hyperlink ref="B142" location="Trimestre!C25:F26" display="HIPOTECA" xr:uid="{00000000-0004-0000-0300-000012000000}"/>
    <hyperlink ref="B142:G143" location="AÑO!K27:N27" display="AÑO!K27:N27" xr:uid="{00000000-0004-0000-0300-000013000000}"/>
    <hyperlink ref="B162" location="Trimestre!C25:F26" display="HIPOTECA" xr:uid="{00000000-0004-0000-0300-000014000000}"/>
    <hyperlink ref="B162:G163" location="AÑO!K28:N28" display="AÑO!K28:N28" xr:uid="{00000000-0004-0000-0300-000015000000}"/>
    <hyperlink ref="B182" location="Trimestre!C25:F26" display="HIPOTECA" xr:uid="{00000000-0004-0000-0300-000016000000}"/>
    <hyperlink ref="B182:G183" location="AÑO!K29:N29" display="AÑO!K29:N29" xr:uid="{00000000-0004-0000-0300-000017000000}"/>
    <hyperlink ref="B202" location="Trimestre!C25:F26" display="HIPOTECA" xr:uid="{00000000-0004-0000-0300-000018000000}"/>
    <hyperlink ref="B202:G203" location="AÑO!K30:N30" display="AÑO!K30:N30" xr:uid="{00000000-0004-0000-0300-000019000000}"/>
    <hyperlink ref="B222" location="Trimestre!C25:F26" display="HIPOTECA" xr:uid="{00000000-0004-0000-0300-00001A000000}"/>
    <hyperlink ref="B222:G223" location="AÑO!K31:N31" display="AÑO!K31:N31" xr:uid="{00000000-0004-0000-0300-00001B000000}"/>
    <hyperlink ref="B242" location="Trimestre!C25:F26" display="HIPOTECA" xr:uid="{00000000-0004-0000-0300-00001C000000}"/>
    <hyperlink ref="B242:G243" location="AÑO!K32:N32" display="AÑO!K32:N32" xr:uid="{00000000-0004-0000-0300-00001D000000}"/>
    <hyperlink ref="B262" location="Trimestre!C25:F26" display="HIPOTECA" xr:uid="{00000000-0004-0000-0300-00001E000000}"/>
    <hyperlink ref="B262:G263" location="AÑO!K33:N33" display="AÑO!K33:N33" xr:uid="{00000000-0004-0000-0300-00001F000000}"/>
    <hyperlink ref="B282" location="Trimestre!C25:F26" display="HIPOTECA" xr:uid="{00000000-0004-0000-0300-000020000000}"/>
    <hyperlink ref="B282:G283" location="AÑO!K34:N34" display="AÑO!K34:N34" xr:uid="{00000000-0004-0000-0300-000021000000}"/>
    <hyperlink ref="B302" location="Trimestre!C25:F26" display="HIPOTECA" xr:uid="{00000000-0004-0000-0300-000022000000}"/>
    <hyperlink ref="B302:G303" location="AÑO!K35:N35" display="AÑO!K35:N35" xr:uid="{00000000-0004-0000-0300-000023000000}"/>
    <hyperlink ref="B322" location="Trimestre!C25:F26" display="HIPOTECA" xr:uid="{00000000-0004-0000-0300-000024000000}"/>
    <hyperlink ref="B322:G323" location="AÑO!K36:N36" display="AÑO!K36:N36" xr:uid="{00000000-0004-0000-0300-000025000000}"/>
    <hyperlink ref="B342" location="Trimestre!C25:F26" display="HIPOTECA" xr:uid="{00000000-0004-0000-0300-000026000000}"/>
    <hyperlink ref="B342:G343" location="AÑO!K37:N37" display="AÑO!K37:N37" xr:uid="{00000000-0004-0000-0300-000027000000}"/>
    <hyperlink ref="B362" location="Trimestre!C25:F26" display="HIPOTECA" xr:uid="{00000000-0004-0000-0300-000028000000}"/>
    <hyperlink ref="B362:G363" location="AÑO!K38:N38" display="AÑO!K38:N38" xr:uid="{00000000-0004-0000-0300-000029000000}"/>
    <hyperlink ref="B382" location="Trimestre!C25:F26" display="HIPOTECA" xr:uid="{00000000-0004-0000-0300-00002A000000}"/>
    <hyperlink ref="B382:G383" location="AÑO!K39:N39" display="AÑO!K39:N39" xr:uid="{00000000-0004-0000-0300-00002B000000}"/>
    <hyperlink ref="B402" location="Trimestre!C25:F26" display="HIPOTECA" xr:uid="{00000000-0004-0000-0300-00002C000000}"/>
    <hyperlink ref="B402:G403" location="AÑO!K40:N40" display="AÑO!K40:N40" xr:uid="{00000000-0004-0000-0300-00002D000000}"/>
    <hyperlink ref="B422" location="Trimestre!C25:F26" display="HIPOTECA" xr:uid="{00000000-0004-0000-0300-00002E000000}"/>
    <hyperlink ref="B422:G423" location="AÑO!K41:N41" display="AÑO!K41:N41" xr:uid="{00000000-0004-0000-0300-00002F000000}"/>
    <hyperlink ref="B442" location="Trimestre!C25:F26" display="HIPOTECA" xr:uid="{00000000-0004-0000-0300-000030000000}"/>
    <hyperlink ref="B442:G443" location="AÑO!K42:N42" display="AÑO!K42:N42" xr:uid="{00000000-0004-0000-0300-000031000000}"/>
    <hyperlink ref="B462" location="Trimestre!C25:F26" display="HIPOTECA" xr:uid="{00000000-0004-0000-0300-000032000000}"/>
    <hyperlink ref="B462:G463" location="AÑO!K43:N43" display="AÑO!K43:N43" xr:uid="{00000000-0004-0000-0300-000033000000}"/>
    <hyperlink ref="B482" location="Trimestre!C25:F26" display="HIPOTECA" xr:uid="{00000000-0004-0000-0300-000034000000}"/>
    <hyperlink ref="B482:G483" location="AÑO!K44:N44" display="AÑO!K44:N44" xr:uid="{00000000-0004-0000-0300-000035000000}"/>
    <hyperlink ref="B502" location="Trimestre!C25:F26" display="HIPOTECA" xr:uid="{00000000-0004-0000-0300-000036000000}"/>
    <hyperlink ref="B502:G503" location="AÑO!K45:N45" display="AÑO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115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55</v>
      </c>
      <c r="J4" s="105" t="s">
        <v>56</v>
      </c>
      <c r="K4" s="428" t="s">
        <v>57</v>
      </c>
      <c r="L4" s="429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0">
        <v>861.84</v>
      </c>
      <c r="L5" s="431"/>
      <c r="M5" s="1"/>
      <c r="N5" s="1"/>
      <c r="R5" s="3"/>
    </row>
    <row r="6" spans="1:22" ht="15.75">
      <c r="A6" s="112">
        <f>'03'!A6+(B6-SUM(D6:F6))</f>
        <v>395.26</v>
      </c>
      <c r="B6" s="133">
        <v>403.08</v>
      </c>
      <c r="C6" s="19" t="s">
        <v>314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4">
        <v>620.08000000000004</v>
      </c>
      <c r="L6" s="415"/>
      <c r="M6" s="1" t="s">
        <v>163</v>
      </c>
      <c r="N6" s="1"/>
      <c r="R6" s="3"/>
    </row>
    <row r="7" spans="1:22" ht="15.75">
      <c r="A7" s="112">
        <f>'03'!A7+(B7-SUM(D7:F7))</f>
        <v>-34.520000000000039</v>
      </c>
      <c r="B7" s="134">
        <v>67.19</v>
      </c>
      <c r="C7" s="16" t="s">
        <v>338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4">
        <v>10075.709999999999</v>
      </c>
      <c r="L7" s="415"/>
      <c r="M7" s="1"/>
      <c r="N7" s="1"/>
      <c r="R7" s="3"/>
    </row>
    <row r="8" spans="1:22" ht="15.75">
      <c r="A8" s="112">
        <f>'03'!A8+(B8-SUM(D8:F8))</f>
        <v>-218.20999999999998</v>
      </c>
      <c r="B8" s="134">
        <v>0</v>
      </c>
      <c r="C8" s="16" t="s">
        <v>33</v>
      </c>
      <c r="D8" s="137"/>
      <c r="E8" s="113">
        <v>102.44</v>
      </c>
      <c r="F8" s="138"/>
      <c r="G8" s="16" t="s">
        <v>33</v>
      </c>
      <c r="H8" s="1"/>
      <c r="I8" s="108" t="s">
        <v>61</v>
      </c>
      <c r="J8" s="107" t="s">
        <v>63</v>
      </c>
      <c r="K8" s="414">
        <v>3501.87</v>
      </c>
      <c r="L8" s="415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155</v>
      </c>
      <c r="K9" s="414">
        <v>35.96</v>
      </c>
      <c r="L9" s="415"/>
      <c r="M9" s="1"/>
      <c r="N9" s="1"/>
      <c r="R9" s="3"/>
    </row>
    <row r="10" spans="1:22" ht="15.75">
      <c r="A10" s="112">
        <f>'03'!A10+(B10-SUM(D10:F10))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4">
        <v>1802.02</v>
      </c>
      <c r="L10" s="415"/>
      <c r="M10" s="1" t="s">
        <v>154</v>
      </c>
      <c r="N10" s="1"/>
      <c r="R10" s="3"/>
    </row>
    <row r="11" spans="1:22" ht="15.75">
      <c r="A11" s="112">
        <f>'03'!A11+(B11-SUM(D11:F11))</f>
        <v>30.230000000000004</v>
      </c>
      <c r="B11" s="134">
        <v>30.23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4">
        <v>370</v>
      </c>
      <c r="L11" s="415"/>
      <c r="M11" s="1"/>
      <c r="N11" s="1"/>
      <c r="R11" s="3"/>
    </row>
    <row r="12" spans="1:22" ht="15.75">
      <c r="A12" s="112">
        <f>'03'!A12+(B12-SUM(D12:F12))</f>
        <v>119.54000000000002</v>
      </c>
      <c r="B12" s="134">
        <v>25</v>
      </c>
      <c r="C12" s="16" t="s">
        <v>201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14">
        <f>5092.08+4084.2</f>
        <v>9176.2799999999988</v>
      </c>
      <c r="L12" s="415"/>
      <c r="M12" s="92"/>
      <c r="N12" s="1"/>
      <c r="R12" s="3"/>
    </row>
    <row r="13" spans="1:22" ht="15.75">
      <c r="A13" s="112">
        <f>'03'!A13+(B13-SUM(D13:F13))</f>
        <v>4.5</v>
      </c>
      <c r="B13" s="134">
        <v>6.5</v>
      </c>
      <c r="C13" s="16" t="s">
        <v>264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8">
        <f>SUM(K5:K18)</f>
        <v>26443.759999999998</v>
      </c>
      <c r="L19" s="439"/>
      <c r="M19" s="1"/>
      <c r="N19" s="1"/>
      <c r="R19" s="3"/>
    </row>
    <row r="20" spans="1:18" ht="16.5" thickBot="1">
      <c r="A20" s="112">
        <f>SUM(A6:A15)</f>
        <v>320.8</v>
      </c>
      <c r="B20" s="135">
        <f>SUM(B6:B19)</f>
        <v>544</v>
      </c>
      <c r="C20" s="17" t="s">
        <v>51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29</v>
      </c>
      <c r="J24" s="432" t="s">
        <v>85</v>
      </c>
      <c r="K24" s="433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19" t="str">
        <f>AÑO!A8</f>
        <v>Manolo Salario</v>
      </c>
      <c r="J25" s="422" t="s">
        <v>339</v>
      </c>
      <c r="K25" s="423"/>
      <c r="L25" s="231">
        <v>2570.56</v>
      </c>
      <c r="M25" s="1">
        <f>16*1.09</f>
        <v>17.440000000000001</v>
      </c>
      <c r="R25" s="3"/>
    </row>
    <row r="26" spans="1:18" ht="15.75">
      <c r="A26" s="112">
        <f>'03'!A26+(B26-SUM(D26:F26))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'03'!A27+(B27-SUM(D27:F27))</f>
        <v>209.01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'03'!A29+(B29-SUM(D29:F29))</f>
        <v>19.330000000000002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'03'!A30+(B30-SUM(D30:F30))</f>
        <v>191.27999999999997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300</v>
      </c>
      <c r="K30" s="423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368</v>
      </c>
      <c r="K31" s="425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266</v>
      </c>
      <c r="K32" s="425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212</v>
      </c>
      <c r="J35" s="422"/>
      <c r="K35" s="423"/>
      <c r="L35" s="231">
        <v>204.23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1525.74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19" t="str">
        <f>AÑO!A11</f>
        <v>Finanazas</v>
      </c>
      <c r="J40" s="422" t="s">
        <v>362</v>
      </c>
      <c r="K40" s="423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 t="s">
        <v>382</v>
      </c>
      <c r="K41" s="425"/>
      <c r="L41" s="229">
        <v>352.82</v>
      </c>
      <c r="M41" s="1"/>
      <c r="R41" s="3"/>
    </row>
    <row r="42" spans="1:18" ht="15.6" customHeight="1">
      <c r="A42" s="1"/>
      <c r="B42" s="402" t="str">
        <f>AÑO!A22</f>
        <v>Supermercado</v>
      </c>
      <c r="C42" s="409"/>
      <c r="D42" s="409"/>
      <c r="E42" s="409"/>
      <c r="F42" s="409"/>
      <c r="G42" s="410"/>
      <c r="H42" s="1"/>
      <c r="I42" s="420"/>
      <c r="J42" s="424" t="s">
        <v>58</v>
      </c>
      <c r="K42" s="425"/>
      <c r="L42" s="229">
        <v>0.02</v>
      </c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19" t="str">
        <f>AÑO!A12</f>
        <v>Regalos</v>
      </c>
      <c r="J45" s="422"/>
      <c r="K45" s="423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383</v>
      </c>
      <c r="H46" s="1"/>
      <c r="I46" s="420"/>
      <c r="J46" s="424"/>
      <c r="K46" s="425"/>
      <c r="L46" s="229"/>
      <c r="M46" s="1"/>
      <c r="R46" s="3"/>
    </row>
    <row r="47" spans="1:18" ht="15.75">
      <c r="A47" s="1"/>
      <c r="B47" s="134">
        <v>30.35</v>
      </c>
      <c r="C47" s="16" t="s">
        <v>76</v>
      </c>
      <c r="D47" s="137">
        <v>12.4</v>
      </c>
      <c r="E47" s="138"/>
      <c r="F47" s="138"/>
      <c r="G47" s="16" t="s">
        <v>389</v>
      </c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>
        <v>40</v>
      </c>
      <c r="C48" s="16" t="s">
        <v>367</v>
      </c>
      <c r="D48" s="137">
        <v>5.35</v>
      </c>
      <c r="E48" s="138"/>
      <c r="F48" s="138"/>
      <c r="G48" s="16" t="s">
        <v>394</v>
      </c>
      <c r="H48" s="1"/>
      <c r="I48" s="420"/>
      <c r="J48" s="424"/>
      <c r="K48" s="425"/>
      <c r="L48" s="229"/>
      <c r="M48" s="1"/>
      <c r="R48" s="3"/>
    </row>
    <row r="49" spans="1:18" ht="15.75">
      <c r="A49" s="1"/>
      <c r="B49" s="134"/>
      <c r="C49" s="16" t="s">
        <v>399</v>
      </c>
      <c r="D49" s="137"/>
      <c r="E49" s="138"/>
      <c r="F49" s="138"/>
      <c r="G49" s="16"/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>
        <v>-146</v>
      </c>
      <c r="C50" s="16" t="s">
        <v>402</v>
      </c>
      <c r="D50" s="137"/>
      <c r="E50" s="138"/>
      <c r="F50" s="138"/>
      <c r="G50" s="16"/>
      <c r="H50" s="1"/>
      <c r="I50" s="419" t="str">
        <f>AÑO!A13</f>
        <v>Gubernamental</v>
      </c>
      <c r="J50" s="422" t="s">
        <v>371</v>
      </c>
      <c r="K50" s="423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37" t="str">
        <f>'03'!G307</f>
        <v>22/03 Chirec</v>
      </c>
      <c r="K55" s="423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40" t="str">
        <f>'03'!G309</f>
        <v>26/03 Ginecologa</v>
      </c>
      <c r="K56" s="425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 t="s">
        <v>386</v>
      </c>
      <c r="K57" s="425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51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19" t="str">
        <f>AÑO!A15</f>
        <v>Alquiler Cartama</v>
      </c>
      <c r="J60" s="422"/>
      <c r="K60" s="423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'03'!A66+(B66+B67-SUM(D66:F78))</f>
        <v>253.97000000000003</v>
      </c>
      <c r="B66" s="133">
        <v>160</v>
      </c>
      <c r="C66" s="19" t="s">
        <v>31</v>
      </c>
      <c r="D66" s="137"/>
      <c r="E66" s="138"/>
      <c r="F66" s="138">
        <v>10</v>
      </c>
      <c r="G66" s="19" t="s">
        <v>390</v>
      </c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>
        <v>-50</v>
      </c>
      <c r="C67" s="16" t="s">
        <v>402</v>
      </c>
      <c r="D67" s="137">
        <v>41</v>
      </c>
      <c r="E67" s="138"/>
      <c r="F67" s="138"/>
      <c r="G67" s="31" t="s">
        <v>396</v>
      </c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4"/>
      <c r="J69" s="435"/>
      <c r="K69" s="436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50</v>
      </c>
      <c r="B79" s="233">
        <v>10</v>
      </c>
      <c r="C79" s="17" t="s">
        <v>230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303.97000000000003</v>
      </c>
      <c r="B80" s="233">
        <f>SUM(B66:B79)</f>
        <v>120</v>
      </c>
      <c r="C80" s="17" t="s">
        <v>51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160</v>
      </c>
      <c r="C86" s="19" t="s">
        <v>197</v>
      </c>
      <c r="D86" s="137">
        <v>57.56</v>
      </c>
      <c r="E86" s="138"/>
      <c r="F86" s="138"/>
      <c r="G86" s="16" t="s">
        <v>380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397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403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'03'!A106+(B106-SUM(D106:F106))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'03'!A107+(B107-SUM(D107:F107))</f>
        <v>70.660000000000025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'03'!A108+(B108-SUM(D108:F109))</f>
        <v>333.09999999999991</v>
      </c>
      <c r="B108" s="134">
        <v>50</v>
      </c>
      <c r="C108" s="18" t="s">
        <v>184</v>
      </c>
      <c r="D108" s="137">
        <v>50</v>
      </c>
      <c r="E108" s="138"/>
      <c r="F108" s="138"/>
      <c r="G108" s="34" t="s">
        <v>392</v>
      </c>
      <c r="H108" s="1"/>
      <c r="M108" s="1"/>
      <c r="R108" s="3"/>
    </row>
    <row r="109" spans="1:18" ht="15.75">
      <c r="A109" s="112">
        <f>'03'!A109+(B109+B110+B111-SUM(D110:F119))</f>
        <v>3332.5300000000007</v>
      </c>
      <c r="B109" s="134">
        <v>67.53</v>
      </c>
      <c r="C109" s="18" t="s">
        <v>393</v>
      </c>
      <c r="D109" s="137">
        <v>11</v>
      </c>
      <c r="E109" s="138"/>
      <c r="F109" s="138">
        <v>3</v>
      </c>
      <c r="G109" s="31" t="s">
        <v>398</v>
      </c>
      <c r="H109" s="1"/>
      <c r="M109" s="1"/>
      <c r="R109" s="3"/>
    </row>
    <row r="110" spans="1:18" ht="15.75">
      <c r="B110" s="134">
        <v>1370</v>
      </c>
      <c r="C110" s="18" t="s">
        <v>381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382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662.23</v>
      </c>
      <c r="B120" s="135">
        <f>SUM(B106:B119)</f>
        <v>1933.35</v>
      </c>
      <c r="C120" s="17" t="s">
        <v>51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'03'!A126+(B126-SUM(D126:F126))</f>
        <v>2.5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'03'!A127+(B127-SUM(D127:F128))</f>
        <v>-2.5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816</v>
      </c>
      <c r="I127" s="113">
        <f>D127+D128+'03'!I127</f>
        <v>55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160</v>
      </c>
      <c r="D129" s="137"/>
      <c r="E129" s="138">
        <v>7.99</v>
      </c>
      <c r="F129" s="138"/>
      <c r="G129" s="16" t="s">
        <v>160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0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>
        <v>16.579999999999998</v>
      </c>
      <c r="E146" s="138"/>
      <c r="F146" s="138"/>
      <c r="G146" s="16" t="s">
        <v>364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>
        <v>87.3</v>
      </c>
      <c r="E166" s="138"/>
      <c r="F166" s="138"/>
      <c r="G166" s="16" t="s">
        <v>372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375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377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378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384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388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401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51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>
        <f>25.99</f>
        <v>25.99</v>
      </c>
      <c r="E186" s="138"/>
      <c r="F186" s="138"/>
      <c r="G186" s="16" t="s">
        <v>374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366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51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373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340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347</v>
      </c>
      <c r="D256" s="137"/>
      <c r="E256" s="138"/>
      <c r="F256" s="138"/>
      <c r="G256" s="16"/>
    </row>
    <row r="257" spans="1:7" ht="15.75">
      <c r="A257" s="112">
        <f>'03'!A257+(B257-SUM(D257:F257))</f>
        <v>269.13</v>
      </c>
      <c r="B257" s="134">
        <f>40+169.13</f>
        <v>209.13</v>
      </c>
      <c r="C257" s="16" t="s">
        <v>369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341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342</v>
      </c>
      <c r="D259" s="135"/>
      <c r="E259" s="139"/>
      <c r="F259" s="139"/>
      <c r="G259" s="17"/>
    </row>
    <row r="260" spans="1:7" ht="16.5" thickBot="1">
      <c r="A260" s="112">
        <f>SUM(A246:A259)</f>
        <v>413.85</v>
      </c>
      <c r="B260" s="135">
        <f>SUM(B246:B259)</f>
        <v>269.13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7" ht="15.75" thickBot="1">
      <c r="B261" s="5"/>
      <c r="C261" s="3"/>
      <c r="D261" s="5"/>
      <c r="E261" s="5"/>
    </row>
    <row r="262" spans="1:7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7" ht="15" customHeight="1" thickBot="1">
      <c r="B263" s="411"/>
      <c r="C263" s="412"/>
      <c r="D263" s="412"/>
      <c r="E263" s="412"/>
      <c r="F263" s="412"/>
      <c r="G263" s="413"/>
    </row>
    <row r="264" spans="1:7">
      <c r="B264" s="400" t="s">
        <v>8</v>
      </c>
      <c r="C264" s="401"/>
      <c r="D264" s="400" t="s">
        <v>9</v>
      </c>
      <c r="E264" s="408"/>
      <c r="F264" s="408"/>
      <c r="G264" s="401"/>
    </row>
    <row r="265" spans="1:7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365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0" t="s">
        <v>9</v>
      </c>
      <c r="E284" s="408"/>
      <c r="F284" s="408"/>
      <c r="G284" s="401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2:8">
      <c r="B286" s="133">
        <v>90</v>
      </c>
      <c r="C286" s="19" t="s">
        <v>31</v>
      </c>
      <c r="D286" s="137">
        <v>9.9</v>
      </c>
      <c r="E286" s="138"/>
      <c r="F286" s="138"/>
      <c r="G286" s="16" t="s">
        <v>370</v>
      </c>
    </row>
    <row r="287" spans="2:8">
      <c r="B287" s="134"/>
      <c r="C287" s="16"/>
      <c r="D287" s="137">
        <v>9.65</v>
      </c>
      <c r="E287" s="138"/>
      <c r="F287" s="138"/>
      <c r="G287" s="16" t="s">
        <v>376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385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115</v>
      </c>
      <c r="C306" s="19" t="s">
        <v>226</v>
      </c>
      <c r="D306" s="137">
        <f>37.5+37.5</f>
        <v>75</v>
      </c>
      <c r="E306" s="138"/>
      <c r="F306" s="138"/>
      <c r="G306" s="16" t="s">
        <v>400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379</v>
      </c>
    </row>
    <row r="308" spans="2:7">
      <c r="B308" s="134">
        <f>L55+L56+L57</f>
        <v>37.980000000000004</v>
      </c>
      <c r="C308" s="27" t="s">
        <v>404</v>
      </c>
      <c r="D308" s="137"/>
      <c r="E308" s="138"/>
      <c r="F308" s="138">
        <v>50</v>
      </c>
      <c r="G308" s="16" t="s">
        <v>386</v>
      </c>
    </row>
    <row r="309" spans="2:7">
      <c r="B309" s="134"/>
      <c r="C309" s="16"/>
      <c r="D309" s="137">
        <v>63.9</v>
      </c>
      <c r="E309" s="138"/>
      <c r="F309" s="138"/>
      <c r="G309" s="16" t="s">
        <v>406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167.98000000000002</v>
      </c>
      <c r="C320" s="17" t="s">
        <v>51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51</v>
      </c>
    </row>
    <row r="321" spans="2:7" ht="15.75" thickBot="1"/>
    <row r="322" spans="2:7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58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02" t="str">
        <f>AÑO!A37</f>
        <v>Imprevistos</v>
      </c>
      <c r="C342" s="409"/>
      <c r="D342" s="409"/>
      <c r="E342" s="409"/>
      <c r="F342" s="409"/>
      <c r="G342" s="410"/>
    </row>
    <row r="343" spans="2:7" ht="15" customHeight="1" thickBot="1">
      <c r="B343" s="411"/>
      <c r="C343" s="412"/>
      <c r="D343" s="412"/>
      <c r="E343" s="412"/>
      <c r="F343" s="412"/>
      <c r="G343" s="413"/>
    </row>
    <row r="344" spans="2:7">
      <c r="B344" s="400" t="s">
        <v>8</v>
      </c>
      <c r="C344" s="401"/>
      <c r="D344" s="400" t="s">
        <v>9</v>
      </c>
      <c r="E344" s="408"/>
      <c r="F344" s="408"/>
      <c r="G344" s="401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2:7">
      <c r="B346" s="133">
        <v>45</v>
      </c>
      <c r="C346" s="19" t="s">
        <v>195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2:7" ht="15" customHeight="1" thickBot="1">
      <c r="B363" s="411"/>
      <c r="C363" s="412"/>
      <c r="D363" s="412"/>
      <c r="E363" s="412"/>
      <c r="F363" s="412"/>
      <c r="G363" s="413"/>
    </row>
    <row r="364" spans="2:7">
      <c r="B364" s="400" t="s">
        <v>8</v>
      </c>
      <c r="C364" s="401"/>
      <c r="D364" s="400" t="s">
        <v>9</v>
      </c>
      <c r="E364" s="408"/>
      <c r="F364" s="408"/>
      <c r="G364" s="401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2:7">
      <c r="B366" s="133">
        <v>70</v>
      </c>
      <c r="C366" s="19" t="s">
        <v>31</v>
      </c>
      <c r="D366" s="137"/>
      <c r="E366" s="138"/>
      <c r="F366" s="138">
        <f>3.4+4.45+4.7+2.8+4.45+4.5</f>
        <v>24.3</v>
      </c>
      <c r="G366" s="31" t="s">
        <v>65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381</v>
      </c>
      <c r="D387" s="137"/>
      <c r="E387" s="138"/>
      <c r="F387" s="138"/>
      <c r="G387" s="16"/>
    </row>
    <row r="388" spans="2:7">
      <c r="B388" s="134">
        <v>106.26</v>
      </c>
      <c r="C388" s="27" t="s">
        <v>382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363</v>
      </c>
    </row>
    <row r="407" spans="2:7">
      <c r="B407" s="134">
        <v>3.75</v>
      </c>
      <c r="C407" s="16" t="s">
        <v>362</v>
      </c>
      <c r="D407" s="137"/>
      <c r="E407" s="138">
        <f>10+10</f>
        <v>20</v>
      </c>
      <c r="F407" s="138"/>
      <c r="G407" s="16" t="s">
        <v>387</v>
      </c>
    </row>
    <row r="408" spans="2:7">
      <c r="B408" s="134">
        <v>984.2</v>
      </c>
      <c r="C408" s="18" t="s">
        <v>381</v>
      </c>
      <c r="D408" s="137"/>
      <c r="E408" s="138"/>
      <c r="F408" s="138"/>
      <c r="G408" s="16"/>
    </row>
    <row r="409" spans="2:7">
      <c r="B409" s="134">
        <v>85.02</v>
      </c>
      <c r="C409" s="27" t="s">
        <v>382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51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AÑO!O17</f>
        <v>4322.7000000000007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-176.09999999999854</v>
      </c>
      <c r="C426" s="19" t="s">
        <v>227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405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1.4495071809506044E-12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-4084.2</v>
      </c>
      <c r="C446" s="19" t="s">
        <v>381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NULO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'03'!A466+(B466+B469-SUM(D466:F466))</f>
        <v>0</v>
      </c>
      <c r="B466" s="134">
        <v>0</v>
      </c>
      <c r="C466" s="16" t="s">
        <v>286</v>
      </c>
      <c r="D466" s="137"/>
      <c r="E466" s="138"/>
      <c r="F466" s="138"/>
      <c r="G466" s="16"/>
    </row>
    <row r="467" spans="1:7" ht="15.75">
      <c r="A467" s="112">
        <f>'03'!A467+(B467-SUM(D467:F467))</f>
        <v>-157.79000000000002</v>
      </c>
      <c r="B467" s="134">
        <v>50</v>
      </c>
      <c r="C467" s="16" t="s">
        <v>391</v>
      </c>
      <c r="D467" s="137"/>
      <c r="E467" s="138"/>
      <c r="F467" s="138"/>
      <c r="G467" s="16"/>
    </row>
    <row r="468" spans="1:7" ht="15.75">
      <c r="A468" s="112">
        <f>'03'!A468+(B468+B470-SUM(D468:F468))</f>
        <v>113.4</v>
      </c>
      <c r="B468" s="134">
        <f>15+15</f>
        <v>30</v>
      </c>
      <c r="C468" s="16" t="s">
        <v>183</v>
      </c>
      <c r="D468" s="137"/>
      <c r="E468" s="138"/>
      <c r="F468" s="138"/>
      <c r="G468" s="16"/>
    </row>
    <row r="469" spans="1:7">
      <c r="B469" s="134">
        <v>500</v>
      </c>
      <c r="C469" s="18" t="s">
        <v>381</v>
      </c>
      <c r="D469" s="137"/>
      <c r="E469" s="138"/>
      <c r="F469" s="138"/>
      <c r="G469" s="16"/>
    </row>
    <row r="470" spans="1:7">
      <c r="B470" s="134">
        <v>43.19</v>
      </c>
      <c r="C470" s="27" t="s">
        <v>382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-44.390000000000015</v>
      </c>
      <c r="B480" s="135">
        <f>SUM(B466:B479)</f>
        <v>623.19000000000005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400-000000000000}"/>
    <hyperlink ref="I2:L3" location="AÑO!O4:R5" display="SALDO REAL" xr:uid="{00000000-0004-0000-0400-000001000000}"/>
    <hyperlink ref="B2" location="Trimestre!C25:F26" display="HIPOTECA" xr:uid="{00000000-0004-0000-0400-000002000000}"/>
    <hyperlink ref="B2:G3" location="AÑO!O20:R20" display="AÑO!O20:R20" xr:uid="{00000000-0004-0000-0400-000003000000}"/>
    <hyperlink ref="I22" location="Trimestre!C39:F40" display="TELÉFONO" xr:uid="{00000000-0004-0000-0400-000004000000}"/>
    <hyperlink ref="I22:L23" location="AÑO!O7:R17" display="INGRESOS" xr:uid="{00000000-0004-0000-0400-000005000000}"/>
    <hyperlink ref="B22" location="Trimestre!C25:F26" display="HIPOTECA" xr:uid="{00000000-0004-0000-0400-000006000000}"/>
    <hyperlink ref="B22:G23" location="AÑO!O21:R21" display="AÑO!O21:R21" xr:uid="{00000000-0004-0000-0400-000007000000}"/>
    <hyperlink ref="B42" location="Trimestre!C25:F26" display="HIPOTECA" xr:uid="{00000000-0004-0000-0400-000008000000}"/>
    <hyperlink ref="B42:G43" location="AÑO!O22:R22" display="AÑO!O22:R22" xr:uid="{00000000-0004-0000-0400-000009000000}"/>
    <hyperlink ref="B62" location="Trimestre!C25:F26" display="HIPOTECA" xr:uid="{00000000-0004-0000-0400-00000A000000}"/>
    <hyperlink ref="B62:G63" location="AÑO!O23:R23" display="AÑO!O23:R23" xr:uid="{00000000-0004-0000-0400-00000B000000}"/>
    <hyperlink ref="B82" location="Trimestre!C25:F26" display="HIPOTECA" xr:uid="{00000000-0004-0000-0400-00000C000000}"/>
    <hyperlink ref="B82:G83" location="AÑO!O24:R24" display="AÑO!O24:R24" xr:uid="{00000000-0004-0000-0400-00000D000000}"/>
    <hyperlink ref="B102" location="Trimestre!C25:F26" display="HIPOTECA" xr:uid="{00000000-0004-0000-0400-00000E000000}"/>
    <hyperlink ref="B102:G103" location="AÑO!O25:R25" display="AÑO!O25:R25" xr:uid="{00000000-0004-0000-0400-00000F000000}"/>
    <hyperlink ref="B122" location="Trimestre!C25:F26" display="HIPOTECA" xr:uid="{00000000-0004-0000-0400-000010000000}"/>
    <hyperlink ref="B122:G123" location="AÑO!O26:R26" display="AÑO!O26:R26" xr:uid="{00000000-0004-0000-0400-000011000000}"/>
    <hyperlink ref="B142" location="Trimestre!C25:F26" display="HIPOTECA" xr:uid="{00000000-0004-0000-0400-000012000000}"/>
    <hyperlink ref="B142:G143" location="AÑO!O27:R27" display="AÑO!O27:R27" xr:uid="{00000000-0004-0000-0400-000013000000}"/>
    <hyperlink ref="B162" location="Trimestre!C25:F26" display="HIPOTECA" xr:uid="{00000000-0004-0000-0400-000014000000}"/>
    <hyperlink ref="B162:G163" location="AÑO!O28:R28" display="AÑO!O28:R28" xr:uid="{00000000-0004-0000-0400-000015000000}"/>
    <hyperlink ref="B182" location="Trimestre!C25:F26" display="HIPOTECA" xr:uid="{00000000-0004-0000-0400-000016000000}"/>
    <hyperlink ref="B182:G183" location="AÑO!O29:R29" display="AÑO!O29:R29" xr:uid="{00000000-0004-0000-0400-000017000000}"/>
    <hyperlink ref="B202" location="Trimestre!C25:F26" display="HIPOTECA" xr:uid="{00000000-0004-0000-0400-000018000000}"/>
    <hyperlink ref="B202:G203" location="AÑO!O30:R30" display="AÑO!O30:R30" xr:uid="{00000000-0004-0000-0400-000019000000}"/>
    <hyperlink ref="B222" location="Trimestre!C25:F26" display="HIPOTECA" xr:uid="{00000000-0004-0000-0400-00001A000000}"/>
    <hyperlink ref="B222:G223" location="AÑO!O31:R31" display="AÑO!O31:R31" xr:uid="{00000000-0004-0000-0400-00001B000000}"/>
    <hyperlink ref="B242" location="Trimestre!C25:F26" display="HIPOTECA" xr:uid="{00000000-0004-0000-0400-00001C000000}"/>
    <hyperlink ref="B242:G243" location="AÑO!O32:R32" display="AÑO!O32:R32" xr:uid="{00000000-0004-0000-0400-00001D000000}"/>
    <hyperlink ref="B262" location="Trimestre!C25:F26" display="HIPOTECA" xr:uid="{00000000-0004-0000-0400-00001E000000}"/>
    <hyperlink ref="B262:G263" location="AÑO!O33:R33" display="AÑO!O33:R33" xr:uid="{00000000-0004-0000-0400-00001F000000}"/>
    <hyperlink ref="B282" location="Trimestre!C25:F26" display="HIPOTECA" xr:uid="{00000000-0004-0000-0400-000020000000}"/>
    <hyperlink ref="B282:G283" location="AÑO!O34:R34" display="AÑO!O34:R34" xr:uid="{00000000-0004-0000-0400-000021000000}"/>
    <hyperlink ref="B302" location="Trimestre!C25:F26" display="HIPOTECA" xr:uid="{00000000-0004-0000-0400-000022000000}"/>
    <hyperlink ref="B302:G303" location="AÑO!O35:R35" display="AÑO!O35:R35" xr:uid="{00000000-0004-0000-0400-000023000000}"/>
    <hyperlink ref="B322" location="Trimestre!C25:F26" display="HIPOTECA" xr:uid="{00000000-0004-0000-0400-000024000000}"/>
    <hyperlink ref="B322:G323" location="AÑO!O36:R36" display="AÑO!O36:R36" xr:uid="{00000000-0004-0000-0400-000025000000}"/>
    <hyperlink ref="B342" location="Trimestre!C25:F26" display="HIPOTECA" xr:uid="{00000000-0004-0000-0400-000026000000}"/>
    <hyperlink ref="B342:G343" location="AÑO!O37:R37" display="AÑO!O37:R37" xr:uid="{00000000-0004-0000-0400-000027000000}"/>
    <hyperlink ref="B362" location="Trimestre!C25:F26" display="HIPOTECA" xr:uid="{00000000-0004-0000-0400-000028000000}"/>
    <hyperlink ref="B362:G363" location="AÑO!O38:R38" display="AÑO!O38:R38" xr:uid="{00000000-0004-0000-0400-000029000000}"/>
    <hyperlink ref="B382" location="Trimestre!C25:F26" display="HIPOTECA" xr:uid="{00000000-0004-0000-0400-00002A000000}"/>
    <hyperlink ref="B382:G383" location="AÑO!O39:R39" display="AÑO!O39:R39" xr:uid="{00000000-0004-0000-0400-00002B000000}"/>
    <hyperlink ref="B402" location="Trimestre!C25:F26" display="HIPOTECA" xr:uid="{00000000-0004-0000-0400-00002C000000}"/>
    <hyperlink ref="B402:G403" location="AÑO!O40:R40" display="AÑO!O40:R40" xr:uid="{00000000-0004-0000-0400-00002D000000}"/>
    <hyperlink ref="B422" location="Trimestre!C25:F26" display="HIPOTECA" xr:uid="{00000000-0004-0000-0400-00002E000000}"/>
    <hyperlink ref="B422:G423" location="AÑO!O41:R41" display="AÑO!O41:R41" xr:uid="{00000000-0004-0000-0400-00002F000000}"/>
    <hyperlink ref="B442" location="Trimestre!C25:F26" display="HIPOTECA" xr:uid="{00000000-0004-0000-0400-000030000000}"/>
    <hyperlink ref="B442:G443" location="AÑO!O42:R42" display="AÑO!O42:R42" xr:uid="{00000000-0004-0000-0400-000031000000}"/>
    <hyperlink ref="B462" location="Trimestre!C25:F26" display="HIPOTECA" xr:uid="{00000000-0004-0000-0400-000032000000}"/>
    <hyperlink ref="B462:G463" location="AÑO!O43:R43" display="AÑO!O43:R43" xr:uid="{00000000-0004-0000-0400-000033000000}"/>
    <hyperlink ref="B482" location="Trimestre!C25:F26" display="HIPOTECA" xr:uid="{00000000-0004-0000-0400-000034000000}"/>
    <hyperlink ref="B482:G483" location="AÑO!O44:R44" display="AÑO!O44:R44" xr:uid="{00000000-0004-0000-0400-000035000000}"/>
    <hyperlink ref="B502" location="Trimestre!C25:F26" display="HIPOTECA" xr:uid="{00000000-0004-0000-0400-000036000000}"/>
    <hyperlink ref="B502:G503" location="AÑO!O45:R45" display="AÑO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113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55</v>
      </c>
      <c r="J4" s="105" t="s">
        <v>56</v>
      </c>
      <c r="K4" s="428" t="s">
        <v>57</v>
      </c>
      <c r="L4" s="429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0">
        <v>1773.93</v>
      </c>
      <c r="L5" s="431"/>
      <c r="M5" s="1"/>
      <c r="N5" s="1"/>
      <c r="R5" s="3"/>
    </row>
    <row r="6" spans="1:22" ht="15.75">
      <c r="A6" s="112">
        <f>'04'!A6+(B6-SUM(D6:F6))</f>
        <v>395.26</v>
      </c>
      <c r="B6" s="133">
        <v>403.08</v>
      </c>
      <c r="C6" s="19" t="s">
        <v>314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4">
        <v>620.1</v>
      </c>
      <c r="L6" s="415"/>
      <c r="M6" s="1" t="s">
        <v>163</v>
      </c>
      <c r="N6" s="1"/>
      <c r="R6" s="3"/>
    </row>
    <row r="7" spans="1:22" ht="15.75">
      <c r="A7" s="112">
        <f>'04'!A7+(B7-SUM(D7:F7))</f>
        <v>32.669999999999959</v>
      </c>
      <c r="B7" s="134">
        <v>67.19</v>
      </c>
      <c r="C7" s="16" t="s">
        <v>338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4">
        <v>7144.52</v>
      </c>
      <c r="L7" s="415"/>
      <c r="M7" s="1"/>
      <c r="N7" s="1"/>
      <c r="R7" s="3"/>
    </row>
    <row r="8" spans="1:22" ht="15.75">
      <c r="A8" s="112">
        <f>'04'!A8+(B8-SUM(D8:F8))</f>
        <v>-115.76999999999998</v>
      </c>
      <c r="B8" s="134">
        <v>102.44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4">
        <v>10005.620000000001</v>
      </c>
      <c r="L8" s="415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155</v>
      </c>
      <c r="K9" s="414">
        <v>514.82000000000005</v>
      </c>
      <c r="L9" s="415"/>
      <c r="M9" s="1"/>
      <c r="N9" s="1"/>
      <c r="R9" s="3"/>
    </row>
    <row r="10" spans="1:22" ht="15.75">
      <c r="A10" s="112">
        <f>'04'!A10+(B10-SUM(D10:F10))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4">
        <v>1802.02</v>
      </c>
      <c r="L10" s="415"/>
      <c r="M10" s="1" t="s">
        <v>154</v>
      </c>
      <c r="N10" s="1"/>
      <c r="R10" s="3"/>
    </row>
    <row r="11" spans="1:22" ht="15.75">
      <c r="A11" s="112">
        <f>'04'!A11+(B11-SUM(D11:F11))</f>
        <v>30.220000000000006</v>
      </c>
      <c r="B11" s="134">
        <v>30.23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4">
        <f>210</f>
        <v>210</v>
      </c>
      <c r="L11" s="415"/>
      <c r="M11" s="1"/>
      <c r="N11" s="1"/>
      <c r="R11" s="3"/>
    </row>
    <row r="12" spans="1:22" ht="15.75">
      <c r="A12" s="112">
        <f>'04'!A12+(B12-SUM(D12:F12))</f>
        <v>144.54000000000002</v>
      </c>
      <c r="B12" s="134">
        <v>25</v>
      </c>
      <c r="C12" s="16" t="s">
        <v>201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14">
        <v>5092.08</v>
      </c>
      <c r="L12" s="415"/>
      <c r="M12" s="92"/>
      <c r="N12" s="1"/>
      <c r="R12" s="3"/>
    </row>
    <row r="13" spans="1:22" ht="15.75">
      <c r="A13" s="112">
        <f>'04'!A13+(B13-SUM(D13:F13))</f>
        <v>11</v>
      </c>
      <c r="B13" s="134">
        <v>6.5</v>
      </c>
      <c r="C13" s="16" t="s">
        <v>264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8">
        <f>SUM(K5:K18)</f>
        <v>27163.090000000004</v>
      </c>
      <c r="L19" s="439"/>
      <c r="M19" s="1"/>
      <c r="N19" s="1"/>
      <c r="R19" s="3"/>
    </row>
    <row r="20" spans="1:18" ht="16.5" thickBot="1">
      <c r="A20" s="112">
        <f>SUM(A6:A15)</f>
        <v>521.92000000000007</v>
      </c>
      <c r="B20" s="135">
        <f>SUM(B6:B19)</f>
        <v>646.44000000000005</v>
      </c>
      <c r="C20" s="17" t="s">
        <v>51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29</v>
      </c>
      <c r="J24" s="432" t="s">
        <v>85</v>
      </c>
      <c r="K24" s="433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19" t="str">
        <f>AÑO!A8</f>
        <v>Manolo Salario</v>
      </c>
      <c r="J25" s="422" t="s">
        <v>339</v>
      </c>
      <c r="K25" s="423"/>
      <c r="L25" s="231">
        <v>4448.8500000000004</v>
      </c>
      <c r="M25" s="1"/>
      <c r="R25" s="3"/>
    </row>
    <row r="26" spans="1:18" ht="15.75">
      <c r="A26" s="112">
        <f>'04'!A26+(B26-SUM(D26:F26))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'04'!A27+(B27-SUM(D27:F27))</f>
        <v>213.01999999999998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'04'!A28+(B28-SUM(D28:F28))</f>
        <v>78.300000000000011</v>
      </c>
      <c r="B28" s="134">
        <v>40</v>
      </c>
      <c r="C28" s="27" t="s">
        <v>39</v>
      </c>
      <c r="D28" s="137">
        <v>167.82</v>
      </c>
      <c r="E28" s="138"/>
      <c r="F28" s="138"/>
      <c r="G28" s="16" t="s">
        <v>39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'04'!A29+(B29-SUM(D29:F29))</f>
        <v>19.380000000000003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'04'!A30+(B30-SUM(D30:F30))</f>
        <v>191.27999999999997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368</v>
      </c>
      <c r="K30" s="423"/>
      <c r="L30" s="231">
        <v>358.14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300</v>
      </c>
      <c r="K31" s="425"/>
      <c r="L31" s="229">
        <v>40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266</v>
      </c>
      <c r="K32" s="425"/>
      <c r="L32" s="229">
        <v>180.03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212</v>
      </c>
      <c r="J35" s="422"/>
      <c r="K35" s="423"/>
      <c r="L35" s="231">
        <v>119.85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1401.98</v>
      </c>
      <c r="B40" s="135">
        <f>SUM(B26:B39)</f>
        <v>1148</v>
      </c>
      <c r="C40" s="17" t="s">
        <v>51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19" t="str">
        <f>AÑO!A11</f>
        <v>Finanazas</v>
      </c>
      <c r="J40" s="422" t="s">
        <v>410</v>
      </c>
      <c r="K40" s="423"/>
      <c r="L40" s="231">
        <v>45.86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Supermercado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19" t="str">
        <f>AÑO!A12</f>
        <v>Regalos</v>
      </c>
      <c r="J45" s="422"/>
      <c r="K45" s="423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409</v>
      </c>
      <c r="H46" s="1"/>
      <c r="I46" s="420"/>
      <c r="J46" s="424"/>
      <c r="K46" s="425"/>
      <c r="L46" s="229"/>
      <c r="M46" s="1"/>
      <c r="R46" s="3"/>
    </row>
    <row r="47" spans="1:18" ht="15.75">
      <c r="A47" s="1"/>
      <c r="B47" s="134">
        <v>6.8</v>
      </c>
      <c r="C47" s="16" t="s">
        <v>76</v>
      </c>
      <c r="D47" s="137">
        <f>70.78-D146</f>
        <v>11.780000000000001</v>
      </c>
      <c r="E47" s="138"/>
      <c r="F47" s="138"/>
      <c r="G47" s="16" t="s">
        <v>412</v>
      </c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 t="s">
        <v>395</v>
      </c>
      <c r="D48" s="137">
        <v>27.34</v>
      </c>
      <c r="E48" s="138"/>
      <c r="F48" s="138"/>
      <c r="G48" s="16" t="s">
        <v>419</v>
      </c>
      <c r="H48" s="1"/>
      <c r="I48" s="420"/>
      <c r="J48" s="424"/>
      <c r="K48" s="425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420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427</v>
      </c>
      <c r="H50" s="1"/>
      <c r="I50" s="419" t="str">
        <f>AÑO!A13</f>
        <v>Gubernamental</v>
      </c>
      <c r="J50" s="422" t="s">
        <v>421</v>
      </c>
      <c r="K50" s="423"/>
      <c r="L50" s="231">
        <v>95.8</v>
      </c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428</v>
      </c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432</v>
      </c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435</v>
      </c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>
        <v>57.23</v>
      </c>
      <c r="E54" s="138"/>
      <c r="F54" s="138"/>
      <c r="G54" s="16" t="s">
        <v>544</v>
      </c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545</v>
      </c>
      <c r="H55" s="1"/>
      <c r="I55" s="419" t="str">
        <f>AÑO!A14</f>
        <v>Mutualite/DKV</v>
      </c>
      <c r="J55" s="422" t="s">
        <v>415</v>
      </c>
      <c r="K55" s="423"/>
      <c r="L55" s="231">
        <v>17.350000000000001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19" t="str">
        <f>AÑO!A15</f>
        <v>Alquiler Cartama</v>
      </c>
      <c r="J60" s="422"/>
      <c r="K60" s="423"/>
      <c r="L60" s="231">
        <v>652.44000000000005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'04'!A66+(B66-SUM(D66:F78))</f>
        <v>201.12000000000003</v>
      </c>
      <c r="B66" s="133">
        <v>160</v>
      </c>
      <c r="C66" s="19" t="s">
        <v>31</v>
      </c>
      <c r="D66" s="137">
        <v>32.799999999999997</v>
      </c>
      <c r="E66" s="138"/>
      <c r="F66" s="138"/>
      <c r="G66" s="19" t="s">
        <v>408</v>
      </c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417</v>
      </c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418</v>
      </c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425</v>
      </c>
      <c r="H69" s="1"/>
      <c r="I69" s="434"/>
      <c r="J69" s="435"/>
      <c r="K69" s="436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426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433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>
        <v>22</v>
      </c>
      <c r="G72" s="16" t="s">
        <v>546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60</v>
      </c>
      <c r="B79" s="233">
        <v>10</v>
      </c>
      <c r="C79" s="17" t="s">
        <v>230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261.12</v>
      </c>
      <c r="B80" s="233">
        <f>SUM(B66:B79)</f>
        <v>170</v>
      </c>
      <c r="C80" s="17" t="s">
        <v>51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160</v>
      </c>
      <c r="C86" s="19" t="s">
        <v>197</v>
      </c>
      <c r="D86" s="137">
        <v>55.61</v>
      </c>
      <c r="E86" s="138"/>
      <c r="F86" s="138"/>
      <c r="G86" s="16" t="s">
        <v>413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429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438</v>
      </c>
      <c r="H88" s="1"/>
      <c r="M88" s="1"/>
      <c r="R88" s="3"/>
    </row>
    <row r="89" spans="1:18" ht="15.75">
      <c r="A89" s="1"/>
      <c r="B89" s="134"/>
      <c r="C89" s="16"/>
      <c r="D89" s="137">
        <v>58.63</v>
      </c>
      <c r="E89" s="138"/>
      <c r="F89" s="138"/>
      <c r="G89" s="16" t="s">
        <v>547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'04'!A106+(B106-SUM(D106:F106))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'04'!A107+(B107-SUM(D107:F107))</f>
        <v>70.750000000000028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'04'!A108+(B108-SUM(D108:F108))</f>
        <v>383.09999999999991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2470.0600000000004</v>
      </c>
      <c r="B109" s="134">
        <f>67.53+120</f>
        <v>187.53</v>
      </c>
      <c r="C109" s="18" t="s">
        <v>552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350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712.31999999999994</v>
      </c>
      <c r="B120" s="135">
        <f>SUM(B106:B119)</f>
        <v>-485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'04'!A126+(B126-SUM(D126:F126))</f>
        <v>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'04'!A127+(B127-SUM(D127:F128))</f>
        <v>12.5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816</v>
      </c>
      <c r="I127" s="113">
        <f>D127+D128+'04'!I127</f>
        <v>55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'04'!A129+(B129-SUM(D129:F129))</f>
        <v>1.9999999999999574E-2</v>
      </c>
      <c r="B129" s="134">
        <v>8</v>
      </c>
      <c r="C129" s="16" t="s">
        <v>160</v>
      </c>
      <c r="D129" s="137"/>
      <c r="E129" s="138">
        <v>7.99</v>
      </c>
      <c r="F129" s="138"/>
      <c r="G129" s="16" t="s">
        <v>160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17.5</v>
      </c>
      <c r="B140" s="135">
        <f>SUM(B126:B139)</f>
        <v>53</v>
      </c>
      <c r="C140" s="17" t="s">
        <v>51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>
        <f>59</f>
        <v>59</v>
      </c>
      <c r="E146" s="138"/>
      <c r="F146" s="138"/>
      <c r="G146" s="16" t="s">
        <v>412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431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850</v>
      </c>
      <c r="C167" s="16" t="s">
        <v>505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1050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>
        <v>47.63</v>
      </c>
      <c r="E186" s="138"/>
      <c r="F186" s="138"/>
      <c r="G186" s="16" t="s">
        <v>434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74</v>
      </c>
      <c r="C200" s="17" t="s">
        <v>51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430</v>
      </c>
    </row>
    <row r="207" spans="2:12">
      <c r="B207" s="134">
        <v>15</v>
      </c>
      <c r="C207" s="16" t="s">
        <v>505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50</v>
      </c>
      <c r="C220" s="17" t="s">
        <v>51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f>20.98+20.98</f>
        <v>41.96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340</v>
      </c>
      <c r="D246" s="137">
        <v>15</v>
      </c>
      <c r="E246" s="138"/>
      <c r="F246" s="138"/>
      <c r="G246" s="16" t="s">
        <v>428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436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20</v>
      </c>
      <c r="B256" s="134">
        <v>5</v>
      </c>
      <c r="C256" s="16" t="s">
        <v>347</v>
      </c>
      <c r="D256" s="137"/>
      <c r="E256" s="138"/>
      <c r="F256" s="138"/>
      <c r="G256" s="16"/>
    </row>
    <row r="257" spans="1:8" ht="15.75">
      <c r="A257" s="112">
        <f>'04'!A257+(B257-SUM(D257:F257))</f>
        <v>707.46</v>
      </c>
      <c r="B257" s="134">
        <f>40+499</f>
        <v>539</v>
      </c>
      <c r="C257" s="16" t="s">
        <v>369</v>
      </c>
      <c r="D257" s="137"/>
      <c r="E257" s="138">
        <f>100.67</f>
        <v>100.67</v>
      </c>
      <c r="F257" s="138"/>
      <c r="G257" s="16" t="s">
        <v>550</v>
      </c>
      <c r="H257" s="113"/>
    </row>
    <row r="258" spans="1:8" ht="15.75">
      <c r="A258" s="112">
        <f>'04'!A258+(B258-SUM(D258:F258))</f>
        <v>95</v>
      </c>
      <c r="B258" s="134">
        <v>70</v>
      </c>
      <c r="C258" s="16" t="s">
        <v>341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20</v>
      </c>
      <c r="B259" s="135">
        <v>5</v>
      </c>
      <c r="C259" s="17"/>
      <c r="D259" s="135"/>
      <c r="E259" s="139"/>
      <c r="F259" s="139"/>
      <c r="G259" s="17"/>
    </row>
    <row r="260" spans="1:8" ht="16.5" thickBot="1">
      <c r="A260" s="112">
        <f>SUM(A246:A259)</f>
        <v>918.61</v>
      </c>
      <c r="B260" s="135">
        <f>SUM(B246:B259)</f>
        <v>664</v>
      </c>
      <c r="C260" s="17" t="s">
        <v>51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416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0" t="s">
        <v>9</v>
      </c>
      <c r="E284" s="408"/>
      <c r="F284" s="408"/>
      <c r="G284" s="401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2:8">
      <c r="B286" s="133">
        <v>90</v>
      </c>
      <c r="C286" s="19" t="s">
        <v>31</v>
      </c>
      <c r="D286" s="137"/>
      <c r="E286" s="138">
        <v>137.85</v>
      </c>
      <c r="F286" s="138"/>
      <c r="G286" s="16" t="s">
        <v>423</v>
      </c>
    </row>
    <row r="287" spans="2:8">
      <c r="B287" s="134">
        <v>35</v>
      </c>
      <c r="C287" s="16" t="s">
        <v>551</v>
      </c>
      <c r="D287" s="137">
        <v>54.8</v>
      </c>
      <c r="E287" s="138"/>
      <c r="F287" s="138"/>
      <c r="G287" s="16" t="s">
        <v>553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571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125</v>
      </c>
      <c r="C300" s="17" t="s">
        <v>51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115</v>
      </c>
      <c r="C306" s="19" t="s">
        <v>226</v>
      </c>
      <c r="D306" s="137">
        <v>4.4000000000000004</v>
      </c>
      <c r="E306" s="138"/>
      <c r="F306" s="138"/>
      <c r="G306" s="16" t="s">
        <v>407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415</v>
      </c>
    </row>
    <row r="308" spans="2:7">
      <c r="B308" s="134">
        <v>17.45</v>
      </c>
      <c r="C308" s="27" t="s">
        <v>424</v>
      </c>
      <c r="D308" s="137">
        <f>51.89+44.67</f>
        <v>96.56</v>
      </c>
      <c r="E308" s="138"/>
      <c r="F308" s="138"/>
      <c r="G308" s="16" t="s">
        <v>543</v>
      </c>
    </row>
    <row r="309" spans="2:7">
      <c r="B309" s="134">
        <v>170</v>
      </c>
      <c r="C309" s="16" t="s">
        <v>505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317.45</v>
      </c>
      <c r="C320" s="17" t="s">
        <v>51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51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422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51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402" t="str">
        <f>AÑO!A37</f>
        <v>Imprevistos</v>
      </c>
      <c r="C342" s="409"/>
      <c r="D342" s="409"/>
      <c r="E342" s="409"/>
      <c r="F342" s="409"/>
      <c r="G342" s="410"/>
    </row>
    <row r="343" spans="2:7" ht="15" customHeight="1" thickBot="1">
      <c r="B343" s="411"/>
      <c r="C343" s="412"/>
      <c r="D343" s="412"/>
      <c r="E343" s="412"/>
      <c r="F343" s="412"/>
      <c r="G343" s="413"/>
    </row>
    <row r="344" spans="2:7">
      <c r="B344" s="400" t="s">
        <v>8</v>
      </c>
      <c r="C344" s="401"/>
      <c r="D344" s="400" t="s">
        <v>9</v>
      </c>
      <c r="E344" s="408"/>
      <c r="F344" s="408"/>
      <c r="G344" s="401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2:7">
      <c r="B346" s="133">
        <v>45</v>
      </c>
      <c r="C346" s="19" t="s">
        <v>195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2:7" ht="15" customHeight="1" thickBot="1">
      <c r="B363" s="411"/>
      <c r="C363" s="412"/>
      <c r="D363" s="412"/>
      <c r="E363" s="412"/>
      <c r="F363" s="412"/>
      <c r="G363" s="413"/>
    </row>
    <row r="364" spans="2:7">
      <c r="B364" s="400" t="s">
        <v>8</v>
      </c>
      <c r="C364" s="401"/>
      <c r="D364" s="400" t="s">
        <v>9</v>
      </c>
      <c r="E364" s="408"/>
      <c r="F364" s="408"/>
      <c r="G364" s="401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2:7">
      <c r="B366" s="133">
        <v>70</v>
      </c>
      <c r="C366" s="19" t="s">
        <v>31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65</v>
      </c>
    </row>
    <row r="367" spans="2:7">
      <c r="B367" s="134"/>
      <c r="C367" s="16"/>
      <c r="D367" s="137">
        <v>39.29</v>
      </c>
      <c r="E367" s="138"/>
      <c r="F367" s="138"/>
      <c r="G367" s="31" t="s">
        <v>572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51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350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411</v>
      </c>
    </row>
    <row r="407" spans="2:7">
      <c r="B407" s="134">
        <v>45.86</v>
      </c>
      <c r="C407" s="16" t="s">
        <v>410</v>
      </c>
      <c r="D407" s="137"/>
      <c r="E407" s="138"/>
      <c r="F407" s="138"/>
      <c r="G407" s="16"/>
    </row>
    <row r="408" spans="2:7">
      <c r="B408" s="134">
        <v>-1094.26</v>
      </c>
      <c r="C408" s="16" t="s">
        <v>350</v>
      </c>
      <c r="D408" s="137">
        <v>44.48</v>
      </c>
      <c r="E408" s="138"/>
      <c r="F408" s="138"/>
      <c r="G408" s="16" t="s">
        <v>437</v>
      </c>
    </row>
    <row r="409" spans="2:7">
      <c r="B409" s="134">
        <f>29.29+20</f>
        <v>49.29</v>
      </c>
      <c r="C409" s="16" t="s">
        <v>505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-949.11</v>
      </c>
      <c r="C420" s="17" t="s">
        <v>51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8" ht="15" customHeight="1" thickBot="1">
      <c r="B423" s="405"/>
      <c r="C423" s="406"/>
      <c r="D423" s="406"/>
      <c r="E423" s="406"/>
      <c r="F423" s="406"/>
      <c r="G423" s="407"/>
    </row>
    <row r="424" spans="1:8">
      <c r="B424" s="400" t="s">
        <v>8</v>
      </c>
      <c r="C424" s="401"/>
      <c r="D424" s="400" t="s">
        <v>9</v>
      </c>
      <c r="E424" s="408"/>
      <c r="F424" s="408"/>
      <c r="G424" s="401"/>
    </row>
    <row r="425" spans="1:8">
      <c r="A425" s="113">
        <f>AÑO!S17</f>
        <v>5958.3200000000015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8" ht="15.75">
      <c r="A426" s="112">
        <f>3900</f>
        <v>3900</v>
      </c>
      <c r="B426" s="134">
        <f>A425-SUM(A426:A439)</f>
        <v>0.28000000000156433</v>
      </c>
      <c r="C426" s="19" t="s">
        <v>227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0.28000000000156433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4044.26</v>
      </c>
      <c r="C446" s="19" t="s">
        <v>350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NULO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'04'!A466+(B466-SUM(D466:F466))</f>
        <v>-550</v>
      </c>
      <c r="B466" s="134">
        <v>-550</v>
      </c>
      <c r="C466" s="16" t="s">
        <v>351</v>
      </c>
      <c r="D466" s="137"/>
      <c r="E466" s="138"/>
      <c r="F466" s="138"/>
      <c r="G466" s="16"/>
    </row>
    <row r="467" spans="1:7" ht="15.75">
      <c r="A467" s="112">
        <f>'04'!A467+(B467-SUM(D467:F467))</f>
        <v>-57.79000000000002</v>
      </c>
      <c r="B467" s="134">
        <f>50+50</f>
        <v>100</v>
      </c>
      <c r="C467" s="16" t="s">
        <v>391</v>
      </c>
      <c r="D467" s="137"/>
      <c r="E467" s="138"/>
      <c r="F467" s="138"/>
      <c r="G467" s="16"/>
    </row>
    <row r="468" spans="1:7" ht="15.75">
      <c r="A468" s="112">
        <f>'04'!A468+(B468-SUM(D468:F468))</f>
        <v>163.4</v>
      </c>
      <c r="B468" s="134">
        <f>15+35</f>
        <v>50</v>
      </c>
      <c r="C468" s="16" t="s">
        <v>183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-444.39</v>
      </c>
      <c r="B480" s="135">
        <f>SUM(B466:B479)</f>
        <v>-400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500-000000000000}"/>
    <hyperlink ref="I2:L3" location="AÑO!S4:V5" display="SALDO REAL" xr:uid="{00000000-0004-0000-0500-000001000000}"/>
    <hyperlink ref="B2" location="Trimestre!C25:F26" display="HIPOTECA" xr:uid="{00000000-0004-0000-0500-000002000000}"/>
    <hyperlink ref="B2:G3" location="AÑO!S20:V20" display="AÑO!S20:V20" xr:uid="{00000000-0004-0000-0500-000003000000}"/>
    <hyperlink ref="I22" location="Trimestre!C39:F40" display="TELÉFONO" xr:uid="{00000000-0004-0000-0500-000004000000}"/>
    <hyperlink ref="I22:L23" location="AÑO!S7:V17" display="INGRESOS" xr:uid="{00000000-0004-0000-0500-000005000000}"/>
    <hyperlink ref="B22" location="Trimestre!C25:F26" display="HIPOTECA" xr:uid="{00000000-0004-0000-0500-000006000000}"/>
    <hyperlink ref="B22:G23" location="AÑO!S21:V21" display="AÑO!S21:V21" xr:uid="{00000000-0004-0000-0500-000007000000}"/>
    <hyperlink ref="B42" location="Trimestre!C25:F26" display="HIPOTECA" xr:uid="{00000000-0004-0000-0500-000008000000}"/>
    <hyperlink ref="B42:G43" location="AÑO!S22:V22" display="AÑO!S22:V22" xr:uid="{00000000-0004-0000-0500-000009000000}"/>
    <hyperlink ref="B62" location="Trimestre!C25:F26" display="HIPOTECA" xr:uid="{00000000-0004-0000-0500-00000A000000}"/>
    <hyperlink ref="B62:G63" location="AÑO!S23:V23" display="AÑO!S23:V23" xr:uid="{00000000-0004-0000-0500-00000B000000}"/>
    <hyperlink ref="B82" location="Trimestre!C25:F26" display="HIPOTECA" xr:uid="{00000000-0004-0000-0500-00000C000000}"/>
    <hyperlink ref="B82:G83" location="AÑO!S24:V24" display="AÑO!S24:V24" xr:uid="{00000000-0004-0000-0500-00000D000000}"/>
    <hyperlink ref="B102" location="Trimestre!C25:F26" display="HIPOTECA" xr:uid="{00000000-0004-0000-0500-00000E000000}"/>
    <hyperlink ref="B102:G103" location="AÑO!S25:V25" display="AÑO!S25:V25" xr:uid="{00000000-0004-0000-0500-00000F000000}"/>
    <hyperlink ref="B122" location="Trimestre!C25:F26" display="HIPOTECA" xr:uid="{00000000-0004-0000-0500-000010000000}"/>
    <hyperlink ref="B122:G123" location="AÑO!S26:V26" display="AÑO!S26:V26" xr:uid="{00000000-0004-0000-0500-000011000000}"/>
    <hyperlink ref="B142" location="Trimestre!C25:F26" display="HIPOTECA" xr:uid="{00000000-0004-0000-0500-000012000000}"/>
    <hyperlink ref="B142:G143" location="AÑO!S27:V27" display="AÑO!S27:V27" xr:uid="{00000000-0004-0000-0500-000013000000}"/>
    <hyperlink ref="B162" location="Trimestre!C25:F26" display="HIPOTECA" xr:uid="{00000000-0004-0000-0500-000014000000}"/>
    <hyperlink ref="B162:G163" location="AÑO!S28:V28" display="AÑO!S28:V28" xr:uid="{00000000-0004-0000-0500-000015000000}"/>
    <hyperlink ref="B182" location="Trimestre!C25:F26" display="HIPOTECA" xr:uid="{00000000-0004-0000-0500-000016000000}"/>
    <hyperlink ref="B182:G183" location="AÑO!S29:V29" display="AÑO!S29:V29" xr:uid="{00000000-0004-0000-0500-000017000000}"/>
    <hyperlink ref="B202" location="Trimestre!C25:F26" display="HIPOTECA" xr:uid="{00000000-0004-0000-0500-000018000000}"/>
    <hyperlink ref="B202:G203" location="AÑO!S30:V30" display="AÑO!S30:V30" xr:uid="{00000000-0004-0000-0500-000019000000}"/>
    <hyperlink ref="B222" location="Trimestre!C25:F26" display="HIPOTECA" xr:uid="{00000000-0004-0000-0500-00001A000000}"/>
    <hyperlink ref="B222:G223" location="AÑO!S31:V31" display="AÑO!S31:V31" xr:uid="{00000000-0004-0000-0500-00001B000000}"/>
    <hyperlink ref="B242" location="Trimestre!C25:F26" display="HIPOTECA" xr:uid="{00000000-0004-0000-0500-00001C000000}"/>
    <hyperlink ref="B242:G243" location="AÑO!S32:V32" display="AÑO!S32:V32" xr:uid="{00000000-0004-0000-0500-00001D000000}"/>
    <hyperlink ref="B262" location="Trimestre!C25:F26" display="HIPOTECA" xr:uid="{00000000-0004-0000-0500-00001E000000}"/>
    <hyperlink ref="B262:G263" location="AÑO!S33:V33" display="AÑO!S33:V33" xr:uid="{00000000-0004-0000-0500-00001F000000}"/>
    <hyperlink ref="B282" location="Trimestre!C25:F26" display="HIPOTECA" xr:uid="{00000000-0004-0000-0500-000020000000}"/>
    <hyperlink ref="B282:G283" location="AÑO!S34:V34" display="AÑO!S34:V34" xr:uid="{00000000-0004-0000-0500-000021000000}"/>
    <hyperlink ref="B302" location="Trimestre!C25:F26" display="HIPOTECA" xr:uid="{00000000-0004-0000-0500-000022000000}"/>
    <hyperlink ref="B302:G303" location="AÑO!S35:V35" display="AÑO!S35:V35" xr:uid="{00000000-0004-0000-0500-000023000000}"/>
    <hyperlink ref="B322" location="Trimestre!C25:F26" display="HIPOTECA" xr:uid="{00000000-0004-0000-0500-000024000000}"/>
    <hyperlink ref="B322:G323" location="AÑO!S36:V36" display="AÑO!S36:V36" xr:uid="{00000000-0004-0000-0500-000025000000}"/>
    <hyperlink ref="B342" location="Trimestre!C25:F26" display="HIPOTECA" xr:uid="{00000000-0004-0000-0500-000026000000}"/>
    <hyperlink ref="B342:G343" location="AÑO!S37:V37" display="AÑO!S37:V37" xr:uid="{00000000-0004-0000-0500-000027000000}"/>
    <hyperlink ref="B362" location="Trimestre!C25:F26" display="HIPOTECA" xr:uid="{00000000-0004-0000-0500-000028000000}"/>
    <hyperlink ref="B362:G363" location="AÑO!S38:V38" display="AÑO!S38:V38" xr:uid="{00000000-0004-0000-0500-000029000000}"/>
    <hyperlink ref="B382" location="Trimestre!C25:F26" display="HIPOTECA" xr:uid="{00000000-0004-0000-0500-00002A000000}"/>
    <hyperlink ref="B382:G383" location="AÑO!S39:V39" display="AÑO!S39:V39" xr:uid="{00000000-0004-0000-0500-00002B000000}"/>
    <hyperlink ref="B402" location="Trimestre!C25:F26" display="HIPOTECA" xr:uid="{00000000-0004-0000-0500-00002C000000}"/>
    <hyperlink ref="B402:G403" location="AÑO!S40:V40" display="AÑO!S40:V40" xr:uid="{00000000-0004-0000-0500-00002D000000}"/>
    <hyperlink ref="B422" location="Trimestre!C25:F26" display="HIPOTECA" xr:uid="{00000000-0004-0000-0500-00002E000000}"/>
    <hyperlink ref="B422:G423" location="AÑO!S41:V41" display="AÑO!S41:V41" xr:uid="{00000000-0004-0000-0500-00002F000000}"/>
    <hyperlink ref="B442" location="Trimestre!C25:F26" display="HIPOTECA" xr:uid="{00000000-0004-0000-0500-000030000000}"/>
    <hyperlink ref="B442:G443" location="AÑO!S42:V42" display="AÑO!S42:V42" xr:uid="{00000000-0004-0000-0500-000031000000}"/>
    <hyperlink ref="B462" location="Trimestre!C25:F26" display="HIPOTECA" xr:uid="{00000000-0004-0000-0500-000032000000}"/>
    <hyperlink ref="B462:G463" location="AÑO!S43:V43" display="AÑO!S43:V43" xr:uid="{00000000-0004-0000-0500-000033000000}"/>
    <hyperlink ref="B482" location="Trimestre!C25:F26" display="HIPOTECA" xr:uid="{00000000-0004-0000-0500-000034000000}"/>
    <hyperlink ref="B482:G483" location="AÑO!S44:V44" display="AÑO!S44:V44" xr:uid="{00000000-0004-0000-0500-000035000000}"/>
    <hyperlink ref="B502" location="Trimestre!C25:F26" display="HIPOTECA" xr:uid="{00000000-0004-0000-0500-000036000000}"/>
    <hyperlink ref="B502:G503" location="AÑO!S45:V45" display="AÑO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15" zoomScaleNormal="100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55</v>
      </c>
      <c r="J4" s="105" t="s">
        <v>56</v>
      </c>
      <c r="K4" s="428" t="s">
        <v>57</v>
      </c>
      <c r="L4" s="429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0">
        <f>M5+2156.93</f>
        <v>1614.1099999999997</v>
      </c>
      <c r="L5" s="431"/>
      <c r="M5" s="1">
        <f>-542.82</f>
        <v>-542.82000000000005</v>
      </c>
      <c r="N5" s="1" t="s">
        <v>549</v>
      </c>
      <c r="R5" s="3"/>
    </row>
    <row r="6" spans="1:22" ht="15.75">
      <c r="A6" s="112">
        <f>'05'!A6+(B6-SUM(D6:F6))</f>
        <v>395.26</v>
      </c>
      <c r="B6" s="133">
        <v>403.08</v>
      </c>
      <c r="C6" s="19" t="s">
        <v>314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4">
        <v>620.1</v>
      </c>
      <c r="L6" s="415"/>
      <c r="M6" s="1" t="s">
        <v>163</v>
      </c>
      <c r="N6" s="1"/>
      <c r="R6" s="3"/>
    </row>
    <row r="7" spans="1:22" ht="15.75">
      <c r="A7" s="112">
        <f>'05'!A7+(B7-SUM(D7:F7))</f>
        <v>99.849999999999966</v>
      </c>
      <c r="B7" s="134">
        <v>67.180000000000007</v>
      </c>
      <c r="C7" s="16" t="s">
        <v>338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4">
        <f>9234.42-58.2</f>
        <v>9176.2199999999993</v>
      </c>
      <c r="L7" s="415"/>
      <c r="M7" s="1"/>
      <c r="N7" s="1"/>
      <c r="R7" s="3"/>
    </row>
    <row r="8" spans="1:22" ht="15.75">
      <c r="A8" s="112">
        <f>'05'!A8+(B8-SUM(D8:F8))</f>
        <v>-214.77999999999997</v>
      </c>
      <c r="B8" s="134">
        <v>0</v>
      </c>
      <c r="C8" s="16" t="s">
        <v>33</v>
      </c>
      <c r="D8" s="137"/>
      <c r="E8" s="113">
        <v>99.01</v>
      </c>
      <c r="F8" s="138"/>
      <c r="G8" s="16" t="s">
        <v>33</v>
      </c>
      <c r="H8" s="1"/>
      <c r="I8" s="108" t="s">
        <v>61</v>
      </c>
      <c r="J8" s="107" t="s">
        <v>63</v>
      </c>
      <c r="K8" s="414">
        <v>6305.62</v>
      </c>
      <c r="L8" s="415"/>
      <c r="M8" s="1"/>
      <c r="N8" s="1"/>
      <c r="R8" s="3"/>
    </row>
    <row r="9" spans="1:22" ht="15.75">
      <c r="A9" s="112">
        <f>'05'!A9+(B9-SUM(D9:F9))</f>
        <v>0</v>
      </c>
      <c r="B9" s="134">
        <v>16.739999999999998</v>
      </c>
      <c r="C9" s="16" t="s">
        <v>35</v>
      </c>
      <c r="D9" s="137"/>
      <c r="E9" s="138">
        <v>16.739999999999998</v>
      </c>
      <c r="F9" s="138"/>
      <c r="G9" s="16" t="s">
        <v>35</v>
      </c>
      <c r="H9" s="112"/>
      <c r="I9" s="108" t="s">
        <v>61</v>
      </c>
      <c r="J9" s="107" t="s">
        <v>155</v>
      </c>
      <c r="K9" s="414">
        <v>169.67</v>
      </c>
      <c r="L9" s="415"/>
      <c r="M9" s="1"/>
      <c r="N9" s="1"/>
      <c r="R9" s="3"/>
    </row>
    <row r="10" spans="1:22" ht="15.75">
      <c r="A10" s="112">
        <f>'05'!A10+(B10-SUM(D10:F10))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4">
        <v>1802.02</v>
      </c>
      <c r="L10" s="415"/>
      <c r="M10" s="1" t="s">
        <v>154</v>
      </c>
      <c r="N10" s="1"/>
      <c r="R10" s="3"/>
    </row>
    <row r="11" spans="1:22" ht="15.75">
      <c r="A11" s="112">
        <f>'05'!A11+(B11-SUM(D11:F11))</f>
        <v>30.220000000000006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4">
        <v>190</v>
      </c>
      <c r="L11" s="415"/>
      <c r="M11" s="1"/>
      <c r="N11" s="1"/>
      <c r="R11" s="3"/>
    </row>
    <row r="12" spans="1:22" ht="15.75">
      <c r="A12" s="112">
        <f>'05'!A12+(B12-SUM(D12:F12))</f>
        <v>169.54000000000002</v>
      </c>
      <c r="B12" s="134">
        <v>25</v>
      </c>
      <c r="C12" s="16" t="s">
        <v>201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14">
        <f>5092.08+4044.26</f>
        <v>9136.34</v>
      </c>
      <c r="L12" s="415"/>
      <c r="M12" s="92"/>
      <c r="N12" s="1"/>
      <c r="R12" s="3"/>
    </row>
    <row r="13" spans="1:22" ht="15.75">
      <c r="A13" s="112">
        <f>'05'!A13+(B13-SUM(D13:F13))</f>
        <v>17.5</v>
      </c>
      <c r="B13" s="134">
        <v>6.5</v>
      </c>
      <c r="C13" s="16" t="s">
        <v>264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8">
        <f>SUM(K5:K18)</f>
        <v>29014.079999999998</v>
      </c>
      <c r="L19" s="439"/>
      <c r="M19" s="1"/>
      <c r="N19" s="1"/>
      <c r="R19" s="3"/>
    </row>
    <row r="20" spans="1:18" ht="16.5" thickBot="1">
      <c r="A20" s="112">
        <f>SUM(A6:A15)</f>
        <v>521.59</v>
      </c>
      <c r="B20" s="135">
        <f>SUM(B6:B19)</f>
        <v>560.74</v>
      </c>
      <c r="C20" s="17" t="s">
        <v>51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18075.719999999998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29</v>
      </c>
      <c r="J24" s="432" t="s">
        <v>85</v>
      </c>
      <c r="K24" s="433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19" t="str">
        <f>AÑO!A8</f>
        <v>Manolo Salario</v>
      </c>
      <c r="J25" s="422" t="s">
        <v>339</v>
      </c>
      <c r="K25" s="423"/>
      <c r="L25" s="231">
        <v>2574.61</v>
      </c>
      <c r="M25" s="1"/>
      <c r="R25" s="3"/>
    </row>
    <row r="26" spans="1:18" ht="15.75">
      <c r="A26" s="112">
        <f>'05'!A26+(B26-SUM(D26:F26))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'05'!A27+(B27-SUM(D27:F27))</f>
        <v>217.02999999999997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'05'!A28+(B28-SUM(D28:F28))</f>
        <v>118.30000000000001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'05'!A29+(B29-SUM(D29:F29))</f>
        <v>19.430000000000003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'05'!A30+(B30-SUM(D30:F30))</f>
        <v>191.27999999999997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564</v>
      </c>
      <c r="K30" s="423"/>
      <c r="L30" s="231">
        <v>160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368</v>
      </c>
      <c r="K31" s="425"/>
      <c r="L31" s="229">
        <v>305.41000000000003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266</v>
      </c>
      <c r="K32" s="425"/>
      <c r="L32" s="229">
        <v>148.26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212</v>
      </c>
      <c r="J35" s="422" t="s">
        <v>297</v>
      </c>
      <c r="K35" s="423"/>
      <c r="L35" s="231">
        <v>55.09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1446.04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19" t="str">
        <f>AÑO!A11</f>
        <v>Finanazas</v>
      </c>
      <c r="J40" s="422"/>
      <c r="K40" s="423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Supermercado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19" t="str">
        <f>AÑO!A12</f>
        <v>Regalos</v>
      </c>
      <c r="J45" s="422" t="s">
        <v>158</v>
      </c>
      <c r="K45" s="423"/>
      <c r="L45" s="231">
        <v>242.41</v>
      </c>
      <c r="M45" s="1"/>
      <c r="R45" s="3"/>
    </row>
    <row r="46" spans="1:18" ht="15.75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556</v>
      </c>
      <c r="H46" s="1"/>
      <c r="I46" s="420"/>
      <c r="J46" s="424"/>
      <c r="K46" s="425"/>
      <c r="L46" s="229"/>
      <c r="M46" s="1"/>
      <c r="R46" s="3"/>
    </row>
    <row r="47" spans="1:18" ht="15.75">
      <c r="A47" s="1"/>
      <c r="B47" s="134">
        <v>6.8</v>
      </c>
      <c r="C47" s="16" t="s">
        <v>76</v>
      </c>
      <c r="D47" s="137">
        <v>12.5</v>
      </c>
      <c r="E47" s="138"/>
      <c r="F47" s="138"/>
      <c r="G47" s="16" t="s">
        <v>568</v>
      </c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 t="s">
        <v>557</v>
      </c>
      <c r="D48" s="137">
        <v>27.2</v>
      </c>
      <c r="E48" s="138"/>
      <c r="F48" s="138"/>
      <c r="G48" s="16" t="s">
        <v>581</v>
      </c>
      <c r="H48" s="1"/>
      <c r="I48" s="420"/>
      <c r="J48" s="424"/>
      <c r="K48" s="425"/>
      <c r="L48" s="229"/>
      <c r="M48" s="1"/>
      <c r="R48" s="3"/>
    </row>
    <row r="49" spans="1:18" ht="15.75">
      <c r="A49" s="1"/>
      <c r="B49" s="134"/>
      <c r="C49" s="16"/>
      <c r="D49" s="137">
        <v>41.97</v>
      </c>
      <c r="E49" s="138"/>
      <c r="F49" s="138"/>
      <c r="G49" s="16" t="s">
        <v>582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586</v>
      </c>
      <c r="H50" s="1"/>
      <c r="I50" s="419" t="str">
        <f>AÑO!A13</f>
        <v>Gubernamental</v>
      </c>
      <c r="J50" s="422" t="s">
        <v>577</v>
      </c>
      <c r="K50" s="423"/>
      <c r="L50" s="231">
        <v>95.8</v>
      </c>
      <c r="M50" s="1"/>
      <c r="R50" s="3"/>
    </row>
    <row r="51" spans="1:18" ht="15.75">
      <c r="A51" s="1"/>
      <c r="B51" s="134"/>
      <c r="C51" s="16"/>
      <c r="D51" s="137">
        <f>115.62-D189-D247</f>
        <v>87.63000000000001</v>
      </c>
      <c r="E51" s="138"/>
      <c r="F51" s="138"/>
      <c r="G51" s="16" t="s">
        <v>594</v>
      </c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>
        <v>4.8</v>
      </c>
      <c r="E52" s="138"/>
      <c r="F52" s="138"/>
      <c r="G52" s="16" t="s">
        <v>596</v>
      </c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>
        <v>52.62</v>
      </c>
      <c r="E53" s="138"/>
      <c r="F53" s="138"/>
      <c r="G53" s="16" t="s">
        <v>602</v>
      </c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>
        <v>7</v>
      </c>
      <c r="E54" s="138"/>
      <c r="F54" s="138"/>
      <c r="G54" s="16" t="s">
        <v>607</v>
      </c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611</v>
      </c>
      <c r="H55" s="1"/>
      <c r="I55" s="419" t="str">
        <f>AÑO!A14</f>
        <v>Mutualite/DKV</v>
      </c>
      <c r="J55" s="422"/>
      <c r="K55" s="423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51</v>
      </c>
      <c r="H60" s="1"/>
      <c r="I60" s="419" t="str">
        <f>AÑO!A15</f>
        <v>Alquiler Cartama</v>
      </c>
      <c r="J60" s="422" t="s">
        <v>565</v>
      </c>
      <c r="K60" s="423"/>
      <c r="L60" s="231">
        <v>511.74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'05'!A66+(B66-SUM(D66:F78))+B67+B68</f>
        <v>193.47000000000003</v>
      </c>
      <c r="B66" s="133">
        <v>160</v>
      </c>
      <c r="C66" s="19" t="s">
        <v>31</v>
      </c>
      <c r="D66" s="137"/>
      <c r="E66" s="138"/>
      <c r="F66" s="138">
        <v>30</v>
      </c>
      <c r="G66" s="19" t="s">
        <v>578</v>
      </c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>
        <v>-35</v>
      </c>
      <c r="C67" s="16" t="s">
        <v>566</v>
      </c>
      <c r="D67" s="137">
        <v>36.049999999999997</v>
      </c>
      <c r="E67" s="138"/>
      <c r="F67" s="138"/>
      <c r="G67" s="31" t="s">
        <v>589</v>
      </c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591</v>
      </c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4.5</v>
      </c>
      <c r="G69" s="16" t="s">
        <v>593</v>
      </c>
      <c r="H69" s="1"/>
      <c r="I69" s="434"/>
      <c r="J69" s="435"/>
      <c r="K69" s="436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8</v>
      </c>
      <c r="G70" s="16" t="s">
        <v>597</v>
      </c>
      <c r="H70" s="1"/>
      <c r="M70" s="1"/>
      <c r="R70" s="3"/>
    </row>
    <row r="71" spans="1:18" ht="15.75">
      <c r="A71" s="1"/>
      <c r="B71" s="134"/>
      <c r="C71" s="16"/>
      <c r="D71" s="137">
        <v>9</v>
      </c>
      <c r="E71" s="138"/>
      <c r="F71" s="138"/>
      <c r="G71" s="16" t="s">
        <v>598</v>
      </c>
      <c r="H71" s="1"/>
      <c r="M71" s="1"/>
      <c r="R71" s="3"/>
    </row>
    <row r="72" spans="1:18" ht="15.75">
      <c r="A72" s="1"/>
      <c r="B72" s="134"/>
      <c r="C72" s="16"/>
      <c r="D72" s="137">
        <v>27</v>
      </c>
      <c r="E72" s="138"/>
      <c r="F72" s="138"/>
      <c r="G72" s="16" t="s">
        <v>605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70</v>
      </c>
      <c r="B79" s="233">
        <v>10</v>
      </c>
      <c r="C79" s="17" t="s">
        <v>230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263.47000000000003</v>
      </c>
      <c r="B80" s="233">
        <f>SUM(B66:B79)</f>
        <v>145</v>
      </c>
      <c r="C80" s="17" t="s">
        <v>51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160</v>
      </c>
      <c r="C86" s="19" t="s">
        <v>197</v>
      </c>
      <c r="D86" s="137">
        <v>41.71</v>
      </c>
      <c r="E86" s="138"/>
      <c r="F86" s="138"/>
      <c r="G86" s="16" t="s">
        <v>560</v>
      </c>
      <c r="H86" s="1"/>
      <c r="M86" s="1"/>
      <c r="R86" s="3"/>
    </row>
    <row r="87" spans="1:18" ht="15.75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562</v>
      </c>
      <c r="H87" s="1"/>
      <c r="M87" s="1"/>
      <c r="R87" s="3"/>
    </row>
    <row r="88" spans="1:18" ht="15.75">
      <c r="A88" s="1"/>
      <c r="B88" s="134"/>
      <c r="C88" s="16"/>
      <c r="D88" s="137">
        <v>46.26</v>
      </c>
      <c r="E88" s="138"/>
      <c r="F88" s="138"/>
      <c r="G88" s="16" t="s">
        <v>579</v>
      </c>
      <c r="H88" s="1"/>
      <c r="M88" s="1"/>
      <c r="R88" s="3"/>
    </row>
    <row r="89" spans="1:18" ht="15.75">
      <c r="A89" s="1"/>
      <c r="B89" s="134"/>
      <c r="C89" s="16"/>
      <c r="D89" s="137">
        <f>7.6+3.8+3.8</f>
        <v>15.2</v>
      </c>
      <c r="E89" s="138"/>
      <c r="F89" s="138"/>
      <c r="G89" s="16" t="s">
        <v>580</v>
      </c>
      <c r="H89" s="1"/>
      <c r="M89" s="1"/>
      <c r="R89" s="3"/>
    </row>
    <row r="90" spans="1:18" ht="15.75">
      <c r="A90" s="1"/>
      <c r="B90" s="134"/>
      <c r="C90" s="16"/>
      <c r="D90" s="137">
        <v>6</v>
      </c>
      <c r="E90" s="138"/>
      <c r="F90" s="138"/>
      <c r="G90" s="16" t="s">
        <v>601</v>
      </c>
      <c r="H90" s="1"/>
      <c r="M90" s="1"/>
      <c r="R90" s="3"/>
    </row>
    <row r="91" spans="1:18" ht="15.75">
      <c r="A91" s="1"/>
      <c r="B91" s="134"/>
      <c r="C91" s="16"/>
      <c r="D91" s="137">
        <v>44.64</v>
      </c>
      <c r="E91" s="138"/>
      <c r="F91" s="138"/>
      <c r="G91" s="16" t="s">
        <v>603</v>
      </c>
      <c r="H91" s="1"/>
      <c r="M91" s="1"/>
      <c r="R91" s="3"/>
    </row>
    <row r="92" spans="1:18" ht="15.75">
      <c r="A92" s="1"/>
      <c r="B92" s="134"/>
      <c r="C92" s="16"/>
      <c r="D92" s="137">
        <v>1.25</v>
      </c>
      <c r="E92" s="138"/>
      <c r="F92" s="138"/>
      <c r="G92" s="16" t="s">
        <v>604</v>
      </c>
      <c r="H92" s="1"/>
      <c r="M92" s="1"/>
      <c r="R92" s="3"/>
    </row>
    <row r="93" spans="1:18" ht="15.75">
      <c r="A93" s="1"/>
      <c r="B93" s="134"/>
      <c r="C93" s="16"/>
      <c r="D93" s="137">
        <v>50.9</v>
      </c>
      <c r="E93" s="138"/>
      <c r="F93" s="138"/>
      <c r="G93" s="16" t="s">
        <v>609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51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'05'!A106+(B106-SUM(D106:F106))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'05'!A107+(B107-SUM(D107:F107))</f>
        <v>70.840000000000032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'05'!A108+(B108-SUM(D108:F108))</f>
        <v>433.09999999999991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2537.5900000000006</v>
      </c>
      <c r="B109" s="134">
        <v>67.53</v>
      </c>
      <c r="C109" s="18" t="s">
        <v>393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762.41</v>
      </c>
      <c r="B120" s="135">
        <f>SUM(B106:B119)</f>
        <v>445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'05'!A126+(B126-SUM(D126:F126))</f>
        <v>7.5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'05'!A127+(B127-SUM(D127:F128))</f>
        <v>7.5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816</v>
      </c>
      <c r="I127" s="113">
        <f>D127+D128+'05'!I127</f>
        <v>75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'05'!A129+(B129-SUM(D129:F129))</f>
        <v>2.9999999999999361E-2</v>
      </c>
      <c r="B129" s="134">
        <v>8</v>
      </c>
      <c r="C129" s="16" t="s">
        <v>160</v>
      </c>
      <c r="D129" s="137"/>
      <c r="E129" s="138">
        <v>7.99</v>
      </c>
      <c r="F129" s="138"/>
      <c r="G129" s="16" t="s">
        <v>160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15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>
        <v>33.159999999999997</v>
      </c>
      <c r="E146" s="138"/>
      <c r="F146" s="138"/>
      <c r="G146" s="16" t="s">
        <v>610</v>
      </c>
      <c r="H146" s="1"/>
      <c r="M146" s="1"/>
      <c r="R146" s="3"/>
    </row>
    <row r="147" spans="1:22" ht="15.75">
      <c r="A147" s="1"/>
      <c r="B147" s="134">
        <v>-60</v>
      </c>
      <c r="C147" s="16" t="s">
        <v>558</v>
      </c>
      <c r="D147" s="137"/>
      <c r="E147" s="138"/>
      <c r="F147" s="138"/>
      <c r="G147" s="16" t="s">
        <v>559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-10</v>
      </c>
      <c r="C160" s="17" t="s">
        <v>51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>
        <v>12.98</v>
      </c>
      <c r="E186" s="138"/>
      <c r="F186" s="138"/>
      <c r="G186" s="16" t="s">
        <v>583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>
        <v>23.88</v>
      </c>
      <c r="E187" s="138"/>
      <c r="F187" s="138"/>
      <c r="G187" s="16" t="s">
        <v>587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>
        <v>35</v>
      </c>
      <c r="G188" s="16" t="s">
        <v>592</v>
      </c>
      <c r="I188" s="1"/>
      <c r="J188" s="1"/>
      <c r="K188" s="1"/>
      <c r="L188" s="1"/>
    </row>
    <row r="189" spans="1:22" ht="15.75">
      <c r="B189" s="134"/>
      <c r="C189" s="16"/>
      <c r="D189" s="137">
        <v>15</v>
      </c>
      <c r="E189" s="138"/>
      <c r="F189" s="138"/>
      <c r="G189" s="16" t="s">
        <v>594</v>
      </c>
      <c r="I189" s="1"/>
      <c r="J189" s="1"/>
      <c r="K189" s="1"/>
      <c r="L189" s="1"/>
    </row>
    <row r="190" spans="1:22" ht="15.75">
      <c r="B190" s="134"/>
      <c r="C190" s="16"/>
      <c r="D190" s="137">
        <v>23.94</v>
      </c>
      <c r="E190" s="138"/>
      <c r="F190" s="138"/>
      <c r="G190" s="16" t="s">
        <v>595</v>
      </c>
      <c r="I190" s="1"/>
      <c r="J190" s="1"/>
      <c r="K190" s="1"/>
      <c r="L190" s="1"/>
    </row>
    <row r="191" spans="1:22" ht="15.75">
      <c r="B191" s="134"/>
      <c r="C191" s="16"/>
      <c r="D191" s="137">
        <v>26.98</v>
      </c>
      <c r="E191" s="138"/>
      <c r="F191" s="138"/>
      <c r="G191" s="16" t="s">
        <v>612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51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7" ht="15" customHeight="1">
      <c r="A246" s="112">
        <f>'05'!A246+(B246-SUM(D246:F255))</f>
        <v>26.5</v>
      </c>
      <c r="B246" s="134">
        <v>45</v>
      </c>
      <c r="C246" s="27" t="s">
        <v>340</v>
      </c>
      <c r="D246" s="137"/>
      <c r="E246" s="138">
        <v>21.08</v>
      </c>
      <c r="F246" s="138"/>
      <c r="G246" s="16" t="s">
        <v>585</v>
      </c>
    </row>
    <row r="247" spans="1:7" ht="15" customHeight="1">
      <c r="A247" s="112"/>
      <c r="B247" s="134">
        <f>-10</f>
        <v>-10</v>
      </c>
      <c r="C247" s="16" t="s">
        <v>614</v>
      </c>
      <c r="D247" s="137">
        <v>12.99</v>
      </c>
      <c r="E247" s="138"/>
      <c r="F247" s="138"/>
      <c r="G247" s="16" t="s">
        <v>594</v>
      </c>
    </row>
    <row r="248" spans="1:7" ht="15.75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607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'05'!A256+(B256-SUM(D256:F256))</f>
        <v>25</v>
      </c>
      <c r="B256" s="134">
        <v>5</v>
      </c>
      <c r="C256" s="16" t="s">
        <v>347</v>
      </c>
      <c r="D256" s="137"/>
      <c r="E256" s="138"/>
      <c r="F256" s="138"/>
      <c r="G256" s="16"/>
    </row>
    <row r="257" spans="1:8" ht="15.75">
      <c r="A257" s="112">
        <f>'05'!A257+(B257-SUM(D257:F257))</f>
        <v>631.79000000000008</v>
      </c>
      <c r="B257" s="134">
        <v>25</v>
      </c>
      <c r="C257" s="16" t="s">
        <v>369</v>
      </c>
      <c r="D257" s="137"/>
      <c r="E257" s="138">
        <v>100.67</v>
      </c>
      <c r="F257" s="138"/>
      <c r="G257" s="16" t="s">
        <v>343</v>
      </c>
    </row>
    <row r="258" spans="1:8" ht="15.75">
      <c r="A258" s="112">
        <f>'05'!A258+(B258-SUM(D258:F258))+'05'!A259</f>
        <v>140</v>
      </c>
      <c r="B258" s="134">
        <v>25</v>
      </c>
      <c r="C258" s="16" t="s">
        <v>341</v>
      </c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823.29000000000008</v>
      </c>
      <c r="B260" s="135">
        <f>SUM(B246:B259)</f>
        <v>90</v>
      </c>
      <c r="C260" s="17" t="s">
        <v>51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570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600</v>
      </c>
      <c r="H267" s="89" t="s">
        <v>599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606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.75" thickBot="1">
      <c r="B279" s="135"/>
      <c r="C279" s="17"/>
      <c r="D279" s="135"/>
      <c r="E279" s="139"/>
      <c r="F279" s="139"/>
      <c r="G279" s="17"/>
    </row>
    <row r="280" spans="2:9" ht="15.75" thickBot="1">
      <c r="B280" s="135">
        <f>SUM(B266:B279)</f>
        <v>50</v>
      </c>
      <c r="C280" s="17" t="s">
        <v>51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51</v>
      </c>
    </row>
    <row r="281" spans="2:9" ht="15.75" thickBot="1">
      <c r="B281" s="5"/>
      <c r="C281" s="3"/>
      <c r="D281" s="5"/>
      <c r="E281" s="5"/>
    </row>
    <row r="282" spans="2:9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9" ht="15" customHeight="1" thickBot="1">
      <c r="B283" s="411"/>
      <c r="C283" s="412"/>
      <c r="D283" s="412"/>
      <c r="E283" s="412"/>
      <c r="F283" s="412"/>
      <c r="G283" s="413"/>
    </row>
    <row r="284" spans="2:9">
      <c r="B284" s="400" t="s">
        <v>8</v>
      </c>
      <c r="C284" s="401"/>
      <c r="D284" s="400" t="s">
        <v>9</v>
      </c>
      <c r="E284" s="408"/>
      <c r="F284" s="408"/>
      <c r="G284" s="401"/>
    </row>
    <row r="285" spans="2:9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2:9">
      <c r="B286" s="133">
        <v>90</v>
      </c>
      <c r="C286" s="19" t="s">
        <v>31</v>
      </c>
      <c r="D286" s="137"/>
      <c r="E286" s="138">
        <v>207.58</v>
      </c>
      <c r="F286" s="138"/>
      <c r="G286" s="16" t="s">
        <v>573</v>
      </c>
    </row>
    <row r="287" spans="2:9">
      <c r="B287" s="134">
        <v>242.41</v>
      </c>
      <c r="C287" s="16" t="s">
        <v>158</v>
      </c>
      <c r="D287" s="137"/>
      <c r="E287" s="138">
        <f>64.83-E50</f>
        <v>34.83</v>
      </c>
      <c r="F287" s="138"/>
      <c r="G287" s="16" t="s">
        <v>584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554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342.40999999999997</v>
      </c>
      <c r="C300" s="17" t="s">
        <v>51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115</v>
      </c>
      <c r="C306" s="19" t="s">
        <v>226</v>
      </c>
      <c r="D306" s="137"/>
      <c r="E306" s="138"/>
      <c r="F306" s="138">
        <v>50</v>
      </c>
      <c r="G306" s="16" t="s">
        <v>563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575</v>
      </c>
    </row>
    <row r="308" spans="2:7">
      <c r="B308" s="134"/>
      <c r="C308" s="27"/>
      <c r="D308" s="137"/>
      <c r="E308" s="138"/>
      <c r="F308" s="138">
        <v>50</v>
      </c>
      <c r="G308" s="16" t="s">
        <v>576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51</v>
      </c>
    </row>
    <row r="321" spans="2:7" ht="15.75" thickBot="1"/>
    <row r="322" spans="2:7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574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2" t="str">
        <f>AÑO!A37</f>
        <v>Imprevistos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75">
      <c r="A345" s="1" t="s">
        <v>181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1:7" ht="15.75">
      <c r="A346" s="112">
        <f>140.73+(B346-SUM(D346:F357))</f>
        <v>185.73</v>
      </c>
      <c r="B346" s="133">
        <v>45</v>
      </c>
      <c r="C346" s="19" t="s">
        <v>195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(B358-SUM(D358:F358))+B359</f>
        <v>40</v>
      </c>
      <c r="B358" s="134">
        <v>5</v>
      </c>
      <c r="C358" s="16" t="s">
        <v>555</v>
      </c>
      <c r="D358" s="137"/>
      <c r="E358" s="138"/>
      <c r="F358" s="138"/>
      <c r="G358" s="16"/>
    </row>
    <row r="359" spans="1:7" ht="16.5" thickBot="1">
      <c r="A359" s="112"/>
      <c r="B359" s="135">
        <v>35</v>
      </c>
      <c r="C359" s="17" t="s">
        <v>567</v>
      </c>
      <c r="D359" s="135"/>
      <c r="E359" s="139"/>
      <c r="F359" s="139"/>
      <c r="G359" s="17"/>
    </row>
    <row r="360" spans="1:7" ht="16.5" thickBot="1">
      <c r="A360" s="112">
        <f>SUM(A346:A359)</f>
        <v>225.73</v>
      </c>
      <c r="B360" s="135">
        <f>SUM(B346:B359)</f>
        <v>85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1:7">
      <c r="B366" s="133">
        <v>70</v>
      </c>
      <c r="C366" s="19" t="s">
        <v>31</v>
      </c>
      <c r="D366" s="137">
        <f>4.5+3.5+4.5</f>
        <v>12.5</v>
      </c>
      <c r="E366" s="138"/>
      <c r="F366" s="138">
        <f>3.5+4.5+4.5+2.8+4.7</f>
        <v>20</v>
      </c>
      <c r="G366" s="31" t="s">
        <v>65</v>
      </c>
    </row>
    <row r="367" spans="1:7">
      <c r="B367" s="134"/>
      <c r="C367" s="16"/>
      <c r="D367" s="137">
        <f>4.1+5.9</f>
        <v>10</v>
      </c>
      <c r="E367" s="138"/>
      <c r="F367" s="138"/>
      <c r="G367" s="31" t="s">
        <v>588</v>
      </c>
    </row>
    <row r="368" spans="1:7">
      <c r="B368" s="134"/>
      <c r="C368" s="16"/>
      <c r="D368" s="137">
        <f>8.85+6.75</f>
        <v>15.6</v>
      </c>
      <c r="E368" s="138"/>
      <c r="F368" s="138"/>
      <c r="G368" s="16" t="s">
        <v>607</v>
      </c>
    </row>
    <row r="369" spans="2:7">
      <c r="B369" s="134"/>
      <c r="C369" s="16"/>
      <c r="D369" s="137">
        <v>11</v>
      </c>
      <c r="E369" s="138"/>
      <c r="F369" s="138"/>
      <c r="G369" s="16" t="s">
        <v>608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569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AÑO!W17</f>
        <v>4093.3200000000006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-0.82999999999901775</v>
      </c>
      <c r="C426" s="19" t="s">
        <v>227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-0.82999999999901775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NULO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'05'!A466+(B466-SUM(D466:F466))</f>
        <v>-550</v>
      </c>
      <c r="B466" s="134">
        <v>0</v>
      </c>
      <c r="C466" s="16" t="s">
        <v>286</v>
      </c>
      <c r="D466" s="137"/>
      <c r="E466" s="138"/>
      <c r="F466" s="138"/>
      <c r="G466" s="16"/>
    </row>
    <row r="467" spans="1:7" ht="15.75">
      <c r="A467" s="112">
        <f>'05'!A467+(B467-SUM(D467:F467))</f>
        <v>-7.7900000000000205</v>
      </c>
      <c r="B467" s="134">
        <v>50</v>
      </c>
      <c r="C467" s="16" t="s">
        <v>391</v>
      </c>
      <c r="D467" s="137"/>
      <c r="E467" s="138"/>
      <c r="F467" s="138"/>
      <c r="G467" s="16"/>
    </row>
    <row r="468" spans="1:7" ht="15.75">
      <c r="A468" s="112">
        <f>'05'!A468+(B468-SUM(D468:F468))+B469</f>
        <v>123.4</v>
      </c>
      <c r="B468" s="134">
        <f>15</f>
        <v>15</v>
      </c>
      <c r="C468" s="16" t="s">
        <v>183</v>
      </c>
      <c r="D468" s="137"/>
      <c r="E468" s="138"/>
      <c r="F468" s="138"/>
      <c r="G468" s="16"/>
    </row>
    <row r="469" spans="1:7">
      <c r="B469" s="134">
        <v>-55</v>
      </c>
      <c r="C469" s="16" t="s">
        <v>561</v>
      </c>
      <c r="D469" s="137"/>
      <c r="E469" s="138"/>
      <c r="F469" s="138"/>
      <c r="G469" s="16" t="s">
        <v>243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-434.39</v>
      </c>
      <c r="B480" s="135">
        <f>SUM(B466:B479)</f>
        <v>10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600-000000000000}"/>
    <hyperlink ref="I2:L3" location="AÑO!W4:Z5" display="SALDO REAL" xr:uid="{00000000-0004-0000-0600-000001000000}"/>
    <hyperlink ref="B2" location="Trimestre!C25:F26" display="HIPOTECA" xr:uid="{00000000-0004-0000-0600-000002000000}"/>
    <hyperlink ref="B2:G3" location="AÑO!W20:Z20" display="AÑO!W20:Z20" xr:uid="{00000000-0004-0000-0600-000003000000}"/>
    <hyperlink ref="I22" location="Trimestre!C39:F40" display="TELÉFONO" xr:uid="{00000000-0004-0000-0600-000004000000}"/>
    <hyperlink ref="I22:L23" location="AÑO!W7:Z17" display="INGRESOS" xr:uid="{00000000-0004-0000-0600-000005000000}"/>
    <hyperlink ref="B22" location="Trimestre!C25:F26" display="HIPOTECA" xr:uid="{00000000-0004-0000-0600-000006000000}"/>
    <hyperlink ref="B22:G23" location="AÑO!W21:Z21" display="AÑO!W21:Z21" xr:uid="{00000000-0004-0000-0600-000007000000}"/>
    <hyperlink ref="B42" location="Trimestre!C25:F26" display="HIPOTECA" xr:uid="{00000000-0004-0000-0600-000008000000}"/>
    <hyperlink ref="B42:G43" location="AÑO!W22:Z22" display="AÑO!W22:Z22" xr:uid="{00000000-0004-0000-0600-000009000000}"/>
    <hyperlink ref="B62" location="Trimestre!C25:F26" display="HIPOTECA" xr:uid="{00000000-0004-0000-0600-00000A000000}"/>
    <hyperlink ref="B62:G63" location="AÑO!W23:Z23" display="AÑO!W23:Z23" xr:uid="{00000000-0004-0000-0600-00000B000000}"/>
    <hyperlink ref="B82" location="Trimestre!C25:F26" display="HIPOTECA" xr:uid="{00000000-0004-0000-0600-00000C000000}"/>
    <hyperlink ref="B82:G83" location="AÑO!W24:Z24" display="AÑO!W24:Z24" xr:uid="{00000000-0004-0000-0600-00000D000000}"/>
    <hyperlink ref="B102" location="Trimestre!C25:F26" display="HIPOTECA" xr:uid="{00000000-0004-0000-0600-00000E000000}"/>
    <hyperlink ref="B102:G103" location="AÑO!W25:Z25" display="AÑO!W25:Z25" xr:uid="{00000000-0004-0000-0600-00000F000000}"/>
    <hyperlink ref="B122" location="Trimestre!C25:F26" display="HIPOTECA" xr:uid="{00000000-0004-0000-0600-000010000000}"/>
    <hyperlink ref="B122:G123" location="AÑO!W26:Z26" display="AÑO!W26:Z26" xr:uid="{00000000-0004-0000-0600-000011000000}"/>
    <hyperlink ref="B142" location="Trimestre!C25:F26" display="HIPOTECA" xr:uid="{00000000-0004-0000-0600-000012000000}"/>
    <hyperlink ref="B142:G143" location="AÑO!W27:Z27" display="AÑO!W27:Z27" xr:uid="{00000000-0004-0000-0600-000013000000}"/>
    <hyperlink ref="B162" location="Trimestre!C25:F26" display="HIPOTECA" xr:uid="{00000000-0004-0000-0600-000014000000}"/>
    <hyperlink ref="B162:G163" location="AÑO!W28:Z28" display="AÑO!W28:Z28" xr:uid="{00000000-0004-0000-0600-000015000000}"/>
    <hyperlink ref="B182" location="Trimestre!C25:F26" display="HIPOTECA" xr:uid="{00000000-0004-0000-0600-000016000000}"/>
    <hyperlink ref="B182:G183" location="AÑO!W29:Z29" display="AÑO!W29:Z29" xr:uid="{00000000-0004-0000-0600-000017000000}"/>
    <hyperlink ref="B202" location="Trimestre!C25:F26" display="HIPOTECA" xr:uid="{00000000-0004-0000-0600-000018000000}"/>
    <hyperlink ref="B202:G203" location="AÑO!W30:Z30" display="AÑO!W30:Z30" xr:uid="{00000000-0004-0000-0600-000019000000}"/>
    <hyperlink ref="B222" location="Trimestre!C25:F26" display="HIPOTECA" xr:uid="{00000000-0004-0000-0600-00001A000000}"/>
    <hyperlink ref="B222:G223" location="AÑO!W31:Z31" display="AÑO!W31:Z31" xr:uid="{00000000-0004-0000-0600-00001B000000}"/>
    <hyperlink ref="B242" location="Trimestre!C25:F26" display="HIPOTECA" xr:uid="{00000000-0004-0000-0600-00001C000000}"/>
    <hyperlink ref="B242:G243" location="AÑO!W32:Z32" display="AÑO!W32:Z32" xr:uid="{00000000-0004-0000-0600-00001D000000}"/>
    <hyperlink ref="B262" location="Trimestre!C25:F26" display="HIPOTECA" xr:uid="{00000000-0004-0000-0600-00001E000000}"/>
    <hyperlink ref="B262:G263" location="AÑO!W33:Z33" display="AÑO!W33:Z33" xr:uid="{00000000-0004-0000-0600-00001F000000}"/>
    <hyperlink ref="B282" location="Trimestre!C25:F26" display="HIPOTECA" xr:uid="{00000000-0004-0000-0600-000020000000}"/>
    <hyperlink ref="B282:G283" location="AÑO!W34:Z34" display="AÑO!W34:Z34" xr:uid="{00000000-0004-0000-0600-000021000000}"/>
    <hyperlink ref="B302" location="Trimestre!C25:F26" display="HIPOTECA" xr:uid="{00000000-0004-0000-0600-000022000000}"/>
    <hyperlink ref="B302:G303" location="AÑO!W35:Z35" display="AÑO!W35:Z35" xr:uid="{00000000-0004-0000-0600-000023000000}"/>
    <hyperlink ref="B322" location="Trimestre!C25:F26" display="HIPOTECA" xr:uid="{00000000-0004-0000-0600-000024000000}"/>
    <hyperlink ref="B322:G323" location="AÑO!W36:Z36" display="AÑO!W36:Z36" xr:uid="{00000000-0004-0000-0600-000025000000}"/>
    <hyperlink ref="B342" location="Trimestre!C25:F26" display="HIPOTECA" xr:uid="{00000000-0004-0000-0600-000026000000}"/>
    <hyperlink ref="B342:G343" location="AÑO!W37:Z37" display="AÑO!W37:Z37" xr:uid="{00000000-0004-0000-0600-000027000000}"/>
    <hyperlink ref="B362" location="Trimestre!C25:F26" display="HIPOTECA" xr:uid="{00000000-0004-0000-0600-000028000000}"/>
    <hyperlink ref="B362:G363" location="AÑO!W38:Z38" display="AÑO!W38:Z38" xr:uid="{00000000-0004-0000-0600-000029000000}"/>
    <hyperlink ref="B382" location="Trimestre!C25:F26" display="HIPOTECA" xr:uid="{00000000-0004-0000-0600-00002A000000}"/>
    <hyperlink ref="B382:G383" location="AÑO!W39:Z39" display="AÑO!W39:Z39" xr:uid="{00000000-0004-0000-0600-00002B000000}"/>
    <hyperlink ref="B402" location="Trimestre!C25:F26" display="HIPOTECA" xr:uid="{00000000-0004-0000-0600-00002C000000}"/>
    <hyperlink ref="B402:G403" location="AÑO!W40:Z40" display="AÑO!W40:Z40" xr:uid="{00000000-0004-0000-0600-00002D000000}"/>
    <hyperlink ref="B422" location="Trimestre!C25:F26" display="HIPOTECA" xr:uid="{00000000-0004-0000-0600-00002E000000}"/>
    <hyperlink ref="B422:G423" location="AÑO!W41:Z41" display="AÑO!W41:Z41" xr:uid="{00000000-0004-0000-0600-00002F000000}"/>
    <hyperlink ref="B442" location="Trimestre!C25:F26" display="HIPOTECA" xr:uid="{00000000-0004-0000-0600-000030000000}"/>
    <hyperlink ref="B442:G443" location="AÑO!W42:Z42" display="AÑO!W42:Z42" xr:uid="{00000000-0004-0000-0600-000031000000}"/>
    <hyperlink ref="B462" location="Trimestre!C25:F26" display="HIPOTECA" xr:uid="{00000000-0004-0000-0600-000032000000}"/>
    <hyperlink ref="B462:G463" location="AÑO!W43:Z43" display="AÑO!W43:Z43" xr:uid="{00000000-0004-0000-0600-000033000000}"/>
    <hyperlink ref="B482" location="Trimestre!C25:F26" display="HIPOTECA" xr:uid="{00000000-0004-0000-0600-000034000000}"/>
    <hyperlink ref="B482:G483" location="AÑO!W44:Z44" display="AÑO!W44:Z44" xr:uid="{00000000-0004-0000-0600-000035000000}"/>
    <hyperlink ref="B502" location="Trimestre!C25:F26" display="HIPOTECA" xr:uid="{00000000-0004-0000-0600-000036000000}"/>
    <hyperlink ref="B502:G503" location="AÑO!W45:Z45" display="AÑO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A10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55</v>
      </c>
      <c r="J4" s="105" t="s">
        <v>56</v>
      </c>
      <c r="K4" s="428" t="s">
        <v>57</v>
      </c>
      <c r="L4" s="429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0">
        <f>2939.95</f>
        <v>2939.95</v>
      </c>
      <c r="L5" s="431"/>
      <c r="M5" s="1"/>
      <c r="N5" s="1"/>
      <c r="R5" s="3"/>
    </row>
    <row r="6" spans="1:22" ht="15.75">
      <c r="A6" s="112">
        <f>'06'!A6+(B6-SUM(D6:F6))</f>
        <v>395.26</v>
      </c>
      <c r="B6" s="133">
        <v>403.08</v>
      </c>
      <c r="C6" s="19" t="s">
        <v>314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4">
        <v>620.1</v>
      </c>
      <c r="L6" s="415"/>
      <c r="M6" s="1" t="s">
        <v>163</v>
      </c>
      <c r="N6" s="1"/>
      <c r="R6" s="3"/>
    </row>
    <row r="7" spans="1:22" ht="15.75">
      <c r="A7" s="112">
        <f>'06'!A7+(B7-SUM(D7:F7))</f>
        <v>167.02999999999997</v>
      </c>
      <c r="B7" s="134">
        <v>67.180000000000007</v>
      </c>
      <c r="C7" s="16" t="s">
        <v>338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4">
        <v>8049.26</v>
      </c>
      <c r="L7" s="415"/>
      <c r="M7" s="1"/>
      <c r="N7" s="1"/>
      <c r="R7" s="3"/>
    </row>
    <row r="8" spans="1:22" ht="15.75">
      <c r="A8" s="112">
        <f>'06'!A8+(B8-SUM(D8:F8))</f>
        <v>-115.67999999999995</v>
      </c>
      <c r="B8" s="134">
        <f>L60-550</f>
        <v>99.100000000000023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4">
        <v>6305.62</v>
      </c>
      <c r="L8" s="415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155</v>
      </c>
      <c r="K9" s="414">
        <v>169.67</v>
      </c>
      <c r="L9" s="415"/>
      <c r="M9" s="1"/>
      <c r="N9" s="1"/>
      <c r="R9" s="3"/>
    </row>
    <row r="10" spans="1:22" ht="15.75">
      <c r="A10" s="112">
        <f>'06'!A10+(B10-SUM(D10:F10))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4">
        <v>1802.02</v>
      </c>
      <c r="L10" s="415"/>
      <c r="M10" s="1" t="s">
        <v>154</v>
      </c>
      <c r="N10" s="1"/>
      <c r="R10" s="3"/>
    </row>
    <row r="11" spans="1:22" ht="15.75">
      <c r="A11" s="112">
        <f>'06'!A11+(B11-SUM(D11:F11))</f>
        <v>30.230000000000004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14">
        <v>260</v>
      </c>
      <c r="L11" s="415"/>
      <c r="M11" s="1"/>
      <c r="N11" s="1"/>
      <c r="R11" s="3"/>
    </row>
    <row r="12" spans="1:22" ht="15.75">
      <c r="A12" s="112">
        <f>'06'!A12+(B12-SUM(D12:F12))</f>
        <v>194.54000000000002</v>
      </c>
      <c r="B12" s="134">
        <v>25</v>
      </c>
      <c r="C12" s="16" t="s">
        <v>201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14">
        <f>5092.08+4044.26</f>
        <v>9136.34</v>
      </c>
      <c r="L12" s="415"/>
      <c r="M12" s="92"/>
      <c r="N12" s="1"/>
      <c r="R12" s="3"/>
    </row>
    <row r="13" spans="1:22" ht="15.75">
      <c r="A13" s="112">
        <f>'06'!A13+(B13-SUM(D13:F13))</f>
        <v>24</v>
      </c>
      <c r="B13" s="134">
        <v>6.5</v>
      </c>
      <c r="C13" s="16" t="s">
        <v>264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8">
        <f>SUM(K5:K18)</f>
        <v>29282.959999999999</v>
      </c>
      <c r="L19" s="439"/>
      <c r="M19" s="1"/>
      <c r="N19" s="1"/>
      <c r="R19" s="3"/>
    </row>
    <row r="20" spans="1:18" ht="16.5" thickBot="1">
      <c r="A20" s="112">
        <f>SUM(A6:A15)</f>
        <v>719.38000000000011</v>
      </c>
      <c r="B20" s="135">
        <f>SUM(B6:B19)</f>
        <v>643.1</v>
      </c>
      <c r="C20" s="17" t="s">
        <v>51</v>
      </c>
      <c r="D20" s="135">
        <f>SUM(D6:D19)</f>
        <v>0</v>
      </c>
      <c r="E20" s="135">
        <f>SUM(E6:E19)</f>
        <v>445.31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18344.599999999999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29</v>
      </c>
      <c r="J24" s="432" t="s">
        <v>85</v>
      </c>
      <c r="K24" s="433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19" t="str">
        <f>AÑO!A8</f>
        <v>Manolo Salario</v>
      </c>
      <c r="J25" s="422" t="s">
        <v>339</v>
      </c>
      <c r="K25" s="423"/>
      <c r="L25" s="231">
        <v>2568.54</v>
      </c>
      <c r="M25" s="1"/>
      <c r="R25" s="3"/>
    </row>
    <row r="26" spans="1:18" ht="15.75">
      <c r="A26" s="112">
        <f>'06'!A26+(B26-SUM(D26:F26))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'06'!A27+(B27-SUM(D27:F27))</f>
        <v>221.03999999999996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'06'!A28+(B28-SUM(D28:F28))</f>
        <v>158.30000000000001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'06'!A29+(B29-SUM(D29:F29))</f>
        <v>19.480000000000004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'06'!A30+(B30-SUM(D30:F30))</f>
        <v>191.27999999999997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368</v>
      </c>
      <c r="K30" s="423"/>
      <c r="L30" s="231">
        <v>846.9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564</v>
      </c>
      <c r="K31" s="425"/>
      <c r="L31" s="229">
        <v>110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626</v>
      </c>
      <c r="K32" s="425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212</v>
      </c>
      <c r="J35" s="422"/>
      <c r="K35" s="423"/>
      <c r="L35" s="231">
        <v>124.52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1490.1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19" t="str">
        <f>AÑO!A11</f>
        <v>Finanazas</v>
      </c>
      <c r="J40" s="422" t="s">
        <v>613</v>
      </c>
      <c r="K40" s="423"/>
      <c r="L40" s="231">
        <v>1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 t="s">
        <v>58</v>
      </c>
      <c r="K41" s="425"/>
      <c r="L41" s="229">
        <v>0.02</v>
      </c>
      <c r="M41" s="1"/>
      <c r="R41" s="3"/>
    </row>
    <row r="42" spans="1:18" ht="15.6" customHeight="1">
      <c r="A42" s="1"/>
      <c r="B42" s="402" t="str">
        <f>AÑO!A22</f>
        <v>Supermercado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19" t="str">
        <f>AÑO!A12</f>
        <v>Regalos</v>
      </c>
      <c r="J45" s="422"/>
      <c r="K45" s="423"/>
      <c r="L45" s="231"/>
      <c r="M45" s="1"/>
      <c r="R45" s="3"/>
    </row>
    <row r="46" spans="1:18" ht="15.75">
      <c r="A46" s="1"/>
      <c r="B46" s="133">
        <v>300</v>
      </c>
      <c r="C46" s="19"/>
      <c r="D46" s="137">
        <v>15.8</v>
      </c>
      <c r="E46" s="138"/>
      <c r="F46" s="138"/>
      <c r="G46" s="30" t="s">
        <v>618</v>
      </c>
      <c r="H46" s="1"/>
      <c r="I46" s="420"/>
      <c r="J46" s="424"/>
      <c r="K46" s="425"/>
      <c r="L46" s="229"/>
      <c r="M46" s="1"/>
      <c r="R46" s="3"/>
    </row>
    <row r="47" spans="1:18" ht="15.75">
      <c r="A47" s="1"/>
      <c r="B47" s="134"/>
      <c r="C47" s="16" t="s">
        <v>76</v>
      </c>
      <c r="D47" s="137">
        <f>43.65-D187-D286</f>
        <v>6.6499999999999986</v>
      </c>
      <c r="E47" s="138"/>
      <c r="F47" s="138"/>
      <c r="G47" s="16" t="s">
        <v>624</v>
      </c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 t="s">
        <v>557</v>
      </c>
      <c r="D48" s="137">
        <v>8.1</v>
      </c>
      <c r="E48" s="138"/>
      <c r="F48" s="138"/>
      <c r="G48" s="16" t="s">
        <v>643</v>
      </c>
      <c r="H48" s="1"/>
      <c r="I48" s="420"/>
      <c r="J48" s="424"/>
      <c r="K48" s="425"/>
      <c r="L48" s="229"/>
      <c r="M48" s="1"/>
      <c r="R48" s="3"/>
    </row>
    <row r="49" spans="1:18" ht="15.75">
      <c r="A49" s="1"/>
      <c r="B49" s="134">
        <f>-10-4.38-20-15.25-13.1</f>
        <v>-62.73</v>
      </c>
      <c r="C49" s="16" t="s">
        <v>621</v>
      </c>
      <c r="D49" s="137">
        <v>2.5499999999999998</v>
      </c>
      <c r="E49" s="138"/>
      <c r="F49" s="138"/>
      <c r="G49" s="16" t="s">
        <v>652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>
        <v>5</v>
      </c>
      <c r="C50" s="16" t="s">
        <v>648</v>
      </c>
      <c r="D50" s="137">
        <v>69.97</v>
      </c>
      <c r="E50" s="138"/>
      <c r="F50" s="138"/>
      <c r="G50" s="16" t="s">
        <v>664</v>
      </c>
      <c r="H50" s="1"/>
      <c r="I50" s="419" t="str">
        <f>AÑO!A13</f>
        <v>Gubernamental</v>
      </c>
      <c r="J50" s="422" t="s">
        <v>577</v>
      </c>
      <c r="K50" s="423"/>
      <c r="L50" s="231">
        <v>95.8</v>
      </c>
      <c r="M50" s="1"/>
      <c r="R50" s="3"/>
    </row>
    <row r="51" spans="1:18" ht="15.75">
      <c r="A51" s="112"/>
      <c r="B51" s="134">
        <v>-133.91</v>
      </c>
      <c r="C51" s="16" t="s">
        <v>667</v>
      </c>
      <c r="D51" s="137">
        <v>5.29</v>
      </c>
      <c r="E51" s="138"/>
      <c r="F51" s="138"/>
      <c r="G51" s="16" t="s">
        <v>666</v>
      </c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22" t="s">
        <v>627</v>
      </c>
      <c r="K55" s="423"/>
      <c r="L55" s="231">
        <f>14.27</f>
        <v>14.27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24" t="s">
        <v>627</v>
      </c>
      <c r="K56" s="425"/>
      <c r="L56" s="229">
        <v>23.22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 t="s">
        <v>627</v>
      </c>
      <c r="K57" s="425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108.36000000000001</v>
      </c>
      <c r="C60" s="17" t="s">
        <v>51</v>
      </c>
      <c r="D60" s="135">
        <f>SUM(D46:D59)</f>
        <v>108.36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19" t="str">
        <f>AÑO!A15</f>
        <v>Alquiler Cartama</v>
      </c>
      <c r="J60" s="422" t="s">
        <v>642</v>
      </c>
      <c r="K60" s="423"/>
      <c r="L60" s="231">
        <v>649.1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'06'!A66+(B66-SUM(D66:F78))+B67</f>
        <v>211.27000000000004</v>
      </c>
      <c r="B66" s="133">
        <v>160</v>
      </c>
      <c r="C66" s="19" t="s">
        <v>31</v>
      </c>
      <c r="D66" s="137">
        <v>42</v>
      </c>
      <c r="E66" s="138"/>
      <c r="F66" s="138"/>
      <c r="G66" s="19" t="s">
        <v>619</v>
      </c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>
        <v>10</v>
      </c>
      <c r="G67" s="31" t="s">
        <v>628</v>
      </c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/>
      <c r="C68" s="16"/>
      <c r="D68" s="137">
        <v>50.8</v>
      </c>
      <c r="E68" s="138"/>
      <c r="F68" s="138">
        <v>2.5</v>
      </c>
      <c r="G68" s="16" t="s">
        <v>650</v>
      </c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8</v>
      </c>
      <c r="G69" s="16" t="s">
        <v>649</v>
      </c>
      <c r="H69" s="1"/>
      <c r="I69" s="434"/>
      <c r="J69" s="435"/>
      <c r="K69" s="436"/>
      <c r="L69" s="232"/>
      <c r="M69" s="1"/>
      <c r="R69" s="3"/>
    </row>
    <row r="70" spans="1:18" ht="15.75">
      <c r="A70" s="1"/>
      <c r="B70" s="134"/>
      <c r="C70" s="16"/>
      <c r="D70" s="137">
        <v>28.9</v>
      </c>
      <c r="E70" s="138"/>
      <c r="F70" s="138"/>
      <c r="G70" s="16" t="s">
        <v>662</v>
      </c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'06'!A79+(B79-SUM(D79:F79))</f>
        <v>80</v>
      </c>
      <c r="B79" s="233">
        <v>10</v>
      </c>
      <c r="C79" s="17" t="s">
        <v>230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291.27000000000004</v>
      </c>
      <c r="B80" s="233">
        <f>SUM(B66:B79)</f>
        <v>170</v>
      </c>
      <c r="C80" s="17" t="s">
        <v>51</v>
      </c>
      <c r="D80" s="135">
        <f>SUM(D66:D79)</f>
        <v>121.69999999999999</v>
      </c>
      <c r="E80" s="135">
        <f>SUM(E66:E79)</f>
        <v>0</v>
      </c>
      <c r="F80" s="135">
        <f>SUM(F66:F79)</f>
        <v>20.5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160</v>
      </c>
      <c r="C86" s="19" t="s">
        <v>197</v>
      </c>
      <c r="D86" s="137">
        <v>47.8</v>
      </c>
      <c r="E86" s="138"/>
      <c r="F86" s="138"/>
      <c r="G86" s="16" t="s">
        <v>651</v>
      </c>
      <c r="H86" s="1"/>
      <c r="M86" s="1"/>
      <c r="R86" s="3"/>
    </row>
    <row r="87" spans="1:18" ht="15.75">
      <c r="A87" s="1"/>
      <c r="B87" s="134"/>
      <c r="C87" s="16"/>
      <c r="D87" s="137">
        <v>7.3</v>
      </c>
      <c r="E87" s="138"/>
      <c r="F87" s="138"/>
      <c r="G87" s="16" t="s">
        <v>657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55.099999999999994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'06'!A106+(B106-SUM(D106:F106))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'06'!A107+(B107-SUM(D107:F107))</f>
        <v>70.930000000000035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'06'!A108+(B108-SUM(D108:F108))</f>
        <v>483.09999999999991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2605.1200000000008</v>
      </c>
      <c r="B109" s="134">
        <v>67.53</v>
      </c>
      <c r="C109" s="18" t="s">
        <v>393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150</v>
      </c>
      <c r="C110" s="18" t="s">
        <v>669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50</v>
      </c>
      <c r="C111" s="27" t="s">
        <v>672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812.5</v>
      </c>
      <c r="B120" s="135">
        <f>SUM(B106:B119)</f>
        <v>645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'06'!A126+(B126-SUM(D126:F126))</f>
        <v>10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'06'!A127+(B127-SUM(D127:F128))</f>
        <v>12.5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816</v>
      </c>
      <c r="I127" s="113">
        <f>D127+D128+'06'!I127</f>
        <v>85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'06'!A129+(B129-SUM(D129:F129))</f>
        <v>3.9999999999999147E-2</v>
      </c>
      <c r="B129" s="134">
        <v>8</v>
      </c>
      <c r="C129" s="16" t="s">
        <v>160</v>
      </c>
      <c r="D129" s="137"/>
      <c r="E129" s="138">
        <v>7.99</v>
      </c>
      <c r="F129" s="138"/>
      <c r="G129" s="16" t="s">
        <v>160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22.5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>
        <v>14.63</v>
      </c>
      <c r="E166" s="138"/>
      <c r="F166" s="138"/>
      <c r="G166" s="16" t="s">
        <v>623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>
        <v>230</v>
      </c>
      <c r="G167" s="16" t="s">
        <v>631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>
        <v>14.99</v>
      </c>
      <c r="E168" s="138"/>
      <c r="F168" s="138"/>
      <c r="G168" s="16" t="s">
        <v>635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>
        <v>11.04</v>
      </c>
      <c r="E169" s="138"/>
      <c r="F169" s="138"/>
      <c r="G169" s="16" t="s">
        <v>637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89.2</v>
      </c>
      <c r="E170" s="138"/>
      <c r="F170" s="138"/>
      <c r="G170" s="16" t="s">
        <v>645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>
        <v>13</v>
      </c>
      <c r="E171" s="138"/>
      <c r="F171" s="138"/>
      <c r="G171" s="16" t="s">
        <v>638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>
        <v>4</v>
      </c>
      <c r="E172" s="138"/>
      <c r="F172" s="138">
        <v>4</v>
      </c>
      <c r="G172" s="16" t="s">
        <v>639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>
        <v>982.42</v>
      </c>
      <c r="E173" s="138"/>
      <c r="F173" s="138"/>
      <c r="G173" s="16" t="s">
        <v>640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1129.28</v>
      </c>
      <c r="E180" s="135">
        <f>SUM(E166:E179)</f>
        <v>0</v>
      </c>
      <c r="F180" s="135">
        <f>SUM(F166:F179)</f>
        <v>234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>
        <v>35.94</v>
      </c>
      <c r="E186" s="138"/>
      <c r="F186" s="138"/>
      <c r="G186" s="16" t="s">
        <v>625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12</v>
      </c>
      <c r="E187" s="138"/>
      <c r="F187" s="138"/>
      <c r="G187" s="16" t="s">
        <v>624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10.3</v>
      </c>
      <c r="E188" s="138"/>
      <c r="F188" s="138"/>
      <c r="G188" s="16" t="s">
        <v>653</v>
      </c>
      <c r="I188" s="1"/>
      <c r="J188" s="1"/>
      <c r="K188" s="1"/>
      <c r="L188" s="1"/>
    </row>
    <row r="189" spans="1:22" ht="15.75">
      <c r="B189" s="134"/>
      <c r="C189" s="16"/>
      <c r="D189" s="137">
        <v>42.8</v>
      </c>
      <c r="E189" s="138"/>
      <c r="F189" s="138"/>
      <c r="G189" s="16" t="s">
        <v>665</v>
      </c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101.03999999999999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618</v>
      </c>
    </row>
    <row r="207" spans="2:12">
      <c r="B207" s="134"/>
      <c r="C207" s="16"/>
      <c r="D207" s="137">
        <f>53.96-D289</f>
        <v>27.650000000000002</v>
      </c>
      <c r="E207" s="138"/>
      <c r="F207" s="138"/>
      <c r="G207" s="16" t="s">
        <v>636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76.17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7" ht="15" customHeight="1">
      <c r="A246" s="112">
        <f>'06'!A246+(B246-SUM(D246:F255))+B247</f>
        <v>12.770000000000003</v>
      </c>
      <c r="B246" s="134">
        <v>45</v>
      </c>
      <c r="C246" s="27" t="s">
        <v>340</v>
      </c>
      <c r="D246" s="137">
        <v>33.729999999999997</v>
      </c>
      <c r="E246" s="138"/>
      <c r="F246" s="138"/>
      <c r="G246" s="16" t="s">
        <v>661</v>
      </c>
    </row>
    <row r="247" spans="1:7" ht="15" customHeight="1">
      <c r="A247" s="112"/>
      <c r="B247" s="134">
        <v>-5</v>
      </c>
      <c r="C247" s="16" t="s">
        <v>648</v>
      </c>
      <c r="D247" s="137">
        <v>20</v>
      </c>
      <c r="E247" s="138"/>
      <c r="F247" s="138"/>
      <c r="G247" s="16" t="s">
        <v>664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'06'!A256+(B256-SUM(D256:F256))</f>
        <v>30</v>
      </c>
      <c r="B256" s="134">
        <v>5</v>
      </c>
      <c r="C256" s="16" t="s">
        <v>347</v>
      </c>
      <c r="D256" s="137"/>
      <c r="E256" s="138"/>
      <c r="F256" s="138"/>
      <c r="G256" s="16"/>
    </row>
    <row r="257" spans="1:8" ht="15.75">
      <c r="A257" s="112">
        <f>'06'!A257+(B257-SUM(D257:F257))</f>
        <v>556.12000000000012</v>
      </c>
      <c r="B257" s="134">
        <v>25</v>
      </c>
      <c r="C257" s="16" t="s">
        <v>646</v>
      </c>
      <c r="D257" s="137"/>
      <c r="E257" s="138">
        <v>100.67</v>
      </c>
      <c r="F257" s="138"/>
      <c r="G257" s="16" t="s">
        <v>673</v>
      </c>
      <c r="H257" s="89">
        <f>1208-(100.67*2)</f>
        <v>1006.66</v>
      </c>
    </row>
    <row r="258" spans="1:8" ht="15.75">
      <c r="A258" s="112">
        <f>'06'!A258+(B258-SUM(D258:F258))</f>
        <v>0</v>
      </c>
      <c r="B258" s="134">
        <f>25+10+4.38+35.25+13.1+121.27</f>
        <v>209</v>
      </c>
      <c r="C258" s="16" t="s">
        <v>655</v>
      </c>
      <c r="D258" s="137">
        <v>349</v>
      </c>
      <c r="E258" s="138"/>
      <c r="F258" s="138"/>
      <c r="G258" s="16" t="s">
        <v>622</v>
      </c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598.8900000000001</v>
      </c>
      <c r="B260" s="135">
        <f>SUM(B246:B259)</f>
        <v>279</v>
      </c>
      <c r="C260" s="17" t="s">
        <v>51</v>
      </c>
      <c r="D260" s="135">
        <f>SUM(D246:D259)</f>
        <v>402.73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0" t="s">
        <v>9</v>
      </c>
      <c r="E284" s="408"/>
      <c r="F284" s="408"/>
      <c r="G284" s="401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2:8">
      <c r="B286" s="133">
        <v>90</v>
      </c>
      <c r="C286" s="19" t="s">
        <v>31</v>
      </c>
      <c r="D286" s="137">
        <v>25</v>
      </c>
      <c r="E286" s="138"/>
      <c r="F286" s="138"/>
      <c r="G286" s="16" t="s">
        <v>624</v>
      </c>
    </row>
    <row r="287" spans="2:8">
      <c r="B287" s="134"/>
      <c r="C287" s="16"/>
      <c r="D287" s="137"/>
      <c r="E287" s="138"/>
      <c r="F287" s="138">
        <v>50</v>
      </c>
      <c r="G287" s="16" t="s">
        <v>633</v>
      </c>
      <c r="H287" s="92"/>
    </row>
    <row r="288" spans="2:8">
      <c r="B288" s="134"/>
      <c r="C288" s="16"/>
      <c r="D288" s="137"/>
      <c r="E288" s="138"/>
      <c r="F288" s="138">
        <v>50</v>
      </c>
      <c r="G288" s="16" t="s">
        <v>634</v>
      </c>
    </row>
    <row r="289" spans="2:8">
      <c r="B289" s="134"/>
      <c r="C289" s="16"/>
      <c r="D289" s="137">
        <v>26.31</v>
      </c>
      <c r="E289" s="138"/>
      <c r="F289" s="138"/>
      <c r="G289" s="16" t="s">
        <v>636</v>
      </c>
    </row>
    <row r="290" spans="2:8">
      <c r="B290" s="134"/>
      <c r="C290" s="16"/>
      <c r="D290" s="137"/>
      <c r="E290" s="138">
        <v>31.95</v>
      </c>
      <c r="F290" s="138"/>
      <c r="G290" s="16" t="s">
        <v>654</v>
      </c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51.31</v>
      </c>
      <c r="E300" s="135">
        <f>SUM(E286:E299)</f>
        <v>31.95</v>
      </c>
      <c r="F300" s="135">
        <f>SUM(F286:F299)</f>
        <v>100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115</v>
      </c>
      <c r="C306" s="19" t="s">
        <v>226</v>
      </c>
      <c r="D306" s="137"/>
      <c r="E306" s="138"/>
      <c r="F306" s="138">
        <v>50</v>
      </c>
      <c r="G306" s="16" t="s">
        <v>615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617</v>
      </c>
    </row>
    <row r="308" spans="2:7">
      <c r="B308" s="134">
        <f>37.49+14.27+14.27</f>
        <v>66.03</v>
      </c>
      <c r="C308" s="27" t="s">
        <v>627</v>
      </c>
      <c r="D308" s="137">
        <f>37.5+37.5</f>
        <v>75</v>
      </c>
      <c r="E308" s="138"/>
      <c r="F308" s="138"/>
      <c r="G308" s="16" t="s">
        <v>644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196.03</v>
      </c>
      <c r="C320" s="17" t="s">
        <v>51</v>
      </c>
      <c r="D320" s="135">
        <f>SUM(D306:D319)</f>
        <v>102.5</v>
      </c>
      <c r="E320" s="135">
        <f>SUM(E306:E319)</f>
        <v>0</v>
      </c>
      <c r="F320" s="135">
        <f>SUM(F306:F319)</f>
        <v>50</v>
      </c>
      <c r="G320" s="17" t="s">
        <v>51</v>
      </c>
    </row>
    <row r="321" spans="2:7" ht="15.75" thickBot="1"/>
    <row r="322" spans="2:7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/>
      <c r="E326" s="138">
        <v>15</v>
      </c>
      <c r="F326" s="138"/>
      <c r="G326" s="16" t="s">
        <v>641</v>
      </c>
    </row>
    <row r="327" spans="2:7">
      <c r="B327" s="134">
        <v>100</v>
      </c>
      <c r="C327" s="16" t="s">
        <v>632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190</v>
      </c>
      <c r="C340" s="17" t="s">
        <v>51</v>
      </c>
      <c r="D340" s="135">
        <f>SUM(D326:D339)</f>
        <v>0</v>
      </c>
      <c r="E340" s="135">
        <f>SUM(E326:E339)</f>
        <v>15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2" t="str">
        <f>AÑO!A37</f>
        <v>Imprevistos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75">
      <c r="A345" s="1" t="s">
        <v>181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1:7" ht="15.75">
      <c r="A346" s="112">
        <f>'06'!A346+(B346-SUM(D346:F357))</f>
        <v>230.73</v>
      </c>
      <c r="B346" s="133">
        <v>45</v>
      </c>
      <c r="C346" s="19" t="s">
        <v>195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'06'!A358+(B358-SUM(D358:F358))+B359</f>
        <v>0</v>
      </c>
      <c r="B358" s="134">
        <v>5</v>
      </c>
      <c r="C358" s="16" t="s">
        <v>658</v>
      </c>
      <c r="D358" s="137">
        <v>64.3</v>
      </c>
      <c r="E358" s="138"/>
      <c r="F358" s="138"/>
      <c r="G358" s="16" t="s">
        <v>656</v>
      </c>
    </row>
    <row r="359" spans="1:7" ht="16.5" thickBot="1">
      <c r="A359" s="112"/>
      <c r="B359" s="135">
        <f>12.64+6.66</f>
        <v>19.3</v>
      </c>
      <c r="C359" s="17" t="s">
        <v>667</v>
      </c>
      <c r="D359" s="135"/>
      <c r="E359" s="139"/>
      <c r="F359" s="139"/>
      <c r="G359" s="17"/>
    </row>
    <row r="360" spans="1:7" ht="16.5" thickBot="1">
      <c r="A360" s="112">
        <f>SUM(A346:A359)</f>
        <v>230.73</v>
      </c>
      <c r="B360" s="135">
        <f>SUM(B346:B359)</f>
        <v>69.3</v>
      </c>
      <c r="C360" s="17" t="s">
        <v>51</v>
      </c>
      <c r="D360" s="135">
        <f>SUM(D346:D359)</f>
        <v>64.3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1:7">
      <c r="B366" s="133">
        <v>70</v>
      </c>
      <c r="C366" s="19" t="s">
        <v>31</v>
      </c>
      <c r="D366" s="137">
        <f>3.5+4.5</f>
        <v>8</v>
      </c>
      <c r="E366" s="138"/>
      <c r="F366" s="138">
        <f>4+4.5+4.5+4+4+4.5+4.5</f>
        <v>30</v>
      </c>
      <c r="G366" s="31" t="s">
        <v>65</v>
      </c>
    </row>
    <row r="367" spans="1:7">
      <c r="B367" s="134"/>
      <c r="C367" s="16"/>
      <c r="D367" s="137">
        <v>5.6</v>
      </c>
      <c r="E367" s="138"/>
      <c r="F367" s="138"/>
      <c r="G367" s="31" t="s">
        <v>620</v>
      </c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13.6</v>
      </c>
      <c r="E380" s="135">
        <f>SUM(E366:E379)</f>
        <v>0</v>
      </c>
      <c r="F380" s="135">
        <f>SUM(F366:F379)</f>
        <v>30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-50</v>
      </c>
      <c r="C387" s="16" t="s">
        <v>668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-40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616</v>
      </c>
    </row>
    <row r="407" spans="2:7">
      <c r="B407" s="134">
        <v>1</v>
      </c>
      <c r="C407" s="16" t="s">
        <v>613</v>
      </c>
      <c r="D407" s="137"/>
      <c r="E407" s="138"/>
      <c r="F407" s="138"/>
      <c r="G407" s="16"/>
    </row>
    <row r="408" spans="2:7">
      <c r="B408" s="134">
        <v>0.02</v>
      </c>
      <c r="C408" s="16" t="s">
        <v>58</v>
      </c>
      <c r="D408" s="137"/>
      <c r="E408" s="138"/>
      <c r="F408" s="138"/>
      <c r="G408" s="16"/>
    </row>
    <row r="409" spans="2:7">
      <c r="B409" s="134">
        <v>-150</v>
      </c>
      <c r="C409" s="16" t="s">
        <v>668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-98.97999999999999</v>
      </c>
      <c r="C420" s="17" t="s">
        <v>51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AÑO!AA17</f>
        <v>4638.26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465.44999999999982</v>
      </c>
      <c r="C426" s="19" t="s">
        <v>227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>
        <v>66.03</v>
      </c>
      <c r="B428" s="134"/>
      <c r="C428" s="16"/>
      <c r="D428" s="137"/>
      <c r="E428" s="138"/>
      <c r="F428" s="138"/>
      <c r="G428" s="16"/>
    </row>
    <row r="429" spans="1:7">
      <c r="A429" s="113">
        <v>199.1</v>
      </c>
      <c r="B429" s="134"/>
      <c r="C429" s="16"/>
      <c r="D429" s="137"/>
      <c r="E429" s="138"/>
      <c r="F429" s="138"/>
      <c r="G429" s="16"/>
    </row>
    <row r="430" spans="1:7">
      <c r="A430" s="113">
        <v>0.02</v>
      </c>
      <c r="B430" s="134"/>
      <c r="C430" s="16"/>
      <c r="D430" s="137"/>
      <c r="E430" s="138"/>
      <c r="F430" s="138"/>
      <c r="G430" s="16"/>
    </row>
    <row r="431" spans="1:7">
      <c r="A431" s="113">
        <v>6.66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465.44999999999982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NULO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'06'!A466+(B466-SUM(D466:F466))</f>
        <v>-550</v>
      </c>
      <c r="B466" s="134">
        <v>0</v>
      </c>
      <c r="C466" s="16" t="s">
        <v>286</v>
      </c>
      <c r="D466" s="137"/>
      <c r="E466" s="138"/>
      <c r="F466" s="138"/>
      <c r="G466" s="16"/>
    </row>
    <row r="467" spans="1:7" ht="15.75">
      <c r="A467" s="112">
        <f>'06'!A467+(B467-SUM(D467:F467))</f>
        <v>42.20999999999998</v>
      </c>
      <c r="B467" s="134">
        <v>50</v>
      </c>
      <c r="C467" s="16" t="s">
        <v>391</v>
      </c>
      <c r="D467" s="137"/>
      <c r="E467" s="138"/>
      <c r="F467" s="138"/>
      <c r="G467" s="16"/>
    </row>
    <row r="468" spans="1:7" ht="15.75">
      <c r="A468" s="112">
        <f>'06'!A468+(B468-SUM(D468:F468))</f>
        <v>138.4</v>
      </c>
      <c r="B468" s="134">
        <f>15</f>
        <v>15</v>
      </c>
      <c r="C468" s="16" t="s">
        <v>183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-369.39</v>
      </c>
      <c r="B480" s="135">
        <f>SUM(B466:B479)</f>
        <v>65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700-000000000000}"/>
    <hyperlink ref="I2:L3" location="AÑO!AA4:AD5" display="SALDO REAL" xr:uid="{00000000-0004-0000-0700-000001000000}"/>
    <hyperlink ref="I22" location="Trimestre!C39:F40" display="TELÉFONO" xr:uid="{00000000-0004-0000-0700-000002000000}"/>
    <hyperlink ref="I22:L23" location="AÑO!AA7:AD17" display="INGRESOS" xr:uid="{00000000-0004-0000-0700-000003000000}"/>
    <hyperlink ref="B2" location="Trimestre!C25:F26" display="HIPOTECA" xr:uid="{00000000-0004-0000-0700-000004000000}"/>
    <hyperlink ref="B2:G3" location="AÑO!AA20:AD20" display="AÑO!AA20:AD20" xr:uid="{00000000-0004-0000-0700-000005000000}"/>
    <hyperlink ref="B22" location="Trimestre!C25:F26" display="HIPOTECA" xr:uid="{00000000-0004-0000-0700-000006000000}"/>
    <hyperlink ref="B22:G23" location="AÑO!AA21:AD21" display="AÑO!AA21:AD21" xr:uid="{00000000-0004-0000-0700-000007000000}"/>
    <hyperlink ref="B42" location="Trimestre!C25:F26" display="HIPOTECA" xr:uid="{00000000-0004-0000-0700-000008000000}"/>
    <hyperlink ref="B42:G43" location="AÑO!AA22:AD22" display="AÑO!AA22:AD22" xr:uid="{00000000-0004-0000-0700-000009000000}"/>
    <hyperlink ref="B62" location="Trimestre!C25:F26" display="HIPOTECA" xr:uid="{00000000-0004-0000-0700-00000A000000}"/>
    <hyperlink ref="B62:G63" location="AÑO!AA23:AD23" display="AÑO!AA23:AD23" xr:uid="{00000000-0004-0000-0700-00000B000000}"/>
    <hyperlink ref="B82" location="Trimestre!C25:F26" display="HIPOTECA" xr:uid="{00000000-0004-0000-0700-00000C000000}"/>
    <hyperlink ref="B82:G83" location="AÑO!AA24:AD24" display="AÑO!AA24:AD24" xr:uid="{00000000-0004-0000-0700-00000D000000}"/>
    <hyperlink ref="B102" location="Trimestre!C25:F26" display="HIPOTECA" xr:uid="{00000000-0004-0000-0700-00000E000000}"/>
    <hyperlink ref="B102:G103" location="AÑO!AA25:AD25" display="AÑO!AA25:AD25" xr:uid="{00000000-0004-0000-0700-00000F000000}"/>
    <hyperlink ref="B122" location="Trimestre!C25:F26" display="HIPOTECA" xr:uid="{00000000-0004-0000-0700-000010000000}"/>
    <hyperlink ref="B122:G123" location="AÑO!AA26:AD26" display="AÑO!AA26:AD26" xr:uid="{00000000-0004-0000-0700-000011000000}"/>
    <hyperlink ref="B142" location="Trimestre!C25:F26" display="HIPOTECA" xr:uid="{00000000-0004-0000-0700-000012000000}"/>
    <hyperlink ref="B142:G143" location="AÑO!AA27:AD27" display="AÑO!AA27:AD27" xr:uid="{00000000-0004-0000-0700-000013000000}"/>
    <hyperlink ref="B162" location="Trimestre!C25:F26" display="HIPOTECA" xr:uid="{00000000-0004-0000-0700-000014000000}"/>
    <hyperlink ref="B162:G163" location="AÑO!AA28:AD28" display="AÑO!AA28:AD28" xr:uid="{00000000-0004-0000-0700-000015000000}"/>
    <hyperlink ref="B182" location="Trimestre!C25:F26" display="HIPOTECA" xr:uid="{00000000-0004-0000-0700-000016000000}"/>
    <hyperlink ref="B182:G183" location="AÑO!AA29:AD29" display="AÑO!AA29:AD29" xr:uid="{00000000-0004-0000-0700-000017000000}"/>
    <hyperlink ref="B202" location="Trimestre!C25:F26" display="HIPOTECA" xr:uid="{00000000-0004-0000-0700-000018000000}"/>
    <hyperlink ref="B202:G203" location="AÑO!AA30:AD30" display="AÑO!AA30:AD30" xr:uid="{00000000-0004-0000-0700-000019000000}"/>
    <hyperlink ref="B222" location="Trimestre!C25:F26" display="HIPOTECA" xr:uid="{00000000-0004-0000-0700-00001A000000}"/>
    <hyperlink ref="B222:G223" location="AÑO!AA31:AD31" display="AÑO!AA31:AD31" xr:uid="{00000000-0004-0000-0700-00001B000000}"/>
    <hyperlink ref="B242" location="Trimestre!C25:F26" display="HIPOTECA" xr:uid="{00000000-0004-0000-0700-00001C000000}"/>
    <hyperlink ref="B242:G243" location="AÑO!AA32:AD32" display="AÑO!AA32:AD32" xr:uid="{00000000-0004-0000-0700-00001D000000}"/>
    <hyperlink ref="B262" location="Trimestre!C25:F26" display="HIPOTECA" xr:uid="{00000000-0004-0000-0700-00001E000000}"/>
    <hyperlink ref="B262:G263" location="AÑO!AA33:AD33" display="AÑO!AA33:AD33" xr:uid="{00000000-0004-0000-0700-00001F000000}"/>
    <hyperlink ref="B282" location="Trimestre!C25:F26" display="HIPOTECA" xr:uid="{00000000-0004-0000-0700-000020000000}"/>
    <hyperlink ref="B282:G283" location="AÑO!AA34:AD34" display="AÑO!AA34:AD34" xr:uid="{00000000-0004-0000-0700-000021000000}"/>
    <hyperlink ref="B302" location="Trimestre!C25:F26" display="HIPOTECA" xr:uid="{00000000-0004-0000-0700-000022000000}"/>
    <hyperlink ref="B302:G303" location="AÑO!AA35:AD35" display="AÑO!AA35:AD35" xr:uid="{00000000-0004-0000-0700-000023000000}"/>
    <hyperlink ref="B322" location="Trimestre!C25:F26" display="HIPOTECA" xr:uid="{00000000-0004-0000-0700-000024000000}"/>
    <hyperlink ref="B322:G323" location="AÑO!AA36:AD36" display="AÑO!AA36:AD36" xr:uid="{00000000-0004-0000-0700-000025000000}"/>
    <hyperlink ref="B342" location="Trimestre!C25:F26" display="HIPOTECA" xr:uid="{00000000-0004-0000-0700-000026000000}"/>
    <hyperlink ref="B342:G343" location="AÑO!AA37:AD37" display="AÑO!AA37:AD37" xr:uid="{00000000-0004-0000-0700-000027000000}"/>
    <hyperlink ref="B362" location="Trimestre!C25:F26" display="HIPOTECA" xr:uid="{00000000-0004-0000-0700-000028000000}"/>
    <hyperlink ref="B362:G363" location="AÑO!AA38:AD38" display="AÑO!AA38:AD38" xr:uid="{00000000-0004-0000-0700-000029000000}"/>
    <hyperlink ref="B382" location="Trimestre!C25:F26" display="HIPOTECA" xr:uid="{00000000-0004-0000-0700-00002A000000}"/>
    <hyperlink ref="B382:G383" location="AÑO!AA39:AD39" display="AÑO!AA39:AD39" xr:uid="{00000000-0004-0000-0700-00002B000000}"/>
    <hyperlink ref="B402" location="Trimestre!C25:F26" display="HIPOTECA" xr:uid="{00000000-0004-0000-0700-00002C000000}"/>
    <hyperlink ref="B402:G403" location="AÑO!AA40:AD40" display="AÑO!AA40:AD40" xr:uid="{00000000-0004-0000-0700-00002D000000}"/>
    <hyperlink ref="B422" location="Trimestre!C25:F26" display="HIPOTECA" xr:uid="{00000000-0004-0000-0700-00002E000000}"/>
    <hyperlink ref="B422:G423" location="AÑO!AA41:AD41" display="AÑO!AA41:AD41" xr:uid="{00000000-0004-0000-0700-00002F000000}"/>
    <hyperlink ref="B442" location="Trimestre!C25:F26" display="HIPOTECA" xr:uid="{00000000-0004-0000-0700-000030000000}"/>
    <hyperlink ref="B442:G443" location="AÑO!AA42:AD42" display="AÑO!AA42:AD42" xr:uid="{00000000-0004-0000-0700-000031000000}"/>
    <hyperlink ref="B462" location="Trimestre!C25:F26" display="HIPOTECA" xr:uid="{00000000-0004-0000-0700-000032000000}"/>
    <hyperlink ref="B462:G463" location="AÑO!AA43:AD43" display="AÑO!AA43:AD43" xr:uid="{00000000-0004-0000-0700-000033000000}"/>
    <hyperlink ref="B482" location="Trimestre!C25:F26" display="HIPOTECA" xr:uid="{00000000-0004-0000-0700-000034000000}"/>
    <hyperlink ref="B482:G483" location="AÑO!AA44:AD44" display="AÑO!AA44:AD44" xr:uid="{00000000-0004-0000-0700-000035000000}"/>
    <hyperlink ref="B502" location="Trimestre!C25:F26" display="HIPOTECA" xr:uid="{00000000-0004-0000-0700-000036000000}"/>
    <hyperlink ref="B502:G503" location="AÑO!AA45:AD45" display="AÑO!AA45:AD45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10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55</v>
      </c>
      <c r="J4" s="105" t="s">
        <v>56</v>
      </c>
      <c r="K4" s="428" t="s">
        <v>57</v>
      </c>
      <c r="L4" s="429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0">
        <v>3508.76</v>
      </c>
      <c r="L5" s="431"/>
      <c r="M5" s="1">
        <f>571.43-192.98-30</f>
        <v>348.44999999999993</v>
      </c>
      <c r="N5" s="1"/>
      <c r="R5" s="3"/>
    </row>
    <row r="6" spans="1:22" ht="15.75">
      <c r="A6" s="112">
        <f>'07'!A6+(B6-SUM(D6:F6))</f>
        <v>395.26</v>
      </c>
      <c r="B6" s="133">
        <v>403.08</v>
      </c>
      <c r="C6" s="19" t="s">
        <v>675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4">
        <v>620.12</v>
      </c>
      <c r="L6" s="415"/>
      <c r="M6" s="1" t="s">
        <v>163</v>
      </c>
      <c r="N6" s="1"/>
      <c r="R6" s="3"/>
    </row>
    <row r="7" spans="1:22" ht="15.75">
      <c r="A7" s="112">
        <f>'07'!A7+(B7-SUM(D7:F7))</f>
        <v>234.20999999999998</v>
      </c>
      <c r="B7" s="134">
        <v>67.180000000000007</v>
      </c>
      <c r="C7" s="16" t="s">
        <v>338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4">
        <v>7490.36</v>
      </c>
      <c r="L7" s="415"/>
      <c r="M7" s="1"/>
      <c r="N7" s="1"/>
      <c r="R7" s="3"/>
    </row>
    <row r="8" spans="1:22" ht="15.75">
      <c r="A8" s="112">
        <f>'07'!A8+(B8-SUM(D8:F8))</f>
        <v>-219.43999999999994</v>
      </c>
      <c r="B8" s="134">
        <v>0</v>
      </c>
      <c r="C8" s="16" t="s">
        <v>33</v>
      </c>
      <c r="D8" s="137"/>
      <c r="E8" s="113">
        <v>103.76</v>
      </c>
      <c r="F8" s="138"/>
      <c r="G8" s="16" t="s">
        <v>33</v>
      </c>
      <c r="H8" s="1"/>
      <c r="I8" s="108" t="s">
        <v>61</v>
      </c>
      <c r="J8" s="107" t="s">
        <v>63</v>
      </c>
      <c r="K8" s="414">
        <v>6305.62</v>
      </c>
      <c r="L8" s="415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155</v>
      </c>
      <c r="K9" s="414">
        <v>163.63</v>
      </c>
      <c r="L9" s="415"/>
      <c r="M9" s="1"/>
      <c r="N9" s="1"/>
      <c r="R9" s="3"/>
    </row>
    <row r="10" spans="1:22" ht="15.75">
      <c r="A10" s="112">
        <f>'07'!A10+(B10-SUM(D10:F10))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4">
        <v>1802.02</v>
      </c>
      <c r="L10" s="415"/>
      <c r="M10" s="1" t="s">
        <v>154</v>
      </c>
      <c r="N10" s="1"/>
      <c r="R10" s="3"/>
    </row>
    <row r="11" spans="1:22" ht="15.75">
      <c r="A11" s="112">
        <f>'07'!A11+(B11-SUM(D11:F11))</f>
        <v>30.230000000000004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4">
        <f>20+120</f>
        <v>140</v>
      </c>
      <c r="L11" s="415"/>
      <c r="M11" s="1"/>
      <c r="N11" s="1"/>
      <c r="R11" s="3"/>
    </row>
    <row r="12" spans="1:22" ht="15.75">
      <c r="A12" s="112">
        <f>'07'!A12+(B12-SUM(D12:F12))</f>
        <v>219.54000000000002</v>
      </c>
      <c r="B12" s="134">
        <v>25</v>
      </c>
      <c r="C12" s="16" t="s">
        <v>201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14">
        <f>5092.08+4044.26</f>
        <v>9136.34</v>
      </c>
      <c r="L12" s="415"/>
      <c r="M12" s="92"/>
      <c r="N12" s="1"/>
      <c r="R12" s="3"/>
    </row>
    <row r="13" spans="1:22" ht="15.75">
      <c r="A13" s="112">
        <f>'07'!A13+(B13-SUM(D13:F13))</f>
        <v>30.5</v>
      </c>
      <c r="B13" s="134">
        <v>6.5</v>
      </c>
      <c r="C13" s="16" t="s">
        <v>264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8">
        <f>SUM(K5:K18)</f>
        <v>29166.850000000002</v>
      </c>
      <c r="L19" s="439"/>
      <c r="M19" s="1"/>
      <c r="N19" s="1"/>
      <c r="R19" s="3"/>
    </row>
    <row r="20" spans="1:18" ht="16.5" thickBot="1">
      <c r="A20" s="112">
        <f>SUM(A6:A15)</f>
        <v>714.30000000000018</v>
      </c>
      <c r="B20" s="135">
        <f>SUM(B6:B19)</f>
        <v>544</v>
      </c>
      <c r="C20" s="17" t="s">
        <v>51</v>
      </c>
      <c r="D20" s="135">
        <f>SUM(D6:D19)</f>
        <v>0</v>
      </c>
      <c r="E20" s="135">
        <f>SUM(E6:E19)</f>
        <v>549.07999999999993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18228.490000000002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29</v>
      </c>
      <c r="J24" s="432" t="s">
        <v>85</v>
      </c>
      <c r="K24" s="433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19" t="str">
        <f>AÑO!A8</f>
        <v>Manolo Salario</v>
      </c>
      <c r="J25" s="422" t="s">
        <v>339</v>
      </c>
      <c r="K25" s="423"/>
      <c r="L25" s="231">
        <v>2571.5500000000002</v>
      </c>
      <c r="M25" s="1"/>
      <c r="R25" s="3"/>
    </row>
    <row r="26" spans="1:18" ht="15.75">
      <c r="A26" s="112">
        <f>'07'!A26+(B26-SUM(D26:F26))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'07'!A27+(B27-SUM(D27:F27))</f>
        <v>225.04999999999995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'07'!A28+(B28-SUM(D28:F28))</f>
        <v>94.110000000000014</v>
      </c>
      <c r="B28" s="134">
        <v>40</v>
      </c>
      <c r="C28" s="27" t="s">
        <v>39</v>
      </c>
      <c r="D28" s="137">
        <v>104.19</v>
      </c>
      <c r="E28" s="138"/>
      <c r="F28" s="138"/>
      <c r="G28" s="16" t="s">
        <v>39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'07'!A29+(B29-SUM(D29:F29))</f>
        <v>19.530000000000005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'07'!A30+(B30-SUM(D30:F30))</f>
        <v>191.27999999999997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266</v>
      </c>
      <c r="K30" s="423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/>
      <c r="K31" s="425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/>
      <c r="K32" s="425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212</v>
      </c>
      <c r="J35" s="422" t="s">
        <v>335</v>
      </c>
      <c r="K35" s="423"/>
      <c r="L35" s="231">
        <v>164.91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1429.9699999999998</v>
      </c>
      <c r="B40" s="135">
        <f>SUM(B26:B39)</f>
        <v>1148</v>
      </c>
      <c r="C40" s="17" t="s">
        <v>51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19" t="str">
        <f>AÑO!A11</f>
        <v>Finanazas</v>
      </c>
      <c r="J40" s="422"/>
      <c r="K40" s="423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Supermercado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19" t="str">
        <f>AÑO!A12</f>
        <v>Regalos</v>
      </c>
      <c r="J45" s="422" t="s">
        <v>714</v>
      </c>
      <c r="K45" s="423"/>
      <c r="L45" s="231">
        <v>192.98</v>
      </c>
      <c r="M45" s="1"/>
      <c r="R45" s="3"/>
    </row>
    <row r="46" spans="1:18" ht="15.75">
      <c r="A46" s="1"/>
      <c r="B46" s="133">
        <v>300</v>
      </c>
      <c r="C46" s="19"/>
      <c r="D46" s="137">
        <v>51.78</v>
      </c>
      <c r="E46" s="138"/>
      <c r="F46" s="138"/>
      <c r="G46" s="30" t="s">
        <v>682</v>
      </c>
      <c r="H46" s="1"/>
      <c r="I46" s="420"/>
      <c r="J46" s="424" t="s">
        <v>715</v>
      </c>
      <c r="K46" s="425"/>
      <c r="L46" s="229">
        <v>30</v>
      </c>
      <c r="M46" s="1"/>
      <c r="R46" s="3"/>
    </row>
    <row r="47" spans="1:18" ht="15.75">
      <c r="A47" s="1"/>
      <c r="B47" s="134"/>
      <c r="C47" s="16" t="s">
        <v>76</v>
      </c>
      <c r="D47" s="137">
        <v>83.95</v>
      </c>
      <c r="E47" s="138"/>
      <c r="F47" s="138"/>
      <c r="G47" s="16" t="s">
        <v>679</v>
      </c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 t="s">
        <v>659</v>
      </c>
      <c r="D48" s="137">
        <v>22.34</v>
      </c>
      <c r="E48" s="138"/>
      <c r="F48" s="138"/>
      <c r="G48" s="16" t="s">
        <v>683</v>
      </c>
      <c r="H48" s="1">
        <f>22*8</f>
        <v>176</v>
      </c>
      <c r="I48" s="420"/>
      <c r="J48" s="424"/>
      <c r="K48" s="425"/>
      <c r="L48" s="229"/>
      <c r="M48" s="1"/>
      <c r="R48" s="3"/>
    </row>
    <row r="49" spans="1:18" ht="15.75">
      <c r="A49" s="1"/>
      <c r="B49" s="134">
        <v>23.87</v>
      </c>
      <c r="C49" s="16" t="s">
        <v>667</v>
      </c>
      <c r="D49" s="137">
        <v>49.31</v>
      </c>
      <c r="E49" s="138"/>
      <c r="F49" s="138"/>
      <c r="G49" s="16" t="s">
        <v>689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>
        <v>72.680000000000007</v>
      </c>
      <c r="E50" s="138"/>
      <c r="F50" s="138"/>
      <c r="G50" s="16" t="s">
        <v>696</v>
      </c>
      <c r="H50" s="1"/>
      <c r="I50" s="419" t="str">
        <f>AÑO!A13</f>
        <v>Gubernamental</v>
      </c>
      <c r="J50" s="422" t="s">
        <v>577</v>
      </c>
      <c r="K50" s="423"/>
      <c r="L50" s="231">
        <v>117.03</v>
      </c>
      <c r="M50" s="1"/>
      <c r="R50" s="3"/>
    </row>
    <row r="51" spans="1:18" ht="15.75">
      <c r="A51" s="1"/>
      <c r="B51" s="134"/>
      <c r="C51" s="16"/>
      <c r="D51" s="137">
        <v>43.81</v>
      </c>
      <c r="E51" s="138"/>
      <c r="F51" s="138"/>
      <c r="G51" s="16" t="s">
        <v>697</v>
      </c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41">
        <v>43692</v>
      </c>
      <c r="K55" s="423"/>
      <c r="L55" s="231">
        <v>13.15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42">
        <v>43696</v>
      </c>
      <c r="K56" s="425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323.87</v>
      </c>
      <c r="C60" s="17" t="s">
        <v>51</v>
      </c>
      <c r="D60" s="135">
        <f>SUM(D46:D59)</f>
        <v>323.87000000000006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19" t="str">
        <f>AÑO!A15</f>
        <v>Alquiler Cartama</v>
      </c>
      <c r="J60" s="422" t="s">
        <v>37</v>
      </c>
      <c r="K60" s="423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'07'!A66+(SUM(B66:B78)-SUM(D66:F78))</f>
        <v>194.62000000000006</v>
      </c>
      <c r="B66" s="133">
        <v>160</v>
      </c>
      <c r="C66" s="19" t="s">
        <v>31</v>
      </c>
      <c r="D66" s="137">
        <v>36.9</v>
      </c>
      <c r="E66" s="138"/>
      <c r="F66" s="138"/>
      <c r="G66" s="19" t="s">
        <v>688</v>
      </c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>
        <v>30</v>
      </c>
      <c r="C67" s="16" t="s">
        <v>158</v>
      </c>
      <c r="D67" s="137">
        <f>23+8.15</f>
        <v>31.15</v>
      </c>
      <c r="E67" s="138"/>
      <c r="F67" s="138">
        <v>30</v>
      </c>
      <c r="G67" s="31" t="s">
        <v>687</v>
      </c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>
        <v>10</v>
      </c>
      <c r="C68" s="16" t="s">
        <v>667</v>
      </c>
      <c r="D68" s="137">
        <v>19.5</v>
      </c>
      <c r="E68" s="138"/>
      <c r="F68" s="138">
        <v>5.5</v>
      </c>
      <c r="G68" s="16" t="s">
        <v>693</v>
      </c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>
        <v>39.9</v>
      </c>
      <c r="E69" s="138"/>
      <c r="F69" s="138"/>
      <c r="G69" s="16" t="s">
        <v>694</v>
      </c>
      <c r="H69" s="1"/>
      <c r="I69" s="434"/>
      <c r="J69" s="435"/>
      <c r="K69" s="436"/>
      <c r="L69" s="232"/>
      <c r="M69" s="1"/>
      <c r="R69" s="3"/>
    </row>
    <row r="70" spans="1:18" ht="15.75">
      <c r="A70" s="1"/>
      <c r="B70" s="134"/>
      <c r="C70" s="16"/>
      <c r="D70" s="137">
        <v>23.7</v>
      </c>
      <c r="E70" s="138"/>
      <c r="F70" s="138"/>
      <c r="G70" s="16" t="s">
        <v>706</v>
      </c>
      <c r="H70" s="1"/>
      <c r="M70" s="1"/>
      <c r="R70" s="3"/>
    </row>
    <row r="71" spans="1:18" ht="15.75">
      <c r="A71" s="1"/>
      <c r="B71" s="134"/>
      <c r="C71" s="16"/>
      <c r="D71" s="137">
        <v>30</v>
      </c>
      <c r="E71" s="138"/>
      <c r="F71" s="138"/>
      <c r="G71" s="16" t="s">
        <v>716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'07'!A79+(B79-SUM(D79:F79))</f>
        <v>90</v>
      </c>
      <c r="B79" s="233">
        <v>10</v>
      </c>
      <c r="C79" s="17" t="s">
        <v>230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284.62000000000006</v>
      </c>
      <c r="B80" s="233">
        <f>SUM(B66:B79)</f>
        <v>210</v>
      </c>
      <c r="C80" s="17" t="s">
        <v>51</v>
      </c>
      <c r="D80" s="135">
        <f>SUM(D66:D79)</f>
        <v>181.14999999999998</v>
      </c>
      <c r="E80" s="135">
        <f>SUM(E66:E79)</f>
        <v>0</v>
      </c>
      <c r="F80" s="135">
        <f>SUM(F66:F79)</f>
        <v>35.5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160</v>
      </c>
      <c r="C86" s="19" t="s">
        <v>197</v>
      </c>
      <c r="D86" s="137">
        <v>56.61</v>
      </c>
      <c r="E86" s="138"/>
      <c r="F86" s="138"/>
      <c r="G86" s="16" t="s">
        <v>685</v>
      </c>
      <c r="H86" s="1"/>
      <c r="M86" s="1"/>
      <c r="R86" s="3"/>
    </row>
    <row r="87" spans="1:18" ht="15.75">
      <c r="A87" s="1"/>
      <c r="B87" s="134"/>
      <c r="C87" s="16"/>
      <c r="D87" s="137">
        <v>33.08</v>
      </c>
      <c r="E87" s="138"/>
      <c r="F87" s="138"/>
      <c r="G87" s="16" t="s">
        <v>686</v>
      </c>
      <c r="H87" s="1"/>
      <c r="M87" s="1"/>
      <c r="R87" s="3"/>
    </row>
    <row r="88" spans="1:18" ht="15.75">
      <c r="A88" s="1"/>
      <c r="B88" s="134"/>
      <c r="C88" s="16"/>
      <c r="D88" s="137">
        <v>6</v>
      </c>
      <c r="E88" s="138"/>
      <c r="F88" s="138"/>
      <c r="G88" s="16" t="s">
        <v>699</v>
      </c>
      <c r="H88" s="1"/>
      <c r="M88" s="1"/>
      <c r="R88" s="3"/>
    </row>
    <row r="89" spans="1:18" ht="15.75">
      <c r="A89" s="1"/>
      <c r="B89" s="134"/>
      <c r="C89" s="16"/>
      <c r="D89" s="137">
        <v>48.13</v>
      </c>
      <c r="E89" s="138"/>
      <c r="F89" s="138"/>
      <c r="G89" s="16" t="s">
        <v>711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143.82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'07'!A106+(B106-SUM(D106:F106))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'07'!A107+(B107-SUM(D107:F107))</f>
        <v>71.020000000000039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'07'!A108+(B108-SUM(D108:F108))</f>
        <v>533.09999999999991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'07'!A109+(B109-SUM(D109:F109))+B110</f>
        <v>3222.650000000001</v>
      </c>
      <c r="B109" s="134">
        <v>67.53</v>
      </c>
      <c r="C109" s="18" t="s">
        <v>393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550</v>
      </c>
      <c r="C110" s="18" t="s">
        <v>681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862.58999999999992</v>
      </c>
      <c r="B120" s="135">
        <f>SUM(B106:B119)</f>
        <v>995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'07'!A126+(B126-SUM(D126:F126))</f>
        <v>12.5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'07'!A127+(B127-SUM(D127:F128))</f>
        <v>7.5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816</v>
      </c>
      <c r="I127" s="113">
        <f>D127+D128+'07'!I127</f>
        <v>105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'07'!A129+(B129-SUM(D129:F129))</f>
        <v>4.9999999999998934E-2</v>
      </c>
      <c r="B129" s="134">
        <v>8</v>
      </c>
      <c r="C129" s="16" t="s">
        <v>160</v>
      </c>
      <c r="D129" s="137"/>
      <c r="E129" s="138">
        <v>7.99</v>
      </c>
      <c r="F129" s="138"/>
      <c r="G129" s="16" t="s">
        <v>160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20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>
        <v>37.29</v>
      </c>
      <c r="E146" s="138"/>
      <c r="F146" s="138"/>
      <c r="G146" s="16" t="s">
        <v>720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37.29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 t="s">
        <v>629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>
        <v>50.2</v>
      </c>
      <c r="E186" s="138"/>
      <c r="F186" s="138"/>
      <c r="G186" s="16" t="s">
        <v>703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50.2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/>
      <c r="E206" s="138"/>
      <c r="F206" s="138"/>
      <c r="G206" s="16" t="s">
        <v>630</v>
      </c>
    </row>
    <row r="207" spans="2:12">
      <c r="B207" s="134"/>
      <c r="C207" s="16"/>
      <c r="D207" s="137">
        <v>23</v>
      </c>
      <c r="E207" s="138"/>
      <c r="F207" s="138"/>
      <c r="G207" s="16" t="s">
        <v>700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23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7" ht="15" customHeight="1">
      <c r="A246" s="112">
        <f>'07'!A246+(B246+B247-SUM(D246:F255))</f>
        <v>0</v>
      </c>
      <c r="B246" s="134">
        <v>45</v>
      </c>
      <c r="C246" s="27" t="s">
        <v>340</v>
      </c>
      <c r="D246" s="137">
        <f>55.4-D327</f>
        <v>45.4</v>
      </c>
      <c r="E246" s="138"/>
      <c r="F246" s="138"/>
      <c r="G246" s="16" t="s">
        <v>680</v>
      </c>
    </row>
    <row r="247" spans="1:7" ht="15" customHeight="1">
      <c r="A247" s="112"/>
      <c r="B247" s="134">
        <v>12.12</v>
      </c>
      <c r="C247" s="16" t="s">
        <v>667</v>
      </c>
      <c r="D247" s="137">
        <v>16.52</v>
      </c>
      <c r="E247" s="138"/>
      <c r="F247" s="138"/>
      <c r="G247" s="16" t="s">
        <v>695</v>
      </c>
    </row>
    <row r="248" spans="1:7" ht="15.75">
      <c r="A248" s="112"/>
      <c r="B248" s="134"/>
      <c r="C248" s="16"/>
      <c r="D248" s="137">
        <v>7.97</v>
      </c>
      <c r="E248" s="138"/>
      <c r="F248" s="138"/>
      <c r="G248" s="16" t="s">
        <v>701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'07'!A256+(B256-SUM(D256:F256))</f>
        <v>35</v>
      </c>
      <c r="B256" s="134">
        <v>5</v>
      </c>
      <c r="C256" s="16" t="s">
        <v>347</v>
      </c>
      <c r="D256" s="137"/>
      <c r="E256" s="138"/>
      <c r="F256" s="138"/>
      <c r="G256" s="16"/>
    </row>
    <row r="257" spans="1:8" ht="15.75">
      <c r="A257" s="112">
        <f>'07'!A257+(B257-SUM(D257:F257))</f>
        <v>606.12000000000012</v>
      </c>
      <c r="B257" s="134">
        <v>50</v>
      </c>
      <c r="C257" s="16" t="s">
        <v>647</v>
      </c>
      <c r="D257" s="137"/>
      <c r="E257" s="138"/>
      <c r="F257" s="138"/>
      <c r="G257" s="16"/>
      <c r="H257" s="89">
        <f>1208-(100.67*3)</f>
        <v>905.99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641.12000000000012</v>
      </c>
      <c r="B260" s="135">
        <f>SUM(B246:B259)</f>
        <v>112.12</v>
      </c>
      <c r="C260" s="17" t="s">
        <v>51</v>
      </c>
      <c r="D260" s="135">
        <f>SUM(D246:D259)</f>
        <v>69.89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11</v>
      </c>
      <c r="E266" s="138"/>
      <c r="F266" s="138"/>
      <c r="G266" s="16" t="s">
        <v>676</v>
      </c>
    </row>
    <row r="267" spans="1:8">
      <c r="B267" s="134">
        <v>30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80</v>
      </c>
      <c r="C280" s="17" t="s">
        <v>51</v>
      </c>
      <c r="D280" s="135">
        <f>SUM(D266:D279)</f>
        <v>11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1:8" ht="15" customHeight="1" thickBot="1">
      <c r="B283" s="411"/>
      <c r="C283" s="412"/>
      <c r="D283" s="412"/>
      <c r="E283" s="412"/>
      <c r="F283" s="412"/>
      <c r="G283" s="413"/>
    </row>
    <row r="284" spans="1:8">
      <c r="B284" s="400" t="s">
        <v>8</v>
      </c>
      <c r="C284" s="401"/>
      <c r="D284" s="400" t="s">
        <v>9</v>
      </c>
      <c r="E284" s="408"/>
      <c r="F284" s="408"/>
      <c r="G284" s="401"/>
    </row>
    <row r="285" spans="1:8" ht="15.75">
      <c r="A285" s="1" t="s">
        <v>181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1:8" ht="15.75">
      <c r="A286" s="112">
        <f>AÑO!AD34+(SUM(B286:B298)-SUM(D286:F298))</f>
        <v>249.40999999999988</v>
      </c>
      <c r="B286" s="133">
        <v>70</v>
      </c>
      <c r="C286" s="19" t="s">
        <v>31</v>
      </c>
      <c r="D286" s="137"/>
      <c r="E286" s="138"/>
      <c r="F286" s="138"/>
      <c r="G286" s="16" t="s">
        <v>629</v>
      </c>
    </row>
    <row r="287" spans="1:8" ht="15.75">
      <c r="A287" s="112"/>
      <c r="B287" s="134"/>
      <c r="C287" s="16"/>
      <c r="D287" s="137">
        <v>14.29</v>
      </c>
      <c r="E287" s="138"/>
      <c r="F287" s="138"/>
      <c r="G287" s="16" t="s">
        <v>707</v>
      </c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(B299-SUM(D299:F299))</f>
        <v>20</v>
      </c>
      <c r="B299" s="135">
        <v>20</v>
      </c>
      <c r="C299" s="17" t="s">
        <v>704</v>
      </c>
      <c r="D299" s="135"/>
      <c r="E299" s="139"/>
      <c r="F299" s="139"/>
      <c r="G299" s="17"/>
    </row>
    <row r="300" spans="1:8" ht="16.5" thickBot="1">
      <c r="A300" s="112">
        <f>SUM(A286:A299)</f>
        <v>269.40999999999985</v>
      </c>
      <c r="B300" s="135">
        <f>SUM(B286:B299)</f>
        <v>90</v>
      </c>
      <c r="C300" s="17" t="s">
        <v>51</v>
      </c>
      <c r="D300" s="135">
        <f>SUM(D286:D299)</f>
        <v>14.29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1:8" ht="15" customHeight="1" thickBot="1">
      <c r="B303" s="411"/>
      <c r="C303" s="412"/>
      <c r="D303" s="412"/>
      <c r="E303" s="412"/>
      <c r="F303" s="412"/>
      <c r="G303" s="413"/>
    </row>
    <row r="304" spans="1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130</v>
      </c>
      <c r="C306" s="19" t="s">
        <v>660</v>
      </c>
      <c r="D306" s="137">
        <v>35.96</v>
      </c>
      <c r="E306" s="138"/>
      <c r="F306" s="138"/>
      <c r="G306" s="16" t="s">
        <v>690</v>
      </c>
    </row>
    <row r="307" spans="2:7">
      <c r="B307" s="134">
        <v>13.15</v>
      </c>
      <c r="C307" s="27" t="s">
        <v>698</v>
      </c>
      <c r="D307" s="137"/>
      <c r="E307" s="138"/>
      <c r="F307" s="138">
        <v>70</v>
      </c>
      <c r="G307" s="16" t="s">
        <v>692</v>
      </c>
    </row>
    <row r="308" spans="2:7">
      <c r="B308" s="134">
        <v>14.27</v>
      </c>
      <c r="C308" s="27" t="s">
        <v>710</v>
      </c>
      <c r="D308" s="137">
        <v>8.68</v>
      </c>
      <c r="E308" s="138"/>
      <c r="F308" s="138"/>
      <c r="G308" s="16" t="s">
        <v>705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157.42000000000002</v>
      </c>
      <c r="C320" s="17" t="s">
        <v>51</v>
      </c>
      <c r="D320" s="135">
        <f>SUM(D306:D319)</f>
        <v>44.64</v>
      </c>
      <c r="E320" s="135">
        <f>SUM(E306:E319)</f>
        <v>0</v>
      </c>
      <c r="F320" s="135">
        <f>SUM(F306:F319)</f>
        <v>70</v>
      </c>
      <c r="G320" s="17" t="s">
        <v>51</v>
      </c>
    </row>
    <row r="321" spans="2:7" ht="15.75" thickBot="1"/>
    <row r="322" spans="2:7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/>
      <c r="E326" s="138">
        <v>94.14</v>
      </c>
      <c r="F326" s="138"/>
      <c r="G326" s="16" t="s">
        <v>678</v>
      </c>
    </row>
    <row r="327" spans="2:7">
      <c r="B327" s="134">
        <v>192.98</v>
      </c>
      <c r="C327" s="16" t="s">
        <v>717</v>
      </c>
      <c r="D327" s="137">
        <v>10</v>
      </c>
      <c r="E327" s="138"/>
      <c r="F327" s="138"/>
      <c r="G327" s="16" t="s">
        <v>680</v>
      </c>
    </row>
    <row r="328" spans="2:7">
      <c r="B328" s="134"/>
      <c r="C328" s="16"/>
      <c r="D328" s="137">
        <v>187.13</v>
      </c>
      <c r="E328" s="138"/>
      <c r="F328" s="138"/>
      <c r="G328" s="16" t="s">
        <v>684</v>
      </c>
    </row>
    <row r="329" spans="2:7">
      <c r="B329" s="134"/>
      <c r="C329" s="16"/>
      <c r="D329" s="137">
        <v>32.14</v>
      </c>
      <c r="E329" s="138"/>
      <c r="F329" s="138"/>
      <c r="G329" s="16" t="s">
        <v>708</v>
      </c>
    </row>
    <row r="330" spans="2:7">
      <c r="B330" s="134"/>
      <c r="C330" s="16"/>
      <c r="D330" s="137">
        <v>7.49</v>
      </c>
      <c r="E330" s="138"/>
      <c r="F330" s="138"/>
      <c r="G330" s="16" t="s">
        <v>709</v>
      </c>
    </row>
    <row r="331" spans="2:7">
      <c r="B331" s="134"/>
      <c r="C331" s="16"/>
      <c r="D331" s="137"/>
      <c r="E331" s="138">
        <v>192.98</v>
      </c>
      <c r="F331" s="138"/>
      <c r="G331" s="16" t="s">
        <v>712</v>
      </c>
    </row>
    <row r="332" spans="2:7">
      <c r="B332" s="134"/>
      <c r="C332" s="16"/>
      <c r="D332" s="137"/>
      <c r="E332" s="138">
        <v>96.65</v>
      </c>
      <c r="F332" s="138"/>
      <c r="G332" s="16" t="s">
        <v>713</v>
      </c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282.98</v>
      </c>
      <c r="C340" s="17" t="s">
        <v>51</v>
      </c>
      <c r="D340" s="135">
        <f>SUM(D326:D339)</f>
        <v>236.76</v>
      </c>
      <c r="E340" s="135">
        <f>SUM(E326:E339)</f>
        <v>383.77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2" t="str">
        <f>AÑO!A37</f>
        <v>Imprevistos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75">
      <c r="A345" s="1" t="s">
        <v>181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1:7" ht="15.75">
      <c r="A346" s="112">
        <f>'07'!A346+(B346-SUM(D346:F357))</f>
        <v>230.73</v>
      </c>
      <c r="B346" s="133">
        <v>0</v>
      </c>
      <c r="C346" s="19" t="s">
        <v>195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'07'!A358+(B358-SUM(D358:F358))</f>
        <v>35</v>
      </c>
      <c r="B358" s="134">
        <v>35</v>
      </c>
      <c r="C358" s="16" t="s">
        <v>671</v>
      </c>
      <c r="D358" s="137"/>
      <c r="E358" s="138"/>
      <c r="F358" s="138"/>
      <c r="G358" s="16"/>
    </row>
    <row r="359" spans="1:7" ht="16.5" thickBot="1">
      <c r="A359" s="112">
        <f>'07'!A359+(B359-SUM(D359:F359))</f>
        <v>10</v>
      </c>
      <c r="B359" s="135">
        <v>10</v>
      </c>
      <c r="C359" s="17" t="s">
        <v>670</v>
      </c>
      <c r="D359" s="135"/>
      <c r="E359" s="139"/>
      <c r="F359" s="139"/>
      <c r="G359" s="17"/>
    </row>
    <row r="360" spans="1:7" ht="16.5" thickBot="1">
      <c r="A360" s="112">
        <f>SUM(A346:A359)</f>
        <v>275.73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1:7">
      <c r="B366" s="133">
        <v>70</v>
      </c>
      <c r="C366" s="19" t="s">
        <v>31</v>
      </c>
      <c r="D366" s="137"/>
      <c r="E366" s="138"/>
      <c r="F366" s="138">
        <f>5+4.5+4+4+4+4.5+3.8+3.5+3.5+4.5</f>
        <v>41.3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41.3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3.11</v>
      </c>
      <c r="E406" s="138"/>
      <c r="F406" s="138"/>
      <c r="G406" s="16" t="s">
        <v>677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3.11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AÑO!AE17</f>
        <v>3945.4900000000002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-300.89999999999918</v>
      </c>
      <c r="C426" s="19" t="s">
        <v>227</v>
      </c>
      <c r="D426" s="137"/>
      <c r="E426" s="138"/>
      <c r="F426" s="138"/>
      <c r="G426" s="16"/>
    </row>
    <row r="427" spans="1:7">
      <c r="A427" s="113">
        <f>13.15</f>
        <v>13.15</v>
      </c>
      <c r="B427" s="134"/>
      <c r="C427" s="16"/>
      <c r="D427" s="137"/>
      <c r="E427" s="138"/>
      <c r="F427" s="138"/>
      <c r="G427" s="16"/>
    </row>
    <row r="428" spans="1:7">
      <c r="A428" s="113">
        <v>14.27</v>
      </c>
      <c r="B428" s="134"/>
      <c r="C428" s="16"/>
      <c r="D428" s="137"/>
      <c r="E428" s="138"/>
      <c r="F428" s="138"/>
      <c r="G428" s="16"/>
    </row>
    <row r="429" spans="1:7">
      <c r="A429" s="113">
        <v>222.98</v>
      </c>
      <c r="B429" s="134"/>
      <c r="C429" s="16"/>
      <c r="D429" s="137"/>
      <c r="E429" s="138"/>
      <c r="F429" s="138"/>
      <c r="G429" s="16"/>
    </row>
    <row r="430" spans="1:7">
      <c r="A430" s="113">
        <v>95.99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-300.89999999999918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NULO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'07'!A466+(B466-SUM(D466:F466))</f>
        <v>-550</v>
      </c>
      <c r="B466" s="134">
        <v>0</v>
      </c>
      <c r="C466" s="16" t="s">
        <v>286</v>
      </c>
      <c r="D466" s="137"/>
      <c r="E466" s="138"/>
      <c r="F466" s="138"/>
      <c r="G466" s="16"/>
    </row>
    <row r="467" spans="1:7" ht="15.75">
      <c r="A467" s="112">
        <f>'07'!A467+(B467-SUM(D467:F467))+B476</f>
        <v>-457.79</v>
      </c>
      <c r="B467" s="134">
        <v>50</v>
      </c>
      <c r="C467" s="16" t="s">
        <v>391</v>
      </c>
      <c r="D467" s="137"/>
      <c r="E467" s="138"/>
      <c r="F467" s="138"/>
      <c r="G467" s="16"/>
    </row>
    <row r="468" spans="1:7" ht="15.75">
      <c r="A468" s="112">
        <f>'07'!A468+(B468-SUM(D468:F468))</f>
        <v>153.4</v>
      </c>
      <c r="B468" s="134">
        <f>15</f>
        <v>15</v>
      </c>
      <c r="C468" s="16" t="s">
        <v>183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>
        <v>-550</v>
      </c>
      <c r="C476" s="16" t="s">
        <v>668</v>
      </c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-854.39</v>
      </c>
      <c r="B480" s="135">
        <f>SUM(B466:B479)</f>
        <v>-485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20</v>
      </c>
      <c r="C506" s="19" t="s">
        <v>667</v>
      </c>
      <c r="D506" s="137">
        <v>23.43</v>
      </c>
      <c r="E506" s="138"/>
      <c r="F506" s="138"/>
      <c r="G506" s="16" t="s">
        <v>691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20</v>
      </c>
      <c r="C520" s="17" t="s">
        <v>51</v>
      </c>
      <c r="D520" s="135">
        <f>SUM(D506:D519)</f>
        <v>23.43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800-000000000000}"/>
    <hyperlink ref="I2:L3" location="AÑO!AE4:AH5" display="SALDO REAL" xr:uid="{00000000-0004-0000-0800-000001000000}"/>
    <hyperlink ref="I22" location="Trimestre!C39:F40" display="TELÉFONO" xr:uid="{00000000-0004-0000-0800-000002000000}"/>
    <hyperlink ref="I22:L23" location="AÑO!AE7:AH17" display="INGRESOS" xr:uid="{00000000-0004-0000-0800-000003000000}"/>
    <hyperlink ref="B2" location="Trimestre!C25:F26" display="HIPOTECA" xr:uid="{00000000-0004-0000-0800-000004000000}"/>
    <hyperlink ref="B2:G3" location="AÑO!AE20:AH20" display="AÑO!AE20:AH20" xr:uid="{00000000-0004-0000-0800-000005000000}"/>
    <hyperlink ref="B22" location="Trimestre!C25:F26" display="HIPOTECA" xr:uid="{00000000-0004-0000-0800-000006000000}"/>
    <hyperlink ref="B22:G23" location="AÑO!AE21:AH21" display="AÑO!AE21:AH21" xr:uid="{00000000-0004-0000-0800-000007000000}"/>
    <hyperlink ref="B42" location="Trimestre!C25:F26" display="HIPOTECA" xr:uid="{00000000-0004-0000-0800-000008000000}"/>
    <hyperlink ref="B42:G43" location="AÑO!AE22:AH22" display="AÑO!AE22:AH22" xr:uid="{00000000-0004-0000-0800-000009000000}"/>
    <hyperlink ref="B62" location="Trimestre!C25:F26" display="HIPOTECA" xr:uid="{00000000-0004-0000-0800-00000A000000}"/>
    <hyperlink ref="B62:G63" location="AÑO!AE23:AH23" display="AÑO!AE23:AH23" xr:uid="{00000000-0004-0000-0800-00000B000000}"/>
    <hyperlink ref="B82" location="Trimestre!C25:F26" display="HIPOTECA" xr:uid="{00000000-0004-0000-0800-00000C000000}"/>
    <hyperlink ref="B82:G83" location="AÑO!AE24:AH24" display="AÑO!AE24:AH24" xr:uid="{00000000-0004-0000-0800-00000D000000}"/>
    <hyperlink ref="B102" location="Trimestre!C25:F26" display="HIPOTECA" xr:uid="{00000000-0004-0000-0800-00000E000000}"/>
    <hyperlink ref="B102:G103" location="AÑO!AE25:AH25" display="AÑO!AE25:AH25" xr:uid="{00000000-0004-0000-0800-00000F000000}"/>
    <hyperlink ref="B122" location="Trimestre!C25:F26" display="HIPOTECA" xr:uid="{00000000-0004-0000-0800-000010000000}"/>
    <hyperlink ref="B122:G123" location="AÑO!AE26:AH26" display="AÑO!AE26:AH26" xr:uid="{00000000-0004-0000-0800-000011000000}"/>
    <hyperlink ref="B142" location="Trimestre!C25:F26" display="HIPOTECA" xr:uid="{00000000-0004-0000-0800-000012000000}"/>
    <hyperlink ref="B142:G143" location="AÑO!AE27:AH27" display="AÑO!AE27:AH27" xr:uid="{00000000-0004-0000-0800-000013000000}"/>
    <hyperlink ref="B162" location="Trimestre!C25:F26" display="HIPOTECA" xr:uid="{00000000-0004-0000-0800-000014000000}"/>
    <hyperlink ref="B162:G163" location="AÑO!AE28:AH28" display="AÑO!AE28:AH28" xr:uid="{00000000-0004-0000-0800-000015000000}"/>
    <hyperlink ref="B182" location="Trimestre!C25:F26" display="HIPOTECA" xr:uid="{00000000-0004-0000-0800-000016000000}"/>
    <hyperlink ref="B182:G183" location="AÑO!AE29:AH29" display="AÑO!AE29:AH29" xr:uid="{00000000-0004-0000-0800-000017000000}"/>
    <hyperlink ref="B202" location="Trimestre!C25:F26" display="HIPOTECA" xr:uid="{00000000-0004-0000-0800-000018000000}"/>
    <hyperlink ref="B202:G203" location="AÑO!AE30:AH30" display="AÑO!AE30:AH30" xr:uid="{00000000-0004-0000-0800-000019000000}"/>
    <hyperlink ref="B222" location="Trimestre!C25:F26" display="HIPOTECA" xr:uid="{00000000-0004-0000-0800-00001A000000}"/>
    <hyperlink ref="B222:G223" location="AÑO!AE31:AH31" display="AÑO!AE31:AH31" xr:uid="{00000000-0004-0000-0800-00001B000000}"/>
    <hyperlink ref="B242" location="Trimestre!C25:F26" display="HIPOTECA" xr:uid="{00000000-0004-0000-0800-00001C000000}"/>
    <hyperlink ref="B242:G243" location="AÑO!AE32:AH32" display="AÑO!AE32:AH32" xr:uid="{00000000-0004-0000-0800-00001D000000}"/>
    <hyperlink ref="B262" location="Trimestre!C25:F26" display="HIPOTECA" xr:uid="{00000000-0004-0000-0800-00001E000000}"/>
    <hyperlink ref="B262:G263" location="AÑO!AE33:AH33" display="AÑO!AE33:AH33" xr:uid="{00000000-0004-0000-0800-00001F000000}"/>
    <hyperlink ref="B282" location="Trimestre!C25:F26" display="HIPOTECA" xr:uid="{00000000-0004-0000-0800-000020000000}"/>
    <hyperlink ref="B282:G283" location="AÑO!AE34:AH34" display="AÑO!AE34:AH34" xr:uid="{00000000-0004-0000-0800-000021000000}"/>
    <hyperlink ref="B302" location="Trimestre!C25:F26" display="HIPOTECA" xr:uid="{00000000-0004-0000-0800-000022000000}"/>
    <hyperlink ref="B302:G303" location="AÑO!AE35:AH35" display="AÑO!AE35:AH35" xr:uid="{00000000-0004-0000-0800-000023000000}"/>
    <hyperlink ref="B322" location="Trimestre!C25:F26" display="HIPOTECA" xr:uid="{00000000-0004-0000-0800-000024000000}"/>
    <hyperlink ref="B322:G323" location="AÑO!AE36:AH36" display="AÑO!AE36:AH36" xr:uid="{00000000-0004-0000-0800-000025000000}"/>
    <hyperlink ref="B342" location="Trimestre!C25:F26" display="HIPOTECA" xr:uid="{00000000-0004-0000-0800-000026000000}"/>
    <hyperlink ref="B342:G343" location="AÑO!AE37:AH37" display="AÑO!AE37:AH37" xr:uid="{00000000-0004-0000-0800-000027000000}"/>
    <hyperlink ref="B362" location="Trimestre!C25:F26" display="HIPOTECA" xr:uid="{00000000-0004-0000-0800-000028000000}"/>
    <hyperlink ref="B362:G363" location="AÑO!AE38:AH38" display="AÑO!AE38:AH38" xr:uid="{00000000-0004-0000-0800-000029000000}"/>
    <hyperlink ref="B382" location="Trimestre!C25:F26" display="HIPOTECA" xr:uid="{00000000-0004-0000-0800-00002A000000}"/>
    <hyperlink ref="B382:G383" location="AÑO!AE39:AH39" display="AÑO!AE39:AH39" xr:uid="{00000000-0004-0000-0800-00002B000000}"/>
    <hyperlink ref="B402" location="Trimestre!C25:F26" display="HIPOTECA" xr:uid="{00000000-0004-0000-0800-00002C000000}"/>
    <hyperlink ref="B402:G403" location="AÑO!AE40:AH40" display="AÑO!AE40:AH40" xr:uid="{00000000-0004-0000-0800-00002D000000}"/>
    <hyperlink ref="B422" location="Trimestre!C25:F26" display="HIPOTECA" xr:uid="{00000000-0004-0000-0800-00002E000000}"/>
    <hyperlink ref="B422:G423" location="AÑO!AE41:AH41" display="AÑO!AE41:AH41" xr:uid="{00000000-0004-0000-0800-00002F000000}"/>
    <hyperlink ref="B442" location="Trimestre!C25:F26" display="HIPOTECA" xr:uid="{00000000-0004-0000-0800-000030000000}"/>
    <hyperlink ref="B442:G443" location="AÑO!AE42:AH42" display="AÑO!AE42:AH42" xr:uid="{00000000-0004-0000-0800-000031000000}"/>
    <hyperlink ref="B462" location="Trimestre!C25:F26" display="HIPOTECA" xr:uid="{00000000-0004-0000-0800-000032000000}"/>
    <hyperlink ref="B462:G463" location="AÑO!AE43:AH43" display="AÑO!AE43:AH43" xr:uid="{00000000-0004-0000-0800-000033000000}"/>
    <hyperlink ref="B482" location="Trimestre!C25:F26" display="HIPOTECA" xr:uid="{00000000-0004-0000-0800-000034000000}"/>
    <hyperlink ref="B482:G483" location="AÑO!AE44:AH44" display="AÑO!AE44:AH44" xr:uid="{00000000-0004-0000-0800-000035000000}"/>
    <hyperlink ref="B502" location="Trimestre!C25:F26" display="HIPOTECA" xr:uid="{00000000-0004-0000-0800-000036000000}"/>
    <hyperlink ref="B502:G503" location="AÑO!AE45:AH45" display="AÑO!AE45:AH45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Coche</vt:lpstr>
      <vt:lpstr>Hipoteca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2019-11-29T13:22:17Z</dcterms:modified>
</cp:coreProperties>
</file>