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43A26A65-14DB-4111-8C5A-E58F9845D301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5" i="11" l="1"/>
  <c r="AM9" i="1"/>
  <c r="F366" i="1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26" i="12" l="1"/>
  <c r="B426" i="13"/>
  <c r="B4" i="14" l="1"/>
  <c r="AM15" i="1" l="1"/>
  <c r="D100" i="11" l="1"/>
  <c r="BB17" i="1"/>
  <c r="D46" i="11" l="1"/>
  <c r="J24" i="15" l="1"/>
  <c r="AW50" i="1"/>
  <c r="B422" i="11"/>
  <c r="K7" i="11"/>
  <c r="AI10" i="1"/>
  <c r="O5" i="11"/>
  <c r="F366" i="10" l="1"/>
  <c r="A7" i="11"/>
  <c r="A8" i="11"/>
  <c r="A9" i="11"/>
  <c r="A10" i="11"/>
  <c r="A11" i="11"/>
  <c r="A12" i="11"/>
  <c r="A13" i="11"/>
  <c r="A6" i="11"/>
  <c r="A11" i="10"/>
  <c r="A7" i="10"/>
  <c r="A10" i="10"/>
  <c r="A13" i="10"/>
  <c r="A12" i="10"/>
  <c r="A9" i="10"/>
  <c r="A6" i="10"/>
  <c r="A7" i="9"/>
  <c r="A8" i="9"/>
  <c r="A9" i="9"/>
  <c r="A10" i="9"/>
  <c r="A11" i="9"/>
  <c r="A12" i="9"/>
  <c r="A13" i="9"/>
  <c r="A14" i="9"/>
  <c r="A15" i="9"/>
  <c r="A16" i="9"/>
  <c r="A6" i="9"/>
  <c r="A16" i="8"/>
  <c r="A12" i="8"/>
  <c r="A13" i="5"/>
  <c r="A7" i="2"/>
  <c r="A14" i="2"/>
  <c r="A15" i="2"/>
  <c r="A16" i="2"/>
  <c r="A9" i="2"/>
  <c r="A10" i="2"/>
  <c r="A11" i="2"/>
  <c r="A12" i="2"/>
  <c r="A6" i="2"/>
  <c r="A13" i="2"/>
  <c r="E6" i="10"/>
  <c r="D226" i="10"/>
  <c r="A20" i="10" l="1"/>
  <c r="A22" i="10" s="1"/>
  <c r="A20" i="9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H116" i="12"/>
  <c r="D51" i="10" l="1"/>
  <c r="A120" i="10" l="1"/>
  <c r="A108" i="12"/>
  <c r="A108" i="13" s="1"/>
  <c r="A109" i="11"/>
  <c r="A109" i="12" s="1"/>
  <c r="A109" i="13" s="1"/>
  <c r="H63" i="17" s="1"/>
  <c r="I63" i="17" s="1"/>
  <c r="A108" i="10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1"/>
  <c r="A30" i="12" s="1"/>
  <c r="A30" i="13" s="1"/>
  <c r="A30" i="10"/>
  <c r="A28" i="10"/>
  <c r="A28" i="11"/>
  <c r="A28" i="12" s="1"/>
  <c r="A28" i="13" s="1"/>
  <c r="A29" i="11"/>
  <c r="A29" i="12" s="1"/>
  <c r="A29" i="13" s="1"/>
  <c r="A26" i="11"/>
  <c r="A26" i="12" s="1"/>
  <c r="A26" i="13" s="1"/>
  <c r="A29" i="10"/>
  <c r="A27" i="10"/>
  <c r="A27" i="11" s="1"/>
  <c r="A27" i="12" s="1"/>
  <c r="A27" i="13" s="1"/>
  <c r="A8" i="12"/>
  <c r="A8" i="13" s="1"/>
  <c r="A9" i="12"/>
  <c r="A9" i="13" s="1"/>
  <c r="A13" i="12"/>
  <c r="A13" i="13" s="1"/>
  <c r="A12" i="12"/>
  <c r="A12" i="13" s="1"/>
  <c r="A40" i="13" l="1"/>
  <c r="A466" i="12"/>
  <c r="A466" i="13" s="1"/>
  <c r="A106" i="12"/>
  <c r="A106" i="13" s="1"/>
  <c r="A120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B5" i="14" l="1"/>
  <c r="B3" i="14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J22" i="15" l="1"/>
  <c r="I82" i="15" l="1"/>
  <c r="A82" i="15"/>
  <c r="J23" i="15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I21" i="1" l="1"/>
  <c r="BL21" i="1" s="1"/>
  <c r="BI29" i="1"/>
  <c r="BL29" i="1" s="1"/>
  <c r="BI37" i="1"/>
  <c r="BL37" i="1" s="1"/>
  <c r="BI45" i="1"/>
  <c r="BL45" i="1" s="1"/>
  <c r="BI40" i="1"/>
  <c r="BL40" i="1" s="1"/>
  <c r="BI33" i="1"/>
  <c r="BL33" i="1" s="1"/>
  <c r="BI27" i="1"/>
  <c r="BL27" i="1" s="1"/>
  <c r="BI44" i="1"/>
  <c r="BL44" i="1" s="1"/>
  <c r="BI30" i="1"/>
  <c r="BL30" i="1" s="1"/>
  <c r="BI38" i="1"/>
  <c r="BL38" i="1" s="1"/>
  <c r="BI32" i="1"/>
  <c r="BL32" i="1" s="1"/>
  <c r="BI26" i="1"/>
  <c r="BL26" i="1" s="1"/>
  <c r="BI28" i="1"/>
  <c r="BL28" i="1" s="1"/>
  <c r="BI31" i="1"/>
  <c r="BL31" i="1" s="1"/>
  <c r="BI39" i="1"/>
  <c r="BL39" i="1" s="1"/>
  <c r="BI43" i="1"/>
  <c r="BL43" i="1" s="1"/>
  <c r="BI25" i="1"/>
  <c r="BL25" i="1" s="1"/>
  <c r="BI42" i="1"/>
  <c r="BL42" i="1" s="1"/>
  <c r="BI35" i="1"/>
  <c r="BL35" i="1" s="1"/>
  <c r="AZ17" i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M21" i="15" l="1"/>
  <c r="M20" i="15"/>
  <c r="M19" i="15"/>
  <c r="M18" i="15"/>
  <c r="M22" i="15"/>
  <c r="M83" i="15"/>
  <c r="E8" i="14"/>
  <c r="C83" i="15"/>
  <c r="I17" i="15"/>
  <c r="A18" i="15"/>
  <c r="K19" i="2"/>
  <c r="C5" i="1" l="1"/>
  <c r="L20" i="2"/>
  <c r="B14" i="14"/>
  <c r="L6" i="14"/>
  <c r="E9" i="14"/>
  <c r="E10" i="14" s="1"/>
  <c r="E11" i="14" s="1"/>
  <c r="B13" i="14" s="1"/>
  <c r="I18" i="15"/>
  <c r="A19" i="15"/>
  <c r="G23" i="15" l="1"/>
  <c r="D24" i="15"/>
  <c r="E24" i="15" s="1"/>
  <c r="E23" i="15"/>
  <c r="B15" i="14"/>
  <c r="K6" i="14" s="1"/>
  <c r="L7" i="14" s="1"/>
  <c r="K7" i="14" s="1"/>
  <c r="L8" i="14" s="1"/>
  <c r="M8" i="14" s="1"/>
  <c r="M6" i="14"/>
  <c r="G22" i="15"/>
  <c r="E17" i="14"/>
  <c r="A20" i="15"/>
  <c r="I19" i="15"/>
  <c r="G85" i="15" l="1"/>
  <c r="M7" i="14"/>
  <c r="E22" i="15"/>
  <c r="E83" i="15" s="1"/>
  <c r="D83" i="15"/>
  <c r="I20" i="15"/>
  <c r="A21" i="15"/>
  <c r="K8" i="14"/>
  <c r="I21" i="15" l="1"/>
  <c r="A22" i="15"/>
  <c r="L9" i="14"/>
  <c r="A23" i="15" l="1"/>
  <c r="I22" i="15"/>
  <c r="M9" i="14"/>
  <c r="K9" i="14"/>
  <c r="A24" i="15" l="1"/>
  <c r="I23" i="15"/>
  <c r="L10" i="14"/>
  <c r="A25" i="15" l="1"/>
  <c r="I24" i="15"/>
  <c r="M10" i="14"/>
  <c r="K10" i="14"/>
  <c r="A26" i="15" l="1"/>
  <c r="I25" i="15"/>
  <c r="L11" i="14"/>
  <c r="K11" i="14" s="1"/>
  <c r="A27" i="15" l="1"/>
  <c r="I26" i="15"/>
  <c r="B23" i="14"/>
  <c r="C34" i="14"/>
  <c r="C35" i="14" s="1"/>
  <c r="M11" i="14"/>
  <c r="M13" i="14" s="1"/>
  <c r="L13" i="14"/>
  <c r="B22" i="14"/>
  <c r="C22" i="14" s="1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6" i="1" s="1"/>
  <c r="AW40" i="1"/>
  <c r="AW26" i="1"/>
  <c r="AW34" i="1"/>
  <c r="AW43" i="1"/>
  <c r="AW22" i="1"/>
  <c r="AW23" i="1"/>
  <c r="A42" i="15" l="1"/>
  <c r="I41" i="15"/>
  <c r="AW47" i="1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s="1"/>
  <c r="A52" i="15" l="1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BI36" i="1" s="1"/>
  <c r="BL36" i="1" s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BI22" i="1" s="1"/>
  <c r="BL22" i="1" s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AQ17" i="1"/>
  <c r="O17" i="1"/>
  <c r="K17" i="1"/>
  <c r="G17" i="1"/>
  <c r="C17" i="1"/>
  <c r="B440" i="13" l="1"/>
  <c r="AV41" i="1" s="1"/>
  <c r="AV46" i="1" s="1"/>
  <c r="AV47" i="1" s="1"/>
  <c r="B440" i="12"/>
  <c r="AR41" i="1" s="1"/>
  <c r="B426" i="11"/>
  <c r="B440" i="11" s="1"/>
  <c r="AN41" i="1" s="1"/>
  <c r="A65" i="15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BI41" i="1" s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BI23" i="1" s="1"/>
  <c r="BL23" i="1" s="1"/>
  <c r="AK23" i="1"/>
  <c r="AK22" i="1"/>
  <c r="AK50" i="1" s="1"/>
  <c r="AJ22" i="1"/>
  <c r="AJ21" i="1"/>
  <c r="AK20" i="1"/>
  <c r="AJ20" i="1"/>
  <c r="AJ24" i="1"/>
  <c r="BI24" i="1" s="1"/>
  <c r="BL24" i="1" s="1"/>
  <c r="AJ25" i="1"/>
  <c r="AJ27" i="1"/>
  <c r="AJ28" i="1"/>
  <c r="AJ29" i="1"/>
  <c r="AJ30" i="1"/>
  <c r="AJ31" i="1"/>
  <c r="AK32" i="1"/>
  <c r="AJ33" i="1"/>
  <c r="AJ34" i="1"/>
  <c r="BI34" i="1" s="1"/>
  <c r="BL34" i="1" s="1"/>
  <c r="AK35" i="1"/>
  <c r="AK36" i="1"/>
  <c r="AJ37" i="1"/>
  <c r="AJ38" i="1"/>
  <c r="AK39" i="1"/>
  <c r="AJ40" i="1"/>
  <c r="AK41" i="1"/>
  <c r="AJ44" i="1"/>
  <c r="AK44" i="1"/>
  <c r="AJ45" i="1"/>
  <c r="AK45" i="1"/>
  <c r="BL41" i="1" l="1"/>
  <c r="A67" i="15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BI20" i="1" s="1"/>
  <c r="BL20" i="1" l="1"/>
  <c r="BL46" i="1" s="1"/>
  <c r="BI46" i="1"/>
  <c r="I70" i="15"/>
  <c r="A71" i="15"/>
  <c r="AG28" i="1"/>
  <c r="AG22" i="1"/>
  <c r="AG50" i="1" s="1"/>
  <c r="AG43" i="1"/>
  <c r="AG31" i="1"/>
  <c r="AG34" i="1"/>
  <c r="AG32" i="1"/>
  <c r="AG21" i="1"/>
  <c r="BJ39" i="1" l="1"/>
  <c r="BJ42" i="1"/>
  <c r="BJ24" i="1"/>
  <c r="BJ29" i="1"/>
  <c r="BJ28" i="1"/>
  <c r="BJ36" i="1"/>
  <c r="BJ44" i="1"/>
  <c r="BJ41" i="1"/>
  <c r="BJ33" i="1"/>
  <c r="BJ23" i="1"/>
  <c r="BJ26" i="1"/>
  <c r="BJ27" i="1"/>
  <c r="BJ25" i="1"/>
  <c r="BJ43" i="1"/>
  <c r="BJ40" i="1"/>
  <c r="BJ22" i="1"/>
  <c r="BJ30" i="1"/>
  <c r="BJ37" i="1"/>
  <c r="BJ31" i="1"/>
  <c r="BJ21" i="1"/>
  <c r="BJ45" i="1"/>
  <c r="BJ38" i="1"/>
  <c r="BJ34" i="1"/>
  <c r="BJ32" i="1"/>
  <c r="BJ35" i="1"/>
  <c r="BJ20" i="1"/>
  <c r="I71" i="15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BK25" i="1" l="1"/>
  <c r="BK31" i="1"/>
  <c r="BK32" i="1"/>
  <c r="BK22" i="1"/>
  <c r="BK41" i="1"/>
  <c r="BK45" i="1"/>
  <c r="BK34" i="1"/>
  <c r="BK40" i="1"/>
  <c r="BK44" i="1"/>
  <c r="BK38" i="1"/>
  <c r="BK43" i="1"/>
  <c r="BK36" i="1"/>
  <c r="BK28" i="1"/>
  <c r="BK21" i="1"/>
  <c r="BK27" i="1"/>
  <c r="BK29" i="1"/>
  <c r="BK24" i="1"/>
  <c r="BK26" i="1"/>
  <c r="BK20" i="1"/>
  <c r="BK37" i="1"/>
  <c r="BK23" i="1"/>
  <c r="BK42" i="1"/>
  <c r="BK35" i="1"/>
  <c r="BK30" i="1"/>
  <c r="BK33" i="1"/>
  <c r="BK39" i="1"/>
  <c r="I72" i="15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R46" i="1"/>
  <c r="AR47" i="1" s="1"/>
  <c r="AN46" i="1"/>
  <c r="AN47" i="1" s="1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E45" i="1"/>
  <c r="A81" i="15" l="1"/>
  <c r="I81" i="15" s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P21" i="1" l="1"/>
  <c r="AT21" i="1" s="1"/>
  <c r="AX21" i="1" s="1"/>
  <c r="AX43" i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  <c r="A7" i="12" l="1"/>
  <c r="A7" i="13" s="1"/>
  <c r="A10" i="12"/>
  <c r="A10" i="13" s="1"/>
  <c r="A11" i="12"/>
  <c r="A11" i="13" s="1"/>
  <c r="A6" i="12" l="1"/>
  <c r="A20" i="11"/>
  <c r="A20" i="12" l="1"/>
  <c r="A6" i="13"/>
  <c r="A20" i="13" s="1"/>
  <c r="A13" i="3" l="1"/>
  <c r="A13" i="4"/>
  <c r="A13" i="6" s="1"/>
  <c r="A13" i="7" s="1"/>
  <c r="A13" i="8" s="1"/>
  <c r="A6" i="3"/>
  <c r="A6" i="4" l="1"/>
  <c r="A6" i="5" l="1"/>
  <c r="A6" i="6" l="1"/>
  <c r="A6" i="7" l="1"/>
  <c r="A6" i="8" l="1"/>
  <c r="A8" i="3"/>
  <c r="A8" i="4" s="1"/>
  <c r="A8" i="5" s="1"/>
  <c r="A8" i="6" s="1"/>
  <c r="A8" i="7" s="1"/>
  <c r="A8" i="8" s="1"/>
  <c r="A11" i="3"/>
  <c r="A11" i="4"/>
  <c r="A11" i="5" s="1"/>
  <c r="A11" i="6" s="1"/>
  <c r="A11" i="7" s="1"/>
  <c r="A11" i="8" s="1"/>
  <c r="A9" i="3"/>
  <c r="A9" i="4" s="1"/>
  <c r="A9" i="5" s="1"/>
  <c r="A9" i="6" s="1"/>
  <c r="A9" i="7" s="1"/>
  <c r="A9" i="8" s="1"/>
  <c r="A12" i="3"/>
  <c r="A12" i="4"/>
  <c r="A12" i="5"/>
  <c r="A12" i="6"/>
  <c r="A12" i="7"/>
  <c r="A10" i="3"/>
  <c r="A10" i="4"/>
  <c r="A10" i="5"/>
  <c r="A10" i="6"/>
  <c r="A10" i="7" s="1"/>
  <c r="A10" i="8" s="1"/>
  <c r="A7" i="3"/>
  <c r="A7" i="4" s="1"/>
  <c r="A7" i="5" l="1"/>
  <c r="A7" i="6" l="1"/>
  <c r="A7" i="7" l="1"/>
  <c r="A7" i="8" l="1"/>
  <c r="A16" i="4"/>
  <c r="A16" i="5" s="1"/>
  <c r="A16" i="6" s="1"/>
  <c r="A16" i="7" s="1"/>
  <c r="A16" i="3"/>
  <c r="A15" i="3"/>
  <c r="A15" i="4" s="1"/>
  <c r="A15" i="5" s="1"/>
  <c r="A15" i="6" s="1"/>
  <c r="A15" i="7" s="1"/>
  <c r="A15" i="8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A20" i="8" s="1"/>
</calcChain>
</file>

<file path=xl/sharedStrings.xml><?xml version="1.0" encoding="utf-8"?>
<sst xmlns="http://schemas.openxmlformats.org/spreadsheetml/2006/main" count="5340" uniqueCount="698">
  <si>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</si>
  <si>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</si>
  <si>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</si>
  <si>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</si>
  <si>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</si>
  <si>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</si>
  <si>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</si>
  <si>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</si>
  <si>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</si>
  <si>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</si>
  <si>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</si>
  <si>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</si>
  <si>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</si>
  <si>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</si>
  <si>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</si>
  <si>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</si>
  <si>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</si>
  <si>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</si>
  <si>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</si>
  <si>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</si>
  <si>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</si>
  <si>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</si>
  <si>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</si>
  <si>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</si>
  <si>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</si>
  <si>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</si>
  <si>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</si>
  <si>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</si>
  <si>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</si>
  <si>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</si>
  <si>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</si>
  <si>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</si>
  <si>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</si>
  <si>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</si>
  <si>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</si>
  <si>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</si>
  <si>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</si>
  <si>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</si>
  <si>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</si>
  <si>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</si>
  <si>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</si>
  <si>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</si>
  <si>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</si>
  <si>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</si>
  <si>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</si>
  <si>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</si>
  <si>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</si>
  <si>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</si>
  <si>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</si>
  <si>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</si>
  <si>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</si>
  <si>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</si>
  <si>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</si>
  <si>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</si>
  <si>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</si>
  <si>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</si>
  <si>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</si>
  <si>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</si>
  <si>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</si>
  <si>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</si>
  <si>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</si>
  <si>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</si>
  <si>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</si>
  <si>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</si>
  <si>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</si>
  <si>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</si>
  <si>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</si>
  <si>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</si>
  <si>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</si>
  <si>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</si>
  <si>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</si>
  <si>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</si>
  <si>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</si>
  <si>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</si>
  <si>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</si>
  <si>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</si>
  <si>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</si>
  <si>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</si>
  <si>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</si>
  <si>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</si>
  <si>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</si>
  <si>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</si>
  <si>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</si>
  <si>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</si>
  <si>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</si>
  <si>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</si>
  <si>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</si>
  <si>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</si>
  <si>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</si>
  <si>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</si>
  <si>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</si>
  <si>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</si>
  <si>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</si>
  <si>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</si>
  <si>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</si>
  <si>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</si>
  <si>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</si>
  <si>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</si>
  <si>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</si>
  <si>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</si>
  <si>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</si>
  <si>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</si>
  <si>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</si>
  <si>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</si>
  <si>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</si>
  <si>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</si>
  <si>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</si>
  <si>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</si>
  <si>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</si>
  <si>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</si>
  <si>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</si>
  <si>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</si>
  <si>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</si>
  <si>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</si>
  <si>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</si>
  <si>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</si>
  <si>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</si>
  <si>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</si>
  <si>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</si>
  <si>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</si>
  <si>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</si>
  <si>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</si>
  <si>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</si>
  <si>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</si>
  <si>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</si>
  <si>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</si>
  <si>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</si>
  <si>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</si>
  <si>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</si>
  <si>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</si>
  <si>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</si>
  <si>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</si>
  <si>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</si>
  <si>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</si>
  <si>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</si>
  <si>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</si>
  <si>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</si>
  <si>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</si>
  <si>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</si>
  <si>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</si>
  <si>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</si>
  <si>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</si>
  <si>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</si>
  <si>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</si>
  <si>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</si>
  <si>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</si>
  <si>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</si>
  <si>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</si>
  <si>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</si>
  <si>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</si>
  <si>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</si>
  <si>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</si>
  <si>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</si>
  <si>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</si>
  <si>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</si>
  <si>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</si>
  <si>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</si>
  <si>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</si>
  <si>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</si>
  <si>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</si>
  <si>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</si>
  <si>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</si>
  <si>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</si>
  <si>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</si>
  <si>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</si>
  <si>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</si>
  <si>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</si>
  <si>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</si>
  <si>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</si>
  <si>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</si>
  <si>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</si>
  <si>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</si>
  <si>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</si>
  <si>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</si>
  <si>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</si>
  <si>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</si>
  <si>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</si>
  <si>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</si>
  <si>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</si>
  <si>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</si>
  <si>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</si>
  <si>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</si>
  <si>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</si>
  <si>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</si>
  <si>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</si>
  <si>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</si>
  <si>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</si>
  <si>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</si>
  <si>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</si>
  <si>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</si>
  <si>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</si>
  <si>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</si>
  <si>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</si>
  <si>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</si>
  <si>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</si>
  <si>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</si>
  <si>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</si>
  <si>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</si>
  <si>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</si>
  <si>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</si>
  <si>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</si>
  <si>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</si>
  <si>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</si>
  <si>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</si>
  <si>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</si>
  <si>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</si>
  <si>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</si>
  <si>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</si>
  <si>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</si>
  <si>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</si>
  <si>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</si>
  <si>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</si>
  <si>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</si>
  <si>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</si>
  <si>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</si>
  <si>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</si>
  <si>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</si>
  <si>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</si>
  <si>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</si>
  <si>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</si>
  <si>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</si>
  <si>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</si>
  <si>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</si>
  <si>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</si>
  <si>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</si>
  <si>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</si>
  <si>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</si>
  <si>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</si>
  <si>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</si>
  <si>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</si>
  <si>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</si>
  <si>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</si>
  <si>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</si>
  <si>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</si>
  <si>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</si>
  <si>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</si>
  <si>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</si>
  <si>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</si>
  <si>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</si>
  <si>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</si>
  <si>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</si>
  <si>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</si>
  <si>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</si>
  <si>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</si>
  <si>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</si>
  <si>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</si>
  <si>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</si>
  <si>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</si>
  <si>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</si>
  <si>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</si>
  <si>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</si>
  <si>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</si>
  <si>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</si>
  <si>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</si>
  <si>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</si>
  <si>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</si>
  <si>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</si>
  <si>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</si>
  <si>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</si>
  <si>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</si>
  <si>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</si>
  <si>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</si>
  <si>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</si>
  <si>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</si>
  <si>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</si>
  <si>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</si>
  <si>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</si>
  <si>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</si>
  <si>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</si>
  <si>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</si>
  <si>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</si>
  <si>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</si>
  <si>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</si>
  <si>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</si>
  <si>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</si>
  <si>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</si>
  <si>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</si>
  <si>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</si>
  <si>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</si>
  <si>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</si>
  <si>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</si>
  <si>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</si>
  <si>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</si>
  <si>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</si>
  <si>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</si>
  <si>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</si>
  <si>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</si>
  <si>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</si>
  <si>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</si>
  <si>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</si>
  <si>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</si>
  <si>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</si>
  <si>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</si>
  <si>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</si>
  <si>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</si>
  <si>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</si>
  <si>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</si>
  <si>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</si>
  <si>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</si>
  <si>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</si>
  <si>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</si>
  <si>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</si>
  <si>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</si>
  <si>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</si>
  <si>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</si>
  <si>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</si>
  <si>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</si>
  <si>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</si>
  <si>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</si>
  <si>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</si>
  <si>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</si>
  <si>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</si>
  <si>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</si>
  <si>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</si>
  <si>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</si>
  <si>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</si>
  <si>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</si>
  <si>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</si>
  <si>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</si>
  <si>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</si>
  <si>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</si>
  <si>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</si>
  <si>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</si>
  <si>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</si>
  <si>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</si>
  <si>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</si>
  <si>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</si>
  <si>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</si>
  <si>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</si>
  <si>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</si>
  <si>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</si>
  <si>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</si>
  <si>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</si>
  <si>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</si>
  <si>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</si>
  <si>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</si>
  <si>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</si>
  <si>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</si>
  <si>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</si>
  <si>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</si>
  <si>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</si>
  <si>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</si>
  <si>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</si>
  <si>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</si>
  <si>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</si>
  <si>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</si>
  <si>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</si>
  <si>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</si>
  <si>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</si>
  <si>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</si>
  <si>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</si>
  <si>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</si>
  <si>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</si>
  <si>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</si>
  <si>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</si>
  <si>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</si>
  <si>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</si>
  <si>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</si>
  <si>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</si>
  <si>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</si>
  <si>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</si>
  <si>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</si>
  <si>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</si>
  <si>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</si>
  <si>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</si>
  <si>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</si>
  <si>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</si>
  <si>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</si>
  <si>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</si>
  <si>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</si>
  <si>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</si>
  <si>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</si>
  <si>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</si>
  <si>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</si>
  <si>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</si>
  <si>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</si>
  <si>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</si>
  <si>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</si>
  <si>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</si>
  <si>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</si>
  <si>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</si>
  <si>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</si>
  <si>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</si>
  <si>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</si>
  <si>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</si>
  <si>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</si>
  <si>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</si>
  <si>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</si>
  <si>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</si>
  <si>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</si>
  <si>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</si>
  <si>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</si>
  <si>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</si>
  <si>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</si>
  <si>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</si>
  <si>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</si>
  <si>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</si>
  <si>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</si>
  <si>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</si>
  <si>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</si>
  <si>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</si>
  <si>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</si>
  <si>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</si>
  <si>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</si>
  <si>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</si>
  <si>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</si>
  <si>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</si>
  <si>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</si>
  <si>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</si>
  <si>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</si>
  <si>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</si>
  <si>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</si>
  <si>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</si>
  <si>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</si>
  <si>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</si>
  <si>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</si>
  <si>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</si>
  <si>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</si>
  <si>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</si>
  <si>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</si>
  <si>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</si>
  <si>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</si>
  <si>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</si>
  <si>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</si>
  <si>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</si>
  <si>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</si>
  <si>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</si>
  <si>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</si>
  <si>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</si>
  <si>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</si>
  <si>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</si>
  <si>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</si>
  <si>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</si>
  <si>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</si>
  <si>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</si>
  <si>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</si>
  <si>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</si>
  <si>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</si>
  <si>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</si>
  <si>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</si>
  <si>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</si>
  <si>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</si>
  <si>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</si>
  <si>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</si>
  <si>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</si>
  <si>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</si>
  <si>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</si>
  <si>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</si>
  <si>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</si>
  <si>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</si>
  <si>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</si>
  <si>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</si>
  <si>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</si>
  <si>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</si>
  <si>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</si>
  <si>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</si>
  <si>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</si>
  <si>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</si>
  <si>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</si>
  <si>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</si>
  <si>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</si>
  <si>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</si>
  <si>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</si>
  <si>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</si>
  <si>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</si>
  <si>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</si>
  <si>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</si>
  <si>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</si>
  <si>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</si>
  <si>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</si>
  <si>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</si>
  <si>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</si>
  <si>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</si>
  <si>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</si>
  <si>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</si>
  <si>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</si>
  <si>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</si>
  <si>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</si>
  <si>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</si>
  <si>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</si>
  <si>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</si>
  <si>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</si>
  <si>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</si>
  <si>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</si>
  <si>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</si>
  <si>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</si>
  <si>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</si>
  <si>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</si>
  <si>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</si>
  <si>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</si>
  <si>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</si>
  <si>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</si>
  <si>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</si>
  <si>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</si>
  <si>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</si>
  <si>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</si>
  <si>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</si>
  <si>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</si>
  <si>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</si>
  <si>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</si>
  <si>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</si>
  <si>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</si>
  <si>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</si>
  <si>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</si>
  <si>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</si>
  <si>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</si>
  <si>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</si>
  <si>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</si>
  <si>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</si>
  <si>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</si>
  <si>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</si>
  <si>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</si>
  <si>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</si>
  <si>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</si>
  <si>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</si>
  <si>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</si>
  <si>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</si>
  <si>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</si>
  <si>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</si>
  <si>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</si>
  <si>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</si>
  <si>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</si>
  <si>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</si>
  <si>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</si>
  <si>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</si>
  <si>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</si>
  <si>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</si>
  <si>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</si>
  <si>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</si>
  <si>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</si>
  <si>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</si>
  <si>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</si>
  <si>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</si>
  <si>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</si>
  <si>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</si>
  <si>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</si>
  <si>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</si>
  <si>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</si>
  <si>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</si>
  <si>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</si>
  <si>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</si>
  <si>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</si>
  <si>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</si>
  <si>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</si>
  <si>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</si>
  <si>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</si>
  <si>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</si>
  <si>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</si>
  <si>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</si>
  <si>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</si>
  <si>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</si>
  <si>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</si>
  <si>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</si>
  <si>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</si>
  <si>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</si>
  <si>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</si>
  <si>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</si>
  <si>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</si>
  <si>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</si>
  <si>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</si>
  <si>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</si>
  <si>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</si>
  <si>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</si>
  <si>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</si>
  <si>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</si>
  <si>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</si>
  <si>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</si>
  <si>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</si>
  <si>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</si>
  <si>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</si>
  <si>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</si>
  <si>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</si>
  <si>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</si>
  <si>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</si>
  <si>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</si>
  <si>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</si>
  <si>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</si>
  <si>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</si>
  <si>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</si>
  <si>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</si>
  <si>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</si>
  <si>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</si>
  <si>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</si>
  <si>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</si>
  <si>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</si>
  <si>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</si>
  <si>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</si>
  <si>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</si>
  <si>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</si>
  <si>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</si>
  <si>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</si>
  <si>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</si>
  <si>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</si>
  <si>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</si>
  <si>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</si>
  <si>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</si>
  <si>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</si>
  <si>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</si>
  <si>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</si>
  <si>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</si>
  <si>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</si>
  <si>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</si>
  <si>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</si>
  <si>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</si>
  <si>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</si>
  <si>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</si>
  <si>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</si>
  <si>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</si>
  <si>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</si>
  <si>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</si>
  <si>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</si>
  <si>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</si>
  <si>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</si>
  <si>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</si>
  <si>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</si>
  <si>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</si>
  <si>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</si>
  <si>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</si>
  <si>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</si>
  <si>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</si>
  <si>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</si>
  <si>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</si>
  <si>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</si>
  <si>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</si>
  <si>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</si>
  <si>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</si>
  <si>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</si>
  <si>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</si>
  <si>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</si>
  <si>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</si>
  <si>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</si>
  <si>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</si>
  <si>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</si>
  <si>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</si>
  <si>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</si>
  <si>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</si>
  <si>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</si>
  <si>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</si>
  <si>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</si>
  <si>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</si>
  <si>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</si>
  <si>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</si>
  <si>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</si>
  <si>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</si>
  <si>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</si>
  <si>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</si>
  <si>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</si>
  <si>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</si>
  <si>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</si>
  <si>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</si>
  <si>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</si>
  <si>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</si>
  <si>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</si>
  <si>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</si>
  <si>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</si>
  <si>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</si>
  <si>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</si>
  <si>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</si>
  <si>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</si>
  <si>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</si>
  <si>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</si>
  <si>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</si>
  <si>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</si>
  <si>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</si>
  <si>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</si>
  <si>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</si>
  <si>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</si>
  <si>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AR</t>
  </si>
  <si>
    <t>AV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</si>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</sst>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2" xfId="0" applyNumberFormat="1" applyFont="1" applyBorder="1" applyAlignment="1">
      <alignment horizontal="left"/>
    </xf>
    <xf numFmtId="0" fontId="0" fillId="0" borderId="103" xfId="0" applyNumberFormat="1" applyFon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5"/>
  <sheetViews>
    <sheetView tabSelected="1" topLeftCell="A12" zoomScaleNormal="100" workbookViewId="0">
      <pane xSplit="1" topLeftCell="BA1" activePane="topRight" state="frozen"/>
      <selection pane="topRight" activeCell="BL25" sqref="BL25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564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79" t="s">
        <v>4</v>
      </c>
      <c r="B4" s="64">
        <v>2017</v>
      </c>
      <c r="C4" s="274" t="s">
        <v>0</v>
      </c>
      <c r="D4" s="275"/>
      <c r="E4" s="275"/>
      <c r="F4" s="276"/>
      <c r="G4" s="274" t="s">
        <v>1</v>
      </c>
      <c r="H4" s="275"/>
      <c r="I4" s="275"/>
      <c r="J4" s="276"/>
      <c r="K4" s="274" t="s">
        <v>2</v>
      </c>
      <c r="L4" s="275"/>
      <c r="M4" s="275"/>
      <c r="N4" s="276"/>
      <c r="O4" s="274" t="s">
        <v>3</v>
      </c>
      <c r="P4" s="275"/>
      <c r="Q4" s="275"/>
      <c r="R4" s="276"/>
      <c r="S4" s="274" t="s">
        <v>99</v>
      </c>
      <c r="T4" s="275"/>
      <c r="U4" s="275"/>
      <c r="V4" s="276"/>
      <c r="W4" s="274" t="s">
        <v>95</v>
      </c>
      <c r="X4" s="275"/>
      <c r="Y4" s="275"/>
      <c r="Z4" s="276"/>
      <c r="AA4" s="274" t="s">
        <v>103</v>
      </c>
      <c r="AB4" s="275"/>
      <c r="AC4" s="275"/>
      <c r="AD4" s="276"/>
      <c r="AE4" s="274" t="s">
        <v>104</v>
      </c>
      <c r="AF4" s="275"/>
      <c r="AG4" s="275"/>
      <c r="AH4" s="276"/>
      <c r="AI4" s="274" t="s">
        <v>107</v>
      </c>
      <c r="AJ4" s="275"/>
      <c r="AK4" s="275"/>
      <c r="AL4" s="276"/>
      <c r="AM4" s="274" t="s">
        <v>109</v>
      </c>
      <c r="AN4" s="275"/>
      <c r="AO4" s="275"/>
      <c r="AP4" s="276"/>
      <c r="AQ4" s="274" t="s">
        <v>113</v>
      </c>
      <c r="AR4" s="275"/>
      <c r="AS4" s="275"/>
      <c r="AT4" s="276"/>
      <c r="AU4" s="274" t="s">
        <v>118</v>
      </c>
      <c r="AV4" s="275"/>
      <c r="AW4" s="275"/>
      <c r="AX4" s="276"/>
      <c r="AY4" s="1"/>
      <c r="AZ4" s="1"/>
      <c r="BA4" s="1"/>
      <c r="BB4" s="1"/>
    </row>
    <row r="5" spans="1:54" ht="16.5" thickBot="1">
      <c r="A5" s="6" t="s">
        <v>5</v>
      </c>
      <c r="B5" s="65"/>
      <c r="C5" s="286">
        <f>'01'!K19</f>
        <v>17336.68</v>
      </c>
      <c r="D5" s="284"/>
      <c r="E5" s="284"/>
      <c r="F5" s="285"/>
      <c r="G5" s="286">
        <f>'02'!K19</f>
        <v>20217</v>
      </c>
      <c r="H5" s="284"/>
      <c r="I5" s="284"/>
      <c r="J5" s="285"/>
      <c r="K5" s="283">
        <f>'03'!K19</f>
        <v>21214.57</v>
      </c>
      <c r="L5" s="284"/>
      <c r="M5" s="284"/>
      <c r="N5" s="285"/>
      <c r="O5" s="283">
        <f>'04'!K19</f>
        <v>20719.909999999996</v>
      </c>
      <c r="P5" s="284"/>
      <c r="Q5" s="284"/>
      <c r="R5" s="285"/>
      <c r="S5" s="283">
        <f>'05'!K19</f>
        <v>22905.86</v>
      </c>
      <c r="T5" s="284"/>
      <c r="U5" s="284"/>
      <c r="V5" s="285"/>
      <c r="W5" s="283">
        <f>'06'!K19</f>
        <v>23622.14</v>
      </c>
      <c r="X5" s="284"/>
      <c r="Y5" s="284"/>
      <c r="Z5" s="285"/>
      <c r="AA5" s="283">
        <f>'07'!K19</f>
        <v>24911.559999999998</v>
      </c>
      <c r="AB5" s="284"/>
      <c r="AC5" s="284"/>
      <c r="AD5" s="285"/>
      <c r="AE5" s="283">
        <f>'08'!K19</f>
        <v>24488.75</v>
      </c>
      <c r="AF5" s="284"/>
      <c r="AG5" s="284"/>
      <c r="AH5" s="285"/>
      <c r="AI5" s="283">
        <f>'09'!K19</f>
        <v>24613.260000000002</v>
      </c>
      <c r="AJ5" s="284"/>
      <c r="AK5" s="284"/>
      <c r="AL5" s="285"/>
      <c r="AM5" s="283">
        <f>'10'!K19</f>
        <v>23755.86</v>
      </c>
      <c r="AN5" s="284"/>
      <c r="AO5" s="284"/>
      <c r="AP5" s="285"/>
      <c r="AQ5" s="283">
        <f>'11'!K19</f>
        <v>15101.890000000001</v>
      </c>
      <c r="AR5" s="284"/>
      <c r="AS5" s="284"/>
      <c r="AT5" s="285"/>
      <c r="AU5" s="283">
        <f>'12'!K19</f>
        <v>15101.890000000001</v>
      </c>
      <c r="AV5" s="284"/>
      <c r="AW5" s="284"/>
      <c r="AX5" s="285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8" t="s">
        <v>6</v>
      </c>
      <c r="B7" s="47" t="s">
        <v>66</v>
      </c>
      <c r="C7" s="277" t="s">
        <v>7</v>
      </c>
      <c r="D7" s="278"/>
      <c r="E7" s="278"/>
      <c r="F7" s="279"/>
      <c r="G7" s="277" t="s">
        <v>7</v>
      </c>
      <c r="H7" s="278"/>
      <c r="I7" s="278"/>
      <c r="J7" s="279"/>
      <c r="K7" s="277" t="s">
        <v>7</v>
      </c>
      <c r="L7" s="278"/>
      <c r="M7" s="278"/>
      <c r="N7" s="279"/>
      <c r="O7" s="277" t="s">
        <v>7</v>
      </c>
      <c r="P7" s="278"/>
      <c r="Q7" s="278"/>
      <c r="R7" s="279"/>
      <c r="S7" s="277" t="s">
        <v>7</v>
      </c>
      <c r="T7" s="278"/>
      <c r="U7" s="278"/>
      <c r="V7" s="279"/>
      <c r="W7" s="277" t="s">
        <v>7</v>
      </c>
      <c r="X7" s="278"/>
      <c r="Y7" s="278"/>
      <c r="Z7" s="279"/>
      <c r="AA7" s="277" t="s">
        <v>7</v>
      </c>
      <c r="AB7" s="278"/>
      <c r="AC7" s="278"/>
      <c r="AD7" s="279"/>
      <c r="AE7" s="277" t="s">
        <v>7</v>
      </c>
      <c r="AF7" s="278"/>
      <c r="AG7" s="278"/>
      <c r="AH7" s="279"/>
      <c r="AI7" s="277" t="s">
        <v>7</v>
      </c>
      <c r="AJ7" s="278"/>
      <c r="AK7" s="278"/>
      <c r="AL7" s="279"/>
      <c r="AM7" s="277" t="s">
        <v>7</v>
      </c>
      <c r="AN7" s="278"/>
      <c r="AO7" s="278"/>
      <c r="AP7" s="279"/>
      <c r="AQ7" s="277" t="s">
        <v>7</v>
      </c>
      <c r="AR7" s="278"/>
      <c r="AS7" s="278"/>
      <c r="AT7" s="279"/>
      <c r="AU7" s="277" t="s">
        <v>7</v>
      </c>
      <c r="AV7" s="278"/>
      <c r="AW7" s="278"/>
      <c r="AX7" s="279"/>
      <c r="AY7" s="10" t="s">
        <v>8</v>
      </c>
      <c r="AZ7" s="25" t="s">
        <v>619</v>
      </c>
      <c r="BA7" s="1"/>
      <c r="BB7" s="1"/>
    </row>
    <row r="8" spans="1:54" ht="15.75">
      <c r="A8" s="11" t="s">
        <v>124</v>
      </c>
      <c r="B8" s="199">
        <v>28683.489999999998</v>
      </c>
      <c r="C8" s="280">
        <v>2317.46</v>
      </c>
      <c r="D8" s="281"/>
      <c r="E8" s="281"/>
      <c r="F8" s="282"/>
      <c r="G8" s="280">
        <f>2317.46+1638.24</f>
        <v>3955.7</v>
      </c>
      <c r="H8" s="281"/>
      <c r="I8" s="281"/>
      <c r="J8" s="282"/>
      <c r="K8" s="280">
        <v>2320.84</v>
      </c>
      <c r="L8" s="281"/>
      <c r="M8" s="281"/>
      <c r="N8" s="282"/>
      <c r="O8" s="280">
        <v>2325.9</v>
      </c>
      <c r="P8" s="281"/>
      <c r="Q8" s="281"/>
      <c r="R8" s="282"/>
      <c r="S8" s="280">
        <v>2321.1799999999998</v>
      </c>
      <c r="T8" s="281"/>
      <c r="U8" s="281"/>
      <c r="V8" s="282"/>
      <c r="W8" s="280">
        <v>3973.79</v>
      </c>
      <c r="X8" s="281"/>
      <c r="Y8" s="281"/>
      <c r="Z8" s="282"/>
      <c r="AA8" s="280">
        <v>2328.91</v>
      </c>
      <c r="AB8" s="281"/>
      <c r="AC8" s="281"/>
      <c r="AD8" s="282"/>
      <c r="AE8" s="280">
        <v>2318.6999999999998</v>
      </c>
      <c r="AF8" s="281"/>
      <c r="AG8" s="281"/>
      <c r="AH8" s="282"/>
      <c r="AI8" s="280">
        <v>2328.61</v>
      </c>
      <c r="AJ8" s="281"/>
      <c r="AK8" s="281"/>
      <c r="AL8" s="282"/>
      <c r="AM8" s="280"/>
      <c r="AN8" s="281"/>
      <c r="AO8" s="281"/>
      <c r="AP8" s="282"/>
      <c r="AQ8" s="280"/>
      <c r="AR8" s="281"/>
      <c r="AS8" s="281"/>
      <c r="AT8" s="282"/>
      <c r="AU8" s="280"/>
      <c r="AV8" s="281"/>
      <c r="AW8" s="281"/>
      <c r="AX8" s="282"/>
      <c r="AY8" s="12">
        <f>SUM(C8:AU8)</f>
        <v>24191.09</v>
      </c>
      <c r="AZ8" s="163">
        <f t="shared" ref="AZ8:AZ16" ca="1" si="0">AY8/BB$17</f>
        <v>2419.1089999999999</v>
      </c>
      <c r="BA8" s="1"/>
      <c r="BB8" s="1"/>
    </row>
    <row r="9" spans="1:54" ht="15.75">
      <c r="A9" s="13" t="s">
        <v>125</v>
      </c>
      <c r="B9" s="200">
        <v>4981.99</v>
      </c>
      <c r="C9" s="267">
        <f>72.66+314.12</f>
        <v>386.78</v>
      </c>
      <c r="D9" s="268"/>
      <c r="E9" s="268"/>
      <c r="F9" s="269"/>
      <c r="G9" s="267">
        <f>176.46</f>
        <v>176.46</v>
      </c>
      <c r="H9" s="268"/>
      <c r="I9" s="268"/>
      <c r="J9" s="269"/>
      <c r="K9" s="267">
        <f>259.63+176.46</f>
        <v>436.09000000000003</v>
      </c>
      <c r="L9" s="268"/>
      <c r="M9" s="268"/>
      <c r="N9" s="269"/>
      <c r="O9" s="267">
        <f>249.22+197.22+325.64</f>
        <v>772.07999999999993</v>
      </c>
      <c r="P9" s="268"/>
      <c r="Q9" s="268"/>
      <c r="R9" s="269"/>
      <c r="S9" s="267">
        <f>155.7+267.29</f>
        <v>422.99</v>
      </c>
      <c r="T9" s="268"/>
      <c r="U9" s="268"/>
      <c r="V9" s="269"/>
      <c r="W9" s="267">
        <f>197.22</f>
        <v>197.22</v>
      </c>
      <c r="X9" s="268"/>
      <c r="Y9" s="268"/>
      <c r="Z9" s="269"/>
      <c r="AA9" s="267">
        <f>786.42+134.94+83.04</f>
        <v>1004.3999999999999</v>
      </c>
      <c r="AB9" s="268"/>
      <c r="AC9" s="268"/>
      <c r="AD9" s="269"/>
      <c r="AE9" s="267">
        <f>269.88</f>
        <v>269.88</v>
      </c>
      <c r="AF9" s="268"/>
      <c r="AG9" s="268"/>
      <c r="AH9" s="269"/>
      <c r="AI9" s="267">
        <v>280.26</v>
      </c>
      <c r="AJ9" s="268"/>
      <c r="AK9" s="268"/>
      <c r="AL9" s="269"/>
      <c r="AM9" s="267">
        <f>'10'!K25+'10'!K28</f>
        <v>410.53</v>
      </c>
      <c r="AN9" s="268"/>
      <c r="AO9" s="268"/>
      <c r="AP9" s="269"/>
      <c r="AQ9" s="267"/>
      <c r="AR9" s="268"/>
      <c r="AS9" s="268"/>
      <c r="AT9" s="269"/>
      <c r="AU9" s="267"/>
      <c r="AV9" s="268"/>
      <c r="AW9" s="268"/>
      <c r="AX9" s="269"/>
      <c r="AY9" s="14">
        <f t="shared" ref="AY9:AY15" si="1">SUM(C9:AX9)</f>
        <v>4356.6899999999996</v>
      </c>
      <c r="AZ9" s="163">
        <f t="shared" ca="1" si="0"/>
        <v>435.66899999999998</v>
      </c>
      <c r="BA9" s="1"/>
      <c r="BB9" s="1"/>
    </row>
    <row r="10" spans="1:54" ht="15.75">
      <c r="A10" s="15" t="s">
        <v>126</v>
      </c>
      <c r="B10" s="201">
        <v>723.38</v>
      </c>
      <c r="C10" s="270">
        <v>90.43</v>
      </c>
      <c r="D10" s="271"/>
      <c r="E10" s="271"/>
      <c r="F10" s="272"/>
      <c r="G10" s="270">
        <f>1117.39-956.06</f>
        <v>161.33000000000015</v>
      </c>
      <c r="H10" s="271"/>
      <c r="I10" s="271"/>
      <c r="J10" s="272"/>
      <c r="K10" s="270">
        <v>285.58</v>
      </c>
      <c r="L10" s="271"/>
      <c r="M10" s="271"/>
      <c r="N10" s="272"/>
      <c r="O10" s="270">
        <f>275.29+42.8</f>
        <v>318.09000000000003</v>
      </c>
      <c r="P10" s="271"/>
      <c r="Q10" s="271"/>
      <c r="R10" s="272"/>
      <c r="S10" s="270">
        <f>421.56</f>
        <v>421.56</v>
      </c>
      <c r="T10" s="271"/>
      <c r="U10" s="271"/>
      <c r="V10" s="272"/>
      <c r="W10" s="270">
        <v>341.74</v>
      </c>
      <c r="X10" s="271"/>
      <c r="Y10" s="271"/>
      <c r="Z10" s="272"/>
      <c r="AA10" s="270">
        <v>234.71</v>
      </c>
      <c r="AB10" s="271"/>
      <c r="AC10" s="271"/>
      <c r="AD10" s="272"/>
      <c r="AE10" s="270">
        <v>83.23</v>
      </c>
      <c r="AF10" s="271"/>
      <c r="AG10" s="271"/>
      <c r="AH10" s="272"/>
      <c r="AI10" s="270">
        <f>300+99.65</f>
        <v>399.65</v>
      </c>
      <c r="AJ10" s="271"/>
      <c r="AK10" s="271"/>
      <c r="AL10" s="272"/>
      <c r="AM10" s="270"/>
      <c r="AN10" s="271"/>
      <c r="AO10" s="271"/>
      <c r="AP10" s="272"/>
      <c r="AQ10" s="270"/>
      <c r="AR10" s="271"/>
      <c r="AS10" s="271"/>
      <c r="AT10" s="272"/>
      <c r="AU10" s="270"/>
      <c r="AV10" s="271"/>
      <c r="AW10" s="271"/>
      <c r="AX10" s="272"/>
      <c r="AY10" s="16">
        <f t="shared" si="1"/>
        <v>2336.3200000000002</v>
      </c>
      <c r="AZ10" s="163">
        <f t="shared" ca="1" si="0"/>
        <v>233.63200000000001</v>
      </c>
      <c r="BA10" s="1"/>
      <c r="BB10" s="1"/>
    </row>
    <row r="11" spans="1:54" ht="15.75">
      <c r="A11" s="13" t="s">
        <v>127</v>
      </c>
      <c r="B11" s="200">
        <v>180.64</v>
      </c>
      <c r="C11" s="267">
        <f>1.01+0.04+2831.41+0.05</f>
        <v>2832.51</v>
      </c>
      <c r="D11" s="268"/>
      <c r="E11" s="268"/>
      <c r="F11" s="269"/>
      <c r="G11" s="267"/>
      <c r="H11" s="268"/>
      <c r="I11" s="268"/>
      <c r="J11" s="269"/>
      <c r="K11" s="267"/>
      <c r="L11" s="268"/>
      <c r="M11" s="268"/>
      <c r="N11" s="269"/>
      <c r="O11" s="267">
        <v>0.03</v>
      </c>
      <c r="P11" s="268"/>
      <c r="Q11" s="268"/>
      <c r="R11" s="269"/>
      <c r="S11" s="267">
        <f>38.64</f>
        <v>38.64</v>
      </c>
      <c r="T11" s="268"/>
      <c r="U11" s="268"/>
      <c r="V11" s="269"/>
      <c r="W11" s="267"/>
      <c r="X11" s="268"/>
      <c r="Y11" s="268"/>
      <c r="Z11" s="269"/>
      <c r="AA11" s="267">
        <f>0.02</f>
        <v>0.02</v>
      </c>
      <c r="AB11" s="268"/>
      <c r="AC11" s="268"/>
      <c r="AD11" s="269"/>
      <c r="AE11" s="267"/>
      <c r="AF11" s="268"/>
      <c r="AG11" s="268"/>
      <c r="AH11" s="269"/>
      <c r="AI11" s="267"/>
      <c r="AJ11" s="268"/>
      <c r="AK11" s="268"/>
      <c r="AL11" s="269"/>
      <c r="AM11" s="267">
        <f>'10'!K27</f>
        <v>0.06</v>
      </c>
      <c r="AN11" s="268"/>
      <c r="AO11" s="268"/>
      <c r="AP11" s="269"/>
      <c r="AQ11" s="267"/>
      <c r="AR11" s="268"/>
      <c r="AS11" s="268"/>
      <c r="AT11" s="269"/>
      <c r="AU11" s="267"/>
      <c r="AV11" s="268"/>
      <c r="AW11" s="268"/>
      <c r="AX11" s="269"/>
      <c r="AY11" s="14">
        <f t="shared" si="1"/>
        <v>2871.26</v>
      </c>
      <c r="AZ11" s="163">
        <f t="shared" ca="1" si="0"/>
        <v>287.12600000000003</v>
      </c>
      <c r="BA11" s="1"/>
      <c r="BB11" s="1"/>
    </row>
    <row r="12" spans="1:54" ht="15.75">
      <c r="A12" s="15" t="s">
        <v>128</v>
      </c>
      <c r="B12" s="201">
        <v>626.6</v>
      </c>
      <c r="C12" s="270">
        <f>700+50+449</f>
        <v>1199</v>
      </c>
      <c r="D12" s="271"/>
      <c r="E12" s="271"/>
      <c r="F12" s="272"/>
      <c r="G12" s="270">
        <v>447.43</v>
      </c>
      <c r="H12" s="271"/>
      <c r="I12" s="271"/>
      <c r="J12" s="272"/>
      <c r="K12" s="270"/>
      <c r="L12" s="271"/>
      <c r="M12" s="271"/>
      <c r="N12" s="272"/>
      <c r="O12" s="270">
        <f>80.1</f>
        <v>80.099999999999994</v>
      </c>
      <c r="P12" s="271"/>
      <c r="Q12" s="271"/>
      <c r="R12" s="272"/>
      <c r="S12" s="270"/>
      <c r="T12" s="271"/>
      <c r="U12" s="271"/>
      <c r="V12" s="272"/>
      <c r="W12" s="270">
        <f>200</f>
        <v>200</v>
      </c>
      <c r="X12" s="271"/>
      <c r="Y12" s="271"/>
      <c r="Z12" s="272"/>
      <c r="AA12" s="270">
        <f>106.3</f>
        <v>106.3</v>
      </c>
      <c r="AB12" s="271"/>
      <c r="AC12" s="271"/>
      <c r="AD12" s="272"/>
      <c r="AE12" s="270"/>
      <c r="AF12" s="271"/>
      <c r="AG12" s="271"/>
      <c r="AH12" s="272"/>
      <c r="AI12" s="270">
        <v>500</v>
      </c>
      <c r="AJ12" s="271"/>
      <c r="AK12" s="271"/>
      <c r="AL12" s="272"/>
      <c r="AM12" s="270"/>
      <c r="AN12" s="271"/>
      <c r="AO12" s="271"/>
      <c r="AP12" s="272"/>
      <c r="AQ12" s="270"/>
      <c r="AR12" s="271"/>
      <c r="AS12" s="271"/>
      <c r="AT12" s="272"/>
      <c r="AU12" s="270"/>
      <c r="AV12" s="271"/>
      <c r="AW12" s="271"/>
      <c r="AX12" s="272"/>
      <c r="AY12" s="16">
        <f t="shared" si="1"/>
        <v>2532.83</v>
      </c>
      <c r="AZ12" s="163">
        <f t="shared" ca="1" si="0"/>
        <v>253.28299999999999</v>
      </c>
      <c r="BA12" s="1"/>
      <c r="BB12" s="1"/>
    </row>
    <row r="13" spans="1:54" ht="15.75">
      <c r="A13" s="13" t="s">
        <v>129</v>
      </c>
      <c r="B13" s="202">
        <v>3448.3199999999993</v>
      </c>
      <c r="C13" s="267">
        <f>93.93</f>
        <v>93.93</v>
      </c>
      <c r="D13" s="268"/>
      <c r="E13" s="268"/>
      <c r="F13" s="269"/>
      <c r="G13" s="267">
        <f>93.93</f>
        <v>93.93</v>
      </c>
      <c r="H13" s="268"/>
      <c r="I13" s="268"/>
      <c r="J13" s="269"/>
      <c r="K13" s="267">
        <f>93.93</f>
        <v>93.93</v>
      </c>
      <c r="L13" s="268"/>
      <c r="M13" s="268"/>
      <c r="N13" s="269"/>
      <c r="O13" s="267">
        <f>93.93+2290.23</f>
        <v>2384.16</v>
      </c>
      <c r="P13" s="268"/>
      <c r="Q13" s="268"/>
      <c r="R13" s="269"/>
      <c r="S13" s="267">
        <f>93.93</f>
        <v>93.93</v>
      </c>
      <c r="T13" s="268"/>
      <c r="U13" s="268"/>
      <c r="V13" s="269"/>
      <c r="W13" s="267">
        <f>93.93</f>
        <v>93.93</v>
      </c>
      <c r="X13" s="268"/>
      <c r="Y13" s="268"/>
      <c r="Z13" s="269"/>
      <c r="AA13" s="267">
        <f>93.93</f>
        <v>93.93</v>
      </c>
      <c r="AB13" s="268"/>
      <c r="AC13" s="268"/>
      <c r="AD13" s="269"/>
      <c r="AE13" s="267">
        <v>114.74</v>
      </c>
      <c r="AF13" s="268"/>
      <c r="AG13" s="268"/>
      <c r="AH13" s="269"/>
      <c r="AI13" s="267">
        <v>93.93</v>
      </c>
      <c r="AJ13" s="268"/>
      <c r="AK13" s="268"/>
      <c r="AL13" s="269"/>
      <c r="AM13" s="267">
        <v>95.8</v>
      </c>
      <c r="AN13" s="268"/>
      <c r="AO13" s="268"/>
      <c r="AP13" s="269"/>
      <c r="AQ13" s="267"/>
      <c r="AR13" s="268"/>
      <c r="AS13" s="268"/>
      <c r="AT13" s="269"/>
      <c r="AU13" s="267"/>
      <c r="AV13" s="268"/>
      <c r="AW13" s="268"/>
      <c r="AX13" s="269"/>
      <c r="AY13" s="17">
        <f t="shared" si="1"/>
        <v>3252.2099999999991</v>
      </c>
      <c r="AZ13" s="163">
        <f t="shared" ca="1" si="0"/>
        <v>325.22099999999989</v>
      </c>
      <c r="BA13" s="1"/>
      <c r="BB13" s="1"/>
    </row>
    <row r="14" spans="1:54" ht="15.75">
      <c r="A14" s="15" t="s">
        <v>130</v>
      </c>
      <c r="B14" s="201">
        <v>795.41</v>
      </c>
      <c r="C14" s="270"/>
      <c r="D14" s="271"/>
      <c r="E14" s="271"/>
      <c r="F14" s="272"/>
      <c r="G14" s="270">
        <f>27.27+13.86+8.75+34.09</f>
        <v>83.97</v>
      </c>
      <c r="H14" s="271"/>
      <c r="I14" s="271"/>
      <c r="J14" s="272"/>
      <c r="K14" s="270"/>
      <c r="L14" s="271"/>
      <c r="M14" s="271"/>
      <c r="N14" s="272"/>
      <c r="O14" s="270">
        <f>25+27.27+16.9+26.12</f>
        <v>95.289999999999992</v>
      </c>
      <c r="P14" s="271"/>
      <c r="Q14" s="271"/>
      <c r="R14" s="272"/>
      <c r="S14" s="270">
        <f>22.09+27.27</f>
        <v>49.36</v>
      </c>
      <c r="T14" s="271"/>
      <c r="U14" s="271"/>
      <c r="V14" s="272"/>
      <c r="W14" s="270">
        <f>8.75+27.27+27.27</f>
        <v>63.289999999999992</v>
      </c>
      <c r="X14" s="271"/>
      <c r="Y14" s="271"/>
      <c r="Z14" s="272"/>
      <c r="AA14" s="270"/>
      <c r="AB14" s="271"/>
      <c r="AC14" s="271"/>
      <c r="AD14" s="272"/>
      <c r="AE14" s="270"/>
      <c r="AF14" s="271"/>
      <c r="AG14" s="271"/>
      <c r="AH14" s="272"/>
      <c r="AI14" s="270"/>
      <c r="AJ14" s="271"/>
      <c r="AK14" s="271"/>
      <c r="AL14" s="272"/>
      <c r="AM14" s="270"/>
      <c r="AN14" s="271"/>
      <c r="AO14" s="271"/>
      <c r="AP14" s="272"/>
      <c r="AQ14" s="270"/>
      <c r="AR14" s="271"/>
      <c r="AS14" s="271"/>
      <c r="AT14" s="272"/>
      <c r="AU14" s="270"/>
      <c r="AV14" s="271"/>
      <c r="AW14" s="271"/>
      <c r="AX14" s="272"/>
      <c r="AY14" s="16">
        <f t="shared" si="1"/>
        <v>291.90999999999997</v>
      </c>
      <c r="AZ14" s="163">
        <f t="shared" ca="1" si="0"/>
        <v>29.190999999999995</v>
      </c>
      <c r="BA14" s="3"/>
      <c r="BB14" s="3"/>
    </row>
    <row r="15" spans="1:54" ht="15.75">
      <c r="A15" s="13" t="s">
        <v>131</v>
      </c>
      <c r="B15" s="200">
        <v>2461.34</v>
      </c>
      <c r="C15" s="267">
        <v>648.49</v>
      </c>
      <c r="D15" s="268"/>
      <c r="E15" s="268"/>
      <c r="F15" s="269"/>
      <c r="G15" s="267">
        <v>550</v>
      </c>
      <c r="H15" s="268"/>
      <c r="I15" s="268"/>
      <c r="J15" s="269"/>
      <c r="K15" s="267">
        <v>690</v>
      </c>
      <c r="L15" s="268"/>
      <c r="M15" s="268"/>
      <c r="N15" s="269"/>
      <c r="O15" s="267">
        <f>550</f>
        <v>550</v>
      </c>
      <c r="P15" s="268"/>
      <c r="Q15" s="268"/>
      <c r="R15" s="269"/>
      <c r="S15" s="267">
        <v>650.01</v>
      </c>
      <c r="T15" s="268"/>
      <c r="U15" s="268"/>
      <c r="V15" s="269"/>
      <c r="W15" s="267">
        <v>568.34</v>
      </c>
      <c r="X15" s="268"/>
      <c r="Y15" s="268"/>
      <c r="Z15" s="269"/>
      <c r="AA15" s="267">
        <v>632.86</v>
      </c>
      <c r="AB15" s="268"/>
      <c r="AC15" s="268"/>
      <c r="AD15" s="269"/>
      <c r="AE15" s="267">
        <v>550</v>
      </c>
      <c r="AF15" s="268"/>
      <c r="AG15" s="268"/>
      <c r="AH15" s="269"/>
      <c r="AI15" s="267">
        <v>586.85</v>
      </c>
      <c r="AJ15" s="268"/>
      <c r="AK15" s="268"/>
      <c r="AL15" s="269"/>
      <c r="AM15" s="273">
        <f>'10'!K26</f>
        <v>550</v>
      </c>
      <c r="AN15" s="268"/>
      <c r="AO15" s="268"/>
      <c r="AP15" s="269"/>
      <c r="AQ15" s="267"/>
      <c r="AR15" s="268"/>
      <c r="AS15" s="268"/>
      <c r="AT15" s="269"/>
      <c r="AU15" s="267"/>
      <c r="AV15" s="268"/>
      <c r="AW15" s="268"/>
      <c r="AX15" s="269"/>
      <c r="AY15" s="14">
        <f t="shared" si="1"/>
        <v>5976.55</v>
      </c>
      <c r="AZ15" s="163">
        <f t="shared" ca="1" si="0"/>
        <v>597.65499999999997</v>
      </c>
      <c r="BA15" s="1"/>
      <c r="BB15" s="1"/>
    </row>
    <row r="16" spans="1:54" ht="16.5" thickBot="1">
      <c r="A16" s="15" t="s">
        <v>132</v>
      </c>
      <c r="B16" s="203">
        <v>15626.78</v>
      </c>
      <c r="C16" s="264">
        <f>28.78+200.62+1566.27</f>
        <v>1795.67</v>
      </c>
      <c r="D16" s="265"/>
      <c r="E16" s="265"/>
      <c r="F16" s="266"/>
      <c r="G16" s="264">
        <f>47.52</f>
        <v>47.52</v>
      </c>
      <c r="H16" s="265"/>
      <c r="I16" s="265"/>
      <c r="J16" s="266"/>
      <c r="K16" s="264"/>
      <c r="L16" s="265"/>
      <c r="M16" s="265"/>
      <c r="N16" s="266"/>
      <c r="O16" s="264"/>
      <c r="P16" s="265"/>
      <c r="Q16" s="265"/>
      <c r="R16" s="266"/>
      <c r="S16" s="264"/>
      <c r="T16" s="265"/>
      <c r="U16" s="265"/>
      <c r="V16" s="266"/>
      <c r="W16" s="264"/>
      <c r="X16" s="265"/>
      <c r="Y16" s="265"/>
      <c r="Z16" s="266"/>
      <c r="AA16" s="264">
        <v>26.77</v>
      </c>
      <c r="AB16" s="265"/>
      <c r="AC16" s="265"/>
      <c r="AD16" s="266"/>
      <c r="AE16" s="264">
        <v>49</v>
      </c>
      <c r="AF16" s="265"/>
      <c r="AG16" s="265"/>
      <c r="AH16" s="266"/>
      <c r="AI16" s="264"/>
      <c r="AJ16" s="265"/>
      <c r="AK16" s="265"/>
      <c r="AL16" s="266"/>
      <c r="AM16" s="264"/>
      <c r="AN16" s="265"/>
      <c r="AO16" s="265"/>
      <c r="AP16" s="266"/>
      <c r="AQ16" s="264"/>
      <c r="AR16" s="265"/>
      <c r="AS16" s="265"/>
      <c r="AT16" s="266"/>
      <c r="AU16" s="264"/>
      <c r="AV16" s="265"/>
      <c r="AW16" s="265"/>
      <c r="AX16" s="266"/>
      <c r="AY16" s="85">
        <f>SUM(C16:AX16)</f>
        <v>1918.96</v>
      </c>
      <c r="AZ16" s="163">
        <f t="shared" ca="1" si="0"/>
        <v>191.89600000000002</v>
      </c>
      <c r="BA16" s="3"/>
      <c r="BB16" s="3"/>
    </row>
    <row r="17" spans="1:64" ht="16.5" thickBot="1">
      <c r="A17" s="6" t="s">
        <v>5</v>
      </c>
      <c r="B17" s="204">
        <f>SUM(B8:B16)</f>
        <v>57527.95</v>
      </c>
      <c r="C17" s="260">
        <f>SUM(C8:C16)</f>
        <v>9364.27</v>
      </c>
      <c r="D17" s="261"/>
      <c r="E17" s="261"/>
      <c r="F17" s="262"/>
      <c r="G17" s="260">
        <f>SUM(G8:G16)</f>
        <v>5516.3400000000011</v>
      </c>
      <c r="H17" s="261"/>
      <c r="I17" s="261"/>
      <c r="J17" s="262"/>
      <c r="K17" s="260">
        <f>SUM(K8:K16)</f>
        <v>3826.44</v>
      </c>
      <c r="L17" s="261"/>
      <c r="M17" s="261"/>
      <c r="N17" s="262"/>
      <c r="O17" s="260">
        <f>SUM(O8:O16)</f>
        <v>6525.6500000000005</v>
      </c>
      <c r="P17" s="261"/>
      <c r="Q17" s="261"/>
      <c r="R17" s="262"/>
      <c r="S17" s="260">
        <f>SUM(S8:S16)</f>
        <v>3997.67</v>
      </c>
      <c r="T17" s="261"/>
      <c r="U17" s="261"/>
      <c r="V17" s="262"/>
      <c r="W17" s="260">
        <f>SUM(W8:W16)</f>
        <v>5438.31</v>
      </c>
      <c r="X17" s="261"/>
      <c r="Y17" s="261"/>
      <c r="Z17" s="262"/>
      <c r="AA17" s="260">
        <f>SUM(AA8:AA16)</f>
        <v>4427.8999999999996</v>
      </c>
      <c r="AB17" s="261"/>
      <c r="AC17" s="261"/>
      <c r="AD17" s="262"/>
      <c r="AE17" s="260">
        <f>SUM(AE8:AE16)</f>
        <v>3385.5499999999997</v>
      </c>
      <c r="AF17" s="261"/>
      <c r="AG17" s="261"/>
      <c r="AH17" s="262"/>
      <c r="AI17" s="260">
        <f>SUM(AI8:AI16)</f>
        <v>4189.3</v>
      </c>
      <c r="AJ17" s="261"/>
      <c r="AK17" s="261"/>
      <c r="AL17" s="262"/>
      <c r="AM17" s="260">
        <f>SUM(AM8:AM16)</f>
        <v>1056.3899999999999</v>
      </c>
      <c r="AN17" s="261"/>
      <c r="AO17" s="261"/>
      <c r="AP17" s="262"/>
      <c r="AQ17" s="260">
        <f>SUM(AQ8:AQ16)</f>
        <v>0</v>
      </c>
      <c r="AR17" s="261"/>
      <c r="AS17" s="261"/>
      <c r="AT17" s="262"/>
      <c r="AU17" s="260">
        <f>SUM(AU8:AU16)</f>
        <v>0</v>
      </c>
      <c r="AV17" s="261"/>
      <c r="AW17" s="261"/>
      <c r="AX17" s="262"/>
      <c r="AY17" s="18">
        <f>SUM(AY8:AY16)</f>
        <v>47727.820000000007</v>
      </c>
      <c r="AZ17" s="163">
        <f ca="1">AY17/BB$17</f>
        <v>4772.7820000000011</v>
      </c>
      <c r="BA17" s="1" t="s">
        <v>117</v>
      </c>
      <c r="BB17" s="1">
        <f ca="1">MONTH(TODAY())</f>
        <v>10</v>
      </c>
      <c r="BC17" s="87"/>
    </row>
    <row r="18" spans="1:64" ht="32.25" customHeight="1" thickTop="1" thickBot="1">
      <c r="A18" s="19"/>
      <c r="B18" s="19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 t="s">
        <v>477</v>
      </c>
      <c r="AV18" s="263"/>
      <c r="AW18" s="263"/>
      <c r="AX18" s="263"/>
      <c r="AY18" s="217">
        <f>(2250*13)+5500+(550*12)+(93.93*12)</f>
        <v>42477.16</v>
      </c>
      <c r="AZ18" s="217">
        <f ca="1">12*AZ17</f>
        <v>57273.384000000013</v>
      </c>
      <c r="BA18" s="1"/>
      <c r="BB18" s="1"/>
    </row>
    <row r="19" spans="1:64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620</v>
      </c>
      <c r="BJ19" s="25" t="s">
        <v>623</v>
      </c>
      <c r="BK19" s="25" t="s">
        <v>621</v>
      </c>
      <c r="BL19" s="25" t="s">
        <v>622</v>
      </c>
    </row>
    <row r="20" spans="1:64" ht="16.5" thickBot="1">
      <c r="A20" s="38" t="s">
        <v>497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304.2</v>
      </c>
      <c r="AP20" s="178">
        <f t="shared" ref="AP20:AP45" si="11">AL20+AN20-AO20</f>
        <v>528.59999999999991</v>
      </c>
      <c r="AQ20" s="26" t="s">
        <v>114</v>
      </c>
      <c r="AR20" s="177">
        <f>'11'!B20</f>
        <v>544</v>
      </c>
      <c r="AS20" s="177">
        <f>SUM('11'!D20:F20)</f>
        <v>0</v>
      </c>
      <c r="AT20" s="178">
        <f t="shared" ref="AT20:AT45" si="12">AP20+AR20-AS20</f>
        <v>1072.5999999999999</v>
      </c>
      <c r="AU20" s="26" t="s">
        <v>118</v>
      </c>
      <c r="AV20" s="177">
        <f>'12'!B20</f>
        <v>544</v>
      </c>
      <c r="AW20" s="177">
        <f>SUM('12'!D20:F20)</f>
        <v>0</v>
      </c>
      <c r="AX20" s="178">
        <f t="shared" ref="AX20:AX45" si="13">AT20+AV20-AW20</f>
        <v>1616.6</v>
      </c>
      <c r="AY20" s="39">
        <f t="shared" ref="AY20:AY27" si="14">E20+I20+M20+Q20+U20+Y20+AC20+AG20+AK20+AO20+AS20+AW20</f>
        <v>6814.4099999999989</v>
      </c>
      <c r="AZ20" s="40">
        <f t="shared" ref="AZ20:AZ45" si="15">AY20/AY$46</f>
        <v>0.15768753366914542</v>
      </c>
      <c r="BA20" s="41">
        <f>_xlfn.RANK.EQ(AZ20,$AZ$20:$AZ$45,)</f>
        <v>2</v>
      </c>
      <c r="BB20" s="41">
        <f t="shared" ref="BB20:BB45" ca="1" si="16">AY20/BB$17</f>
        <v>681.44099999999992</v>
      </c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7056.6</v>
      </c>
      <c r="BJ20" s="40">
        <f t="shared" ref="BJ20:BJ45" ca="1" si="17">BI20/BI$46</f>
        <v>0.14785397392912411</v>
      </c>
      <c r="BK20" s="41">
        <f ca="1">_xlfn.RANK.EQ(BJ20,$BJ$20:$BJ$45,)</f>
        <v>2</v>
      </c>
      <c r="BL20" s="41">
        <f ca="1">BI20/BB$17</f>
        <v>705.66000000000008</v>
      </c>
    </row>
    <row r="21" spans="1:64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1014.4000000000001</v>
      </c>
      <c r="AP21" s="181">
        <f t="shared" si="11"/>
        <v>830.69999999999982</v>
      </c>
      <c r="AQ21" s="27" t="s">
        <v>114</v>
      </c>
      <c r="AR21" s="179">
        <f>'11'!B40</f>
        <v>1128</v>
      </c>
      <c r="AS21" s="180">
        <f>SUM('11'!D40:F40)</f>
        <v>0</v>
      </c>
      <c r="AT21" s="181">
        <f t="shared" si="12"/>
        <v>1958.6999999999998</v>
      </c>
      <c r="AU21" s="27" t="s">
        <v>118</v>
      </c>
      <c r="AV21" s="179">
        <f>'12'!B40</f>
        <v>1128</v>
      </c>
      <c r="AW21" s="180">
        <f>SUM('12'!D40:F40)</f>
        <v>0</v>
      </c>
      <c r="AX21" s="181">
        <f t="shared" si="13"/>
        <v>3086.7</v>
      </c>
      <c r="AY21" s="44">
        <f t="shared" si="14"/>
        <v>10876.22</v>
      </c>
      <c r="AZ21" s="40">
        <f t="shared" si="15"/>
        <v>0.25167906061464357</v>
      </c>
      <c r="BA21" s="41">
        <f t="shared" ref="BA21:BA45" si="18">_xlfn.RANK.EQ(AZ21,$AZ$20:$AZ$45,)</f>
        <v>1</v>
      </c>
      <c r="BB21" s="41">
        <f t="shared" ca="1" si="16"/>
        <v>1087.6219999999998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11706.92</v>
      </c>
      <c r="BJ21" s="40">
        <f t="shared" ca="1" si="17"/>
        <v>0.24529017437155876</v>
      </c>
      <c r="BK21" s="41">
        <f t="shared" ref="BK21:BK45" ca="1" si="20">_xlfn.RANK.EQ(BJ21,$BJ$20:$BJ$45,)</f>
        <v>1</v>
      </c>
      <c r="BL21" s="41">
        <f t="shared" ref="BL21:BL45" ca="1" si="21">BI21/BB$17</f>
        <v>1170.692</v>
      </c>
    </row>
    <row r="22" spans="1:64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347.41999999999996</v>
      </c>
      <c r="AP22" s="183">
        <f t="shared" si="11"/>
        <v>279.42000000000019</v>
      </c>
      <c r="AQ22" s="26" t="s">
        <v>114</v>
      </c>
      <c r="AR22" s="182">
        <f>'11'!B60</f>
        <v>490</v>
      </c>
      <c r="AS22" s="182">
        <f>SUM('11'!D60:F60)</f>
        <v>0</v>
      </c>
      <c r="AT22" s="183">
        <f t="shared" si="12"/>
        <v>769.42000000000019</v>
      </c>
      <c r="AU22" s="26" t="s">
        <v>118</v>
      </c>
      <c r="AV22" s="182">
        <f>'12'!B60</f>
        <v>490</v>
      </c>
      <c r="AW22" s="182">
        <f>SUM('12'!D60:F60)</f>
        <v>0</v>
      </c>
      <c r="AX22" s="183">
        <f t="shared" si="13"/>
        <v>1259.42</v>
      </c>
      <c r="AY22" s="42">
        <f t="shared" si="14"/>
        <v>4280.04</v>
      </c>
      <c r="AZ22" s="40">
        <f t="shared" si="15"/>
        <v>9.9041435957814297E-2</v>
      </c>
      <c r="BA22" s="41">
        <f t="shared" si="18"/>
        <v>3</v>
      </c>
      <c r="BB22" s="41">
        <f t="shared" ca="1" si="16"/>
        <v>428.00400000000002</v>
      </c>
      <c r="BI22" s="39">
        <f t="shared" ca="1" si="19"/>
        <v>4559.46</v>
      </c>
      <c r="BJ22" s="40">
        <f t="shared" ca="1" si="17"/>
        <v>9.5532449050659551E-2</v>
      </c>
      <c r="BK22" s="41">
        <f t="shared" ca="1" si="20"/>
        <v>4</v>
      </c>
      <c r="BL22" s="41">
        <f t="shared" ca="1" si="21"/>
        <v>455.94600000000003</v>
      </c>
    </row>
    <row r="23" spans="1:64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147.49</v>
      </c>
      <c r="AP23" s="181">
        <f t="shared" si="11"/>
        <v>73.56</v>
      </c>
      <c r="AQ23" s="27" t="s">
        <v>114</v>
      </c>
      <c r="AR23" s="179">
        <f>'11'!B80</f>
        <v>150</v>
      </c>
      <c r="AS23" s="180">
        <f>SUM('11'!D80:F80)</f>
        <v>0</v>
      </c>
      <c r="AT23" s="181">
        <f t="shared" si="12"/>
        <v>223.56</v>
      </c>
      <c r="AU23" s="27" t="s">
        <v>118</v>
      </c>
      <c r="AV23" s="179">
        <f>'12'!B80</f>
        <v>150</v>
      </c>
      <c r="AW23" s="180">
        <f>SUM('12'!D80:F80)</f>
        <v>0</v>
      </c>
      <c r="AX23" s="181">
        <f t="shared" si="13"/>
        <v>373.56</v>
      </c>
      <c r="AY23" s="44">
        <f t="shared" si="14"/>
        <v>1916.6399999999999</v>
      </c>
      <c r="AZ23" s="40">
        <f t="shared" si="15"/>
        <v>4.4351636389890092E-2</v>
      </c>
      <c r="BA23" s="41">
        <f t="shared" si="18"/>
        <v>7</v>
      </c>
      <c r="BB23" s="41">
        <f t="shared" ca="1" si="16"/>
        <v>191.66399999999999</v>
      </c>
      <c r="BI23" s="175">
        <f t="shared" ca="1" si="19"/>
        <v>1986.9399999999998</v>
      </c>
      <c r="BJ23" s="40">
        <f t="shared" ca="1" si="17"/>
        <v>4.1631518714215603E-2</v>
      </c>
      <c r="BK23" s="41">
        <f t="shared" ca="1" si="20"/>
        <v>8</v>
      </c>
      <c r="BL23" s="41">
        <f t="shared" ca="1" si="21"/>
        <v>198.69399999999999</v>
      </c>
    </row>
    <row r="24" spans="1:64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58.3</v>
      </c>
      <c r="AP24" s="183">
        <f t="shared" si="11"/>
        <v>97.060000000000016</v>
      </c>
      <c r="AQ24" s="26" t="s">
        <v>114</v>
      </c>
      <c r="AR24" s="182">
        <f>'11'!B100</f>
        <v>160</v>
      </c>
      <c r="AS24" s="182">
        <f>SUM('11'!D100:F100)</f>
        <v>0</v>
      </c>
      <c r="AT24" s="183">
        <f t="shared" si="12"/>
        <v>257.06</v>
      </c>
      <c r="AU24" s="26" t="s">
        <v>118</v>
      </c>
      <c r="AV24" s="182">
        <f>'12'!B100</f>
        <v>160</v>
      </c>
      <c r="AW24" s="182">
        <f>SUM('12'!D100:F100)</f>
        <v>0</v>
      </c>
      <c r="AX24" s="183">
        <f t="shared" si="13"/>
        <v>417.06</v>
      </c>
      <c r="AY24" s="42">
        <f t="shared" si="14"/>
        <v>1480.4</v>
      </c>
      <c r="AZ24" s="40">
        <f t="shared" si="15"/>
        <v>3.4256909232611911E-2</v>
      </c>
      <c r="BA24" s="41">
        <f t="shared" si="18"/>
        <v>9</v>
      </c>
      <c r="BB24" s="41">
        <f t="shared" ca="1" si="16"/>
        <v>148.04000000000002</v>
      </c>
      <c r="BI24" s="39">
        <f t="shared" ca="1" si="19"/>
        <v>1502.9</v>
      </c>
      <c r="BJ24" s="40">
        <f t="shared" ca="1" si="17"/>
        <v>3.1489632034985775E-2</v>
      </c>
      <c r="BK24" s="41">
        <f t="shared" ca="1" si="20"/>
        <v>9</v>
      </c>
      <c r="BL24" s="41">
        <f t="shared" ca="1" si="21"/>
        <v>150.29000000000002</v>
      </c>
    </row>
    <row r="25" spans="1:64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328.82000000000005</v>
      </c>
      <c r="AP25" s="181">
        <f t="shared" si="11"/>
        <v>3784.6199999999985</v>
      </c>
      <c r="AQ25" s="27" t="s">
        <v>114</v>
      </c>
      <c r="AR25" s="179">
        <f>'11'!B120</f>
        <v>400</v>
      </c>
      <c r="AS25" s="180">
        <f>SUM('11'!D120:F120)</f>
        <v>0</v>
      </c>
      <c r="AT25" s="181">
        <f t="shared" si="12"/>
        <v>4184.619999999999</v>
      </c>
      <c r="AU25" s="27" t="s">
        <v>118</v>
      </c>
      <c r="AV25" s="179">
        <f>'12'!B120</f>
        <v>505</v>
      </c>
      <c r="AW25" s="180">
        <f>SUM('12'!D120:F120)</f>
        <v>0</v>
      </c>
      <c r="AX25" s="181">
        <f t="shared" si="13"/>
        <v>4689.619999999999</v>
      </c>
      <c r="AY25" s="44">
        <f t="shared" si="14"/>
        <v>3290.2000000000012</v>
      </c>
      <c r="AZ25" s="40">
        <f t="shared" si="15"/>
        <v>7.6136235312847717E-2</v>
      </c>
      <c r="BA25" s="41">
        <f t="shared" si="18"/>
        <v>5</v>
      </c>
      <c r="BB25" s="41">
        <f t="shared" ca="1" si="16"/>
        <v>329.0200000000001</v>
      </c>
      <c r="BI25" s="175">
        <f t="shared" ca="1" si="19"/>
        <v>4000</v>
      </c>
      <c r="BJ25" s="40">
        <f t="shared" ca="1" si="17"/>
        <v>8.3810318810262227E-2</v>
      </c>
      <c r="BK25" s="41">
        <f t="shared" ca="1" si="20"/>
        <v>5</v>
      </c>
      <c r="BL25" s="41">
        <f t="shared" ca="1" si="21"/>
        <v>400</v>
      </c>
    </row>
    <row r="26" spans="1:64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7.99</v>
      </c>
      <c r="AP26" s="183">
        <f t="shared" si="11"/>
        <v>57.029999999999951</v>
      </c>
      <c r="AQ26" s="26" t="s">
        <v>114</v>
      </c>
      <c r="AR26" s="182">
        <f>'11'!B140</f>
        <v>48</v>
      </c>
      <c r="AS26" s="182">
        <f>SUM('11'!D140:F140)</f>
        <v>0</v>
      </c>
      <c r="AT26" s="183">
        <f t="shared" si="12"/>
        <v>105.02999999999994</v>
      </c>
      <c r="AU26" s="26" t="s">
        <v>118</v>
      </c>
      <c r="AV26" s="182">
        <f>'12'!B140</f>
        <v>48</v>
      </c>
      <c r="AW26" s="182">
        <f>SUM('12'!D140:F140)</f>
        <v>0</v>
      </c>
      <c r="AX26" s="183">
        <f t="shared" si="13"/>
        <v>153.02999999999994</v>
      </c>
      <c r="AY26" s="42">
        <f t="shared" si="14"/>
        <v>448.44000000000005</v>
      </c>
      <c r="AZ26" s="40">
        <f t="shared" si="15"/>
        <v>1.0377038892375363E-2</v>
      </c>
      <c r="BA26" s="41">
        <f t="shared" si="18"/>
        <v>16</v>
      </c>
      <c r="BB26" s="41">
        <f t="shared" ca="1" si="16"/>
        <v>44.844000000000008</v>
      </c>
      <c r="BI26" s="39">
        <f t="shared" ca="1" si="19"/>
        <v>471</v>
      </c>
      <c r="BJ26" s="40">
        <f t="shared" ca="1" si="17"/>
        <v>9.8686650399083774E-3</v>
      </c>
      <c r="BK26" s="41">
        <f t="shared" ca="1" si="20"/>
        <v>16</v>
      </c>
      <c r="BL26" s="41">
        <f t="shared" ca="1" si="21"/>
        <v>47.1</v>
      </c>
    </row>
    <row r="27" spans="1:64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0</v>
      </c>
      <c r="AT27" s="184">
        <f t="shared" si="12"/>
        <v>307.11</v>
      </c>
      <c r="AU27" s="27" t="s">
        <v>118</v>
      </c>
      <c r="AV27" s="179">
        <f>'12'!B160</f>
        <v>50</v>
      </c>
      <c r="AW27" s="179">
        <f>SUM('12'!D160:F160)</f>
        <v>0</v>
      </c>
      <c r="AX27" s="184">
        <f t="shared" si="13"/>
        <v>357.11</v>
      </c>
      <c r="AY27" s="44">
        <f t="shared" si="14"/>
        <v>398.28000000000003</v>
      </c>
      <c r="AZ27" s="40">
        <f t="shared" si="15"/>
        <v>9.2163211356151541E-3</v>
      </c>
      <c r="BA27" s="41">
        <f t="shared" si="18"/>
        <v>17</v>
      </c>
      <c r="BB27" s="41">
        <f t="shared" ca="1" si="16"/>
        <v>39.828000000000003</v>
      </c>
      <c r="BI27" s="175">
        <f t="shared" ca="1" si="19"/>
        <v>530</v>
      </c>
      <c r="BJ27" s="40">
        <f t="shared" ca="1" si="17"/>
        <v>1.1104867242359744E-2</v>
      </c>
      <c r="BK27" s="41">
        <f t="shared" ca="1" si="20"/>
        <v>15</v>
      </c>
      <c r="BL27" s="41">
        <f t="shared" ca="1" si="21"/>
        <v>53</v>
      </c>
    </row>
    <row r="28" spans="1:64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200</v>
      </c>
      <c r="AS28" s="182">
        <f>SUM('11'!D180:F180)</f>
        <v>0</v>
      </c>
      <c r="AT28" s="185">
        <f t="shared" si="12"/>
        <v>-18.42999999999995</v>
      </c>
      <c r="AU28" s="26" t="s">
        <v>118</v>
      </c>
      <c r="AV28" s="182">
        <f>'12'!B180</f>
        <v>200</v>
      </c>
      <c r="AW28" s="182">
        <f>SUM('12'!D180:F180)</f>
        <v>0</v>
      </c>
      <c r="AX28" s="185">
        <f t="shared" si="13"/>
        <v>181.57000000000005</v>
      </c>
      <c r="AY28" s="39">
        <f t="shared" ref="AY28:AY45" si="22">E28+I28+M28+Q28+U28+Y28+AC28+AG28+AK28+AO28+AS28+AW28</f>
        <v>3498.32</v>
      </c>
      <c r="AZ28" s="40">
        <f t="shared" si="15"/>
        <v>8.0952195829931711E-2</v>
      </c>
      <c r="BA28" s="41">
        <f t="shared" si="18"/>
        <v>4</v>
      </c>
      <c r="BB28" s="41">
        <f t="shared" ca="1" si="16"/>
        <v>349.83199999999999</v>
      </c>
      <c r="BI28" s="39">
        <f t="shared" ca="1" si="19"/>
        <v>3267.53</v>
      </c>
      <c r="BJ28" s="40">
        <f t="shared" ca="1" si="17"/>
        <v>6.8463182755524044E-2</v>
      </c>
      <c r="BK28" s="41">
        <f t="shared" ca="1" si="20"/>
        <v>6</v>
      </c>
      <c r="BL28" s="41">
        <f t="shared" ca="1" si="21"/>
        <v>326.75300000000004</v>
      </c>
    </row>
    <row r="29" spans="1:64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70.489999999999995</v>
      </c>
      <c r="AP29" s="186">
        <f t="shared" si="11"/>
        <v>60.710000000000051</v>
      </c>
      <c r="AQ29" s="27" t="s">
        <v>114</v>
      </c>
      <c r="AR29" s="179">
        <f>'11'!B200</f>
        <v>70</v>
      </c>
      <c r="AS29" s="180">
        <f>SUM('11'!D200:F200)</f>
        <v>0</v>
      </c>
      <c r="AT29" s="186">
        <f t="shared" si="12"/>
        <v>130.71000000000004</v>
      </c>
      <c r="AU29" s="27" t="s">
        <v>118</v>
      </c>
      <c r="AV29" s="179">
        <f>'12'!B200</f>
        <v>70</v>
      </c>
      <c r="AW29" s="180">
        <f>SUM('12'!D200:F200)</f>
        <v>0</v>
      </c>
      <c r="AX29" s="186">
        <f t="shared" si="13"/>
        <v>200.71000000000004</v>
      </c>
      <c r="AY29" s="44">
        <f t="shared" si="22"/>
        <v>899.61999999999989</v>
      </c>
      <c r="AZ29" s="40">
        <f t="shared" si="15"/>
        <v>2.0817482223616807E-2</v>
      </c>
      <c r="BA29" s="41">
        <f t="shared" si="18"/>
        <v>11</v>
      </c>
      <c r="BB29" s="41">
        <f t="shared" ca="1" si="16"/>
        <v>89.961999999999989</v>
      </c>
      <c r="BI29" s="175">
        <f t="shared" ca="1" si="19"/>
        <v>744.05</v>
      </c>
      <c r="BJ29" s="40">
        <f t="shared" ca="1" si="17"/>
        <v>1.5589766927693901E-2</v>
      </c>
      <c r="BK29" s="41">
        <f t="shared" ca="1" si="20"/>
        <v>12</v>
      </c>
      <c r="BL29" s="41">
        <f t="shared" ca="1" si="21"/>
        <v>74.405000000000001</v>
      </c>
    </row>
    <row r="30" spans="1:64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0</v>
      </c>
      <c r="AP30" s="187">
        <f t="shared" si="11"/>
        <v>67.660000000000011</v>
      </c>
      <c r="AQ30" s="26" t="s">
        <v>114</v>
      </c>
      <c r="AR30" s="182">
        <f>'11'!B220</f>
        <v>35</v>
      </c>
      <c r="AS30" s="182">
        <f>SUM('11'!D220:F220)</f>
        <v>0</v>
      </c>
      <c r="AT30" s="187">
        <f t="shared" si="12"/>
        <v>102.66000000000001</v>
      </c>
      <c r="AU30" s="26" t="s">
        <v>118</v>
      </c>
      <c r="AV30" s="182">
        <f>'12'!B220</f>
        <v>35</v>
      </c>
      <c r="AW30" s="182">
        <f>SUM('12'!D220:F220)</f>
        <v>0</v>
      </c>
      <c r="AX30" s="187">
        <f t="shared" si="13"/>
        <v>137.66000000000003</v>
      </c>
      <c r="AY30" s="42">
        <f t="shared" si="22"/>
        <v>326.21000000000004</v>
      </c>
      <c r="AZ30" s="40">
        <f t="shared" si="15"/>
        <v>7.548599270987796E-3</v>
      </c>
      <c r="BA30" s="41">
        <f t="shared" si="18"/>
        <v>18</v>
      </c>
      <c r="BB30" s="41">
        <f t="shared" ca="1" si="16"/>
        <v>32.621000000000002</v>
      </c>
      <c r="BI30" s="39">
        <f t="shared" ca="1" si="19"/>
        <v>350</v>
      </c>
      <c r="BJ30" s="40">
        <f t="shared" ca="1" si="17"/>
        <v>7.3334028958979445E-3</v>
      </c>
      <c r="BK30" s="41">
        <f t="shared" ca="1" si="20"/>
        <v>20</v>
      </c>
      <c r="BL30" s="41">
        <f t="shared" ca="1" si="21"/>
        <v>35</v>
      </c>
    </row>
    <row r="31" spans="1:64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0</v>
      </c>
      <c r="AP31" s="186">
        <f t="shared" si="11"/>
        <v>97</v>
      </c>
      <c r="AQ31" s="27" t="s">
        <v>114</v>
      </c>
      <c r="AR31" s="179">
        <f>'11'!B240</f>
        <v>20</v>
      </c>
      <c r="AS31" s="180">
        <f>SUM('11'!D240:F240)</f>
        <v>0</v>
      </c>
      <c r="AT31" s="186">
        <f t="shared" si="12"/>
        <v>117</v>
      </c>
      <c r="AU31" s="27" t="s">
        <v>118</v>
      </c>
      <c r="AV31" s="179">
        <f>'12'!B240</f>
        <v>20</v>
      </c>
      <c r="AW31" s="180">
        <f>SUM('12'!D240:F240)</f>
        <v>0</v>
      </c>
      <c r="AX31" s="186">
        <f t="shared" si="13"/>
        <v>137</v>
      </c>
      <c r="AY31" s="44">
        <f t="shared" si="22"/>
        <v>675</v>
      </c>
      <c r="AZ31" s="40">
        <f t="shared" si="15"/>
        <v>1.5619706654966928E-2</v>
      </c>
      <c r="BA31" s="41">
        <f t="shared" si="18"/>
        <v>13</v>
      </c>
      <c r="BB31" s="41">
        <f t="shared" ca="1" si="16"/>
        <v>67.5</v>
      </c>
      <c r="BI31" s="175">
        <f t="shared" ca="1" si="19"/>
        <v>640</v>
      </c>
      <c r="BJ31" s="40">
        <f t="shared" ca="1" si="17"/>
        <v>1.3409651009641955E-2</v>
      </c>
      <c r="BK31" s="41">
        <f t="shared" ca="1" si="20"/>
        <v>14</v>
      </c>
      <c r="BL31" s="41">
        <f t="shared" ca="1" si="21"/>
        <v>64</v>
      </c>
    </row>
    <row r="32" spans="1:64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0</v>
      </c>
      <c r="AT32" s="187">
        <f t="shared" si="12"/>
        <v>79.52000000000001</v>
      </c>
      <c r="AU32" s="26" t="s">
        <v>118</v>
      </c>
      <c r="AV32" s="182">
        <f>'12'!B260</f>
        <v>50</v>
      </c>
      <c r="AW32" s="182">
        <f>SUM('12'!D260:F260)</f>
        <v>0</v>
      </c>
      <c r="AX32" s="187">
        <f t="shared" si="13"/>
        <v>129.52000000000001</v>
      </c>
      <c r="AY32" s="42">
        <f t="shared" si="22"/>
        <v>1167.0700000000004</v>
      </c>
      <c r="AZ32" s="40">
        <f t="shared" si="15"/>
        <v>2.700635710490705E-2</v>
      </c>
      <c r="BA32" s="41">
        <f t="shared" si="18"/>
        <v>10</v>
      </c>
      <c r="BB32" s="41">
        <f t="shared" ca="1" si="16"/>
        <v>116.70700000000004</v>
      </c>
      <c r="BI32" s="39">
        <f t="shared" ca="1" si="19"/>
        <v>1196.5900000000001</v>
      </c>
      <c r="BJ32" s="40">
        <f t="shared" ca="1" si="17"/>
        <v>2.5071647346292924E-2</v>
      </c>
      <c r="BK32" s="41">
        <f t="shared" ca="1" si="20"/>
        <v>10</v>
      </c>
      <c r="BL32" s="41">
        <f t="shared" ca="1" si="21"/>
        <v>119.65900000000002</v>
      </c>
    </row>
    <row r="33" spans="1:64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50</v>
      </c>
      <c r="AW33" s="180">
        <f>SUM('12'!D280:F280)</f>
        <v>0</v>
      </c>
      <c r="AX33" s="186">
        <f t="shared" si="13"/>
        <v>370</v>
      </c>
      <c r="AY33" s="44">
        <f t="shared" si="22"/>
        <v>31.54</v>
      </c>
      <c r="AZ33" s="40">
        <f t="shared" si="15"/>
        <v>7.2984525614467688E-4</v>
      </c>
      <c r="BA33" s="41">
        <f t="shared" si="18"/>
        <v>22</v>
      </c>
      <c r="BB33" s="41">
        <f t="shared" ca="1" si="16"/>
        <v>3.1539999999999999</v>
      </c>
      <c r="BI33" s="175">
        <f t="shared" ca="1" si="19"/>
        <v>241.54</v>
      </c>
      <c r="BJ33" s="40">
        <f t="shared" ca="1" si="17"/>
        <v>5.0608861013576841E-3</v>
      </c>
      <c r="BK33" s="41">
        <f t="shared" ca="1" si="20"/>
        <v>21</v>
      </c>
      <c r="BL33" s="41">
        <f t="shared" ca="1" si="21"/>
        <v>24.154</v>
      </c>
    </row>
    <row r="34" spans="1:64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95</v>
      </c>
      <c r="AS34" s="182">
        <f>SUM('11'!D300:F300)</f>
        <v>0</v>
      </c>
      <c r="AT34" s="187">
        <f t="shared" si="12"/>
        <v>589.55999999999995</v>
      </c>
      <c r="AU34" s="26" t="s">
        <v>118</v>
      </c>
      <c r="AV34" s="182">
        <f>'12'!B300</f>
        <v>90</v>
      </c>
      <c r="AW34" s="182">
        <f>SUM('12'!D300:F300)</f>
        <v>0</v>
      </c>
      <c r="AX34" s="187">
        <f t="shared" si="13"/>
        <v>679.56</v>
      </c>
      <c r="AY34" s="42">
        <f>E34+I34+M34+Q34+U34+Y34+AC34+AG34+AK34+AO34+AS34+AW34+(E36+I36+M36)</f>
        <v>3105.62</v>
      </c>
      <c r="AZ34" s="40">
        <f t="shared" si="15"/>
        <v>7.1864997602664279E-2</v>
      </c>
      <c r="BA34" s="41">
        <f t="shared" si="18"/>
        <v>6</v>
      </c>
      <c r="BB34" s="41">
        <f t="shared" ca="1" si="16"/>
        <v>310.56200000000001</v>
      </c>
      <c r="BI34" s="39">
        <f t="shared" ca="1" si="19"/>
        <v>2807.6</v>
      </c>
      <c r="BJ34" s="40">
        <f t="shared" ca="1" si="17"/>
        <v>5.8826462772923055E-2</v>
      </c>
      <c r="BK34" s="41">
        <f t="shared" ca="1" si="20"/>
        <v>7</v>
      </c>
      <c r="BL34" s="41">
        <f t="shared" ca="1" si="21"/>
        <v>280.76</v>
      </c>
    </row>
    <row r="35" spans="1:64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107.39</v>
      </c>
      <c r="AP35" s="184">
        <f t="shared" si="11"/>
        <v>1405.0000000000002</v>
      </c>
      <c r="AQ35" s="27" t="s">
        <v>114</v>
      </c>
      <c r="AR35" s="179">
        <f>'11'!B320</f>
        <v>115</v>
      </c>
      <c r="AS35" s="179">
        <f>SUM('11'!D320:F320)</f>
        <v>0</v>
      </c>
      <c r="AT35" s="184">
        <f t="shared" si="12"/>
        <v>1520.0000000000002</v>
      </c>
      <c r="AU35" s="27" t="s">
        <v>118</v>
      </c>
      <c r="AV35" s="179">
        <f>'12'!B320</f>
        <v>115</v>
      </c>
      <c r="AW35" s="179">
        <f>SUM('12'!D320:F320)</f>
        <v>0</v>
      </c>
      <c r="AX35" s="184">
        <f t="shared" si="13"/>
        <v>1635.0000000000002</v>
      </c>
      <c r="AY35" s="44">
        <f t="shared" si="22"/>
        <v>1694.1000000000001</v>
      </c>
      <c r="AZ35" s="40">
        <f t="shared" si="15"/>
        <v>3.9201992658043666E-2</v>
      </c>
      <c r="BA35" s="41">
        <f t="shared" si="18"/>
        <v>8</v>
      </c>
      <c r="BB35" s="41">
        <f t="shared" ca="1" si="16"/>
        <v>169.41000000000003</v>
      </c>
      <c r="BI35" s="175">
        <f t="shared" ca="1" si="19"/>
        <v>1020</v>
      </c>
      <c r="BJ35" s="40">
        <f t="shared" ca="1" si="17"/>
        <v>2.1371631296616869E-2</v>
      </c>
      <c r="BK35" s="41">
        <f t="shared" ca="1" si="20"/>
        <v>11</v>
      </c>
      <c r="BL35" s="41">
        <f t="shared" ca="1" si="21"/>
        <v>102</v>
      </c>
    </row>
    <row r="36" spans="1:64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0</v>
      </c>
      <c r="AP36" s="183">
        <f t="shared" si="11"/>
        <v>-91.219999999999942</v>
      </c>
      <c r="AQ36" s="26" t="s">
        <v>114</v>
      </c>
      <c r="AR36" s="188">
        <f>'11'!B340</f>
        <v>90</v>
      </c>
      <c r="AS36" s="188">
        <f>SUM('11'!D340:F340)</f>
        <v>0</v>
      </c>
      <c r="AT36" s="183">
        <f t="shared" si="12"/>
        <v>-1.219999999999942</v>
      </c>
      <c r="AU36" s="26" t="s">
        <v>118</v>
      </c>
      <c r="AV36" s="188">
        <f>'12'!B340</f>
        <v>90</v>
      </c>
      <c r="AW36" s="188">
        <f>SUM('12'!D340:F340)</f>
        <v>0</v>
      </c>
      <c r="AX36" s="183">
        <f t="shared" si="13"/>
        <v>88.780000000000058</v>
      </c>
      <c r="AY36" s="39">
        <f>Q36+U36+Y36+AC36+AG36+AK36+AO36+AS36+AW36</f>
        <v>627.01</v>
      </c>
      <c r="AZ36" s="40">
        <f t="shared" si="15"/>
        <v>1.4509203362564168E-2</v>
      </c>
      <c r="BA36" s="41">
        <f t="shared" si="18"/>
        <v>15</v>
      </c>
      <c r="BB36" s="41">
        <f t="shared" ca="1" si="16"/>
        <v>62.701000000000001</v>
      </c>
      <c r="BI36" s="39">
        <f t="shared" ca="1" si="19"/>
        <v>441.19</v>
      </c>
      <c r="BJ36" s="40">
        <f t="shared" ca="1" si="17"/>
        <v>9.2440686389748984E-3</v>
      </c>
      <c r="BK36" s="41">
        <f t="shared" ca="1" si="20"/>
        <v>17</v>
      </c>
      <c r="BL36" s="41">
        <f t="shared" ca="1" si="21"/>
        <v>44.119</v>
      </c>
    </row>
    <row r="37" spans="1:64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0</v>
      </c>
      <c r="AP37" s="181">
        <f t="shared" si="11"/>
        <v>188.38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233.38</v>
      </c>
      <c r="AU37" s="27" t="s">
        <v>118</v>
      </c>
      <c r="AV37" s="189">
        <f>'12'!B360</f>
        <v>45</v>
      </c>
      <c r="AW37" s="189">
        <f>SUM('12'!D360:F360)</f>
        <v>0</v>
      </c>
      <c r="AX37" s="181">
        <f t="shared" si="13"/>
        <v>278.38</v>
      </c>
      <c r="AY37" s="44">
        <f t="shared" si="22"/>
        <v>650.13</v>
      </c>
      <c r="AZ37" s="40">
        <f t="shared" si="15"/>
        <v>1.504420724087948E-2</v>
      </c>
      <c r="BA37" s="41">
        <f t="shared" si="18"/>
        <v>14</v>
      </c>
      <c r="BB37" s="41">
        <f t="shared" ca="1" si="16"/>
        <v>65.013000000000005</v>
      </c>
      <c r="BI37" s="175">
        <f t="shared" ca="1" si="19"/>
        <v>380</v>
      </c>
      <c r="BJ37" s="40">
        <f t="shared" ca="1" si="17"/>
        <v>7.9619802869749113E-3</v>
      </c>
      <c r="BK37" s="41">
        <f t="shared" ca="1" si="20"/>
        <v>19</v>
      </c>
      <c r="BL37" s="41">
        <f t="shared" ca="1" si="21"/>
        <v>38</v>
      </c>
    </row>
    <row r="38" spans="1:64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13.600000000000001</v>
      </c>
      <c r="AP38" s="183">
        <f t="shared" si="11"/>
        <v>-4.4099999999999682</v>
      </c>
      <c r="AQ38" s="26" t="s">
        <v>114</v>
      </c>
      <c r="AR38" s="190">
        <f>'11'!B380</f>
        <v>70</v>
      </c>
      <c r="AS38" s="190">
        <f>SUM('11'!D380:F380)</f>
        <v>0</v>
      </c>
      <c r="AT38" s="183">
        <f t="shared" si="12"/>
        <v>65.590000000000032</v>
      </c>
      <c r="AU38" s="26" t="s">
        <v>118</v>
      </c>
      <c r="AV38" s="190">
        <f>'12'!B380</f>
        <v>70</v>
      </c>
      <c r="AW38" s="190">
        <f>SUM('12'!D380:F380)</f>
        <v>0</v>
      </c>
      <c r="AX38" s="183">
        <f t="shared" si="13"/>
        <v>135.59000000000003</v>
      </c>
      <c r="AY38" s="42">
        <f t="shared" si="22"/>
        <v>725.2</v>
      </c>
      <c r="AZ38" s="40">
        <f t="shared" si="15"/>
        <v>1.6781350023973358E-2</v>
      </c>
      <c r="BA38" s="41">
        <f t="shared" si="18"/>
        <v>12</v>
      </c>
      <c r="BB38" s="41">
        <f t="shared" ca="1" si="16"/>
        <v>72.52000000000001</v>
      </c>
      <c r="BI38" s="39">
        <f t="shared" ca="1" si="19"/>
        <v>649.77</v>
      </c>
      <c r="BJ38" s="40">
        <f t="shared" ca="1" si="17"/>
        <v>1.3614357713336021E-2</v>
      </c>
      <c r="BK38" s="41">
        <f t="shared" ca="1" si="20"/>
        <v>13</v>
      </c>
      <c r="BL38" s="41">
        <f t="shared" ca="1" si="21"/>
        <v>64.977000000000004</v>
      </c>
    </row>
    <row r="39" spans="1:64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20</v>
      </c>
      <c r="AW39" s="189">
        <f>SUM('12'!D400:F400)</f>
        <v>0</v>
      </c>
      <c r="AX39" s="181">
        <f t="shared" si="13"/>
        <v>1160</v>
      </c>
      <c r="AY39" s="44">
        <f t="shared" si="22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120</v>
      </c>
      <c r="BJ39" s="40">
        <f t="shared" ca="1" si="17"/>
        <v>2.5143095643078667E-3</v>
      </c>
      <c r="BK39" s="41">
        <f t="shared" ca="1" si="20"/>
        <v>22</v>
      </c>
      <c r="BL39" s="41">
        <f t="shared" ca="1" si="21"/>
        <v>12</v>
      </c>
    </row>
    <row r="40" spans="1:64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20</v>
      </c>
      <c r="AS40" s="190">
        <f>SUM('11'!D420:F420)</f>
        <v>0</v>
      </c>
      <c r="AT40" s="183">
        <f t="shared" si="12"/>
        <v>728.89000000000044</v>
      </c>
      <c r="AU40" s="26" t="s">
        <v>118</v>
      </c>
      <c r="AV40" s="190">
        <f>'12'!B420</f>
        <v>20</v>
      </c>
      <c r="AW40" s="190">
        <f>SUM('12'!D420:F420)</f>
        <v>0</v>
      </c>
      <c r="AX40" s="183">
        <f t="shared" si="13"/>
        <v>748.89000000000044</v>
      </c>
      <c r="AY40" s="42">
        <f t="shared" si="22"/>
        <v>138.88999999999999</v>
      </c>
      <c r="AZ40" s="40">
        <f t="shared" si="15"/>
        <v>3.2139571219383057E-3</v>
      </c>
      <c r="BA40" s="41">
        <f t="shared" si="18"/>
        <v>19</v>
      </c>
      <c r="BB40" s="41">
        <f t="shared" ca="1" si="16"/>
        <v>13.888999999999999</v>
      </c>
      <c r="BI40" s="39">
        <f t="shared" ca="1" si="19"/>
        <v>-2555.9399999999996</v>
      </c>
      <c r="BJ40" s="40">
        <f t="shared" ca="1" si="17"/>
        <v>-5.3553536564975399E-2</v>
      </c>
      <c r="BK40" s="41">
        <f t="shared" ca="1" si="20"/>
        <v>26</v>
      </c>
      <c r="BL40" s="41">
        <f t="shared" ca="1" si="21"/>
        <v>-255.59399999999997</v>
      </c>
    </row>
    <row r="41" spans="1:64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-2871.81</v>
      </c>
      <c r="AO41" s="189">
        <f>SUM('10'!D440:F440)</f>
        <v>0</v>
      </c>
      <c r="AP41" s="181">
        <f t="shared" si="11"/>
        <v>4509.0599999999995</v>
      </c>
      <c r="AQ41" s="27" t="s">
        <v>114</v>
      </c>
      <c r="AR41" s="189">
        <f>'11'!B440</f>
        <v>-3900</v>
      </c>
      <c r="AS41" s="189">
        <f>SUM('11'!D440:F440)</f>
        <v>0</v>
      </c>
      <c r="AT41" s="181">
        <f t="shared" si="12"/>
        <v>609.05999999999949</v>
      </c>
      <c r="AU41" s="27" t="s">
        <v>118</v>
      </c>
      <c r="AV41" s="189">
        <f>'12'!B440</f>
        <v>-4000</v>
      </c>
      <c r="AW41" s="189">
        <f>SUM('12'!D440:F440)</f>
        <v>0</v>
      </c>
      <c r="AX41" s="181">
        <f t="shared" si="13"/>
        <v>-3390.9400000000005</v>
      </c>
      <c r="AY41" s="44">
        <f t="shared" si="22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-796.44999999999982</v>
      </c>
      <c r="BJ41" s="40">
        <f t="shared" ca="1" si="17"/>
        <v>-1.6687682104108335E-2</v>
      </c>
      <c r="BK41" s="41">
        <f t="shared" ca="1" si="20"/>
        <v>25</v>
      </c>
      <c r="BL41" s="41">
        <f t="shared" ca="1" si="21"/>
        <v>-79.644999999999982</v>
      </c>
    </row>
    <row r="42" spans="1:64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2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0.14440769361964612</v>
      </c>
      <c r="BK42" s="41">
        <f t="shared" ca="1" si="20"/>
        <v>3</v>
      </c>
      <c r="BL42" s="41">
        <f t="shared" ca="1" si="21"/>
        <v>689.21199999999999</v>
      </c>
    </row>
    <row r="43" spans="1:64" ht="16.5" thickBot="1">
      <c r="A43" s="50" t="s">
        <v>467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50</v>
      </c>
      <c r="AW43" s="179">
        <f>SUM('12'!D480:F480)</f>
        <v>0</v>
      </c>
      <c r="AX43" s="181">
        <f t="shared" si="13"/>
        <v>416</v>
      </c>
      <c r="AY43" s="44">
        <f t="shared" si="22"/>
        <v>100</v>
      </c>
      <c r="AZ43" s="40">
        <f t="shared" si="15"/>
        <v>2.3140306155506559E-3</v>
      </c>
      <c r="BA43" s="41">
        <f t="shared" si="18"/>
        <v>20</v>
      </c>
      <c r="BB43" s="41">
        <f t="shared" ca="1" si="16"/>
        <v>10</v>
      </c>
      <c r="BI43" s="175">
        <f t="shared" ca="1" si="19"/>
        <v>416</v>
      </c>
      <c r="BJ43" s="40">
        <f t="shared" ca="1" si="17"/>
        <v>8.7162731562672718E-3</v>
      </c>
      <c r="BK43" s="41">
        <f t="shared" ca="1" si="20"/>
        <v>18</v>
      </c>
      <c r="BL43" s="41">
        <f t="shared" ca="1" si="21"/>
        <v>41.6</v>
      </c>
    </row>
    <row r="44" spans="1:64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2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24</v>
      </c>
      <c r="BL44" s="41">
        <f t="shared" ca="1" si="21"/>
        <v>0</v>
      </c>
    </row>
    <row r="45" spans="1:64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2"/>
        <v>71.3</v>
      </c>
      <c r="AZ45" s="40">
        <f t="shared" si="15"/>
        <v>1.6499038288876177E-3</v>
      </c>
      <c r="BA45" s="41">
        <f t="shared" si="18"/>
        <v>21</v>
      </c>
      <c r="BB45" s="41">
        <f t="shared" ca="1" si="16"/>
        <v>7.13</v>
      </c>
      <c r="BI45" s="175">
        <f t="shared" ca="1" si="19"/>
        <v>99</v>
      </c>
      <c r="BJ45" s="40">
        <f t="shared" ca="1" si="17"/>
        <v>2.07430539055399E-3</v>
      </c>
      <c r="BK45" s="41">
        <f t="shared" ca="1" si="20"/>
        <v>23</v>
      </c>
      <c r="BL45" s="41">
        <f t="shared" ca="1" si="21"/>
        <v>9.9</v>
      </c>
    </row>
    <row r="46" spans="1:64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1056.3899999999999</v>
      </c>
      <c r="AO46" s="196">
        <f>SUM(AO20:AO45)</f>
        <v>2963.3899999999994</v>
      </c>
      <c r="AP46" s="197">
        <f>SUM(AP20:AP45)</f>
        <v>21848.859999999997</v>
      </c>
      <c r="AQ46" s="81"/>
      <c r="AR46" s="196">
        <f>SUM(AR20:AR45)</f>
        <v>0</v>
      </c>
      <c r="AS46" s="196">
        <f>SUM(AS20:AS45)</f>
        <v>0</v>
      </c>
      <c r="AT46" s="197">
        <f>SUM(AT20:AT45)</f>
        <v>21848.86</v>
      </c>
      <c r="AU46" s="81"/>
      <c r="AV46" s="196">
        <f>SUM(AV20:AV45)</f>
        <v>0</v>
      </c>
      <c r="AW46" s="196">
        <f>SUM(AW20:AW45)</f>
        <v>0</v>
      </c>
      <c r="AX46" s="197">
        <f>SUM(AX20:AX45)</f>
        <v>21848.86</v>
      </c>
      <c r="AY46" s="28">
        <f>SUM(AY20:AY45)</f>
        <v>43214.64</v>
      </c>
      <c r="AZ46" s="1"/>
      <c r="BA46" s="1"/>
      <c r="BB46" s="176">
        <f ca="1">SUM(BB20:BB45)</f>
        <v>4321.4639999999999</v>
      </c>
      <c r="BI46" s="28">
        <f ca="1">SUM(BI20:BI45)</f>
        <v>47726.820000000007</v>
      </c>
      <c r="BJ46" s="1"/>
      <c r="BK46" s="1"/>
      <c r="BL46" s="176">
        <f ca="1">SUM(BL20:BL45)</f>
        <v>4772.6819999999998</v>
      </c>
    </row>
    <row r="47" spans="1:64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-1906.9999999999995</v>
      </c>
      <c r="AP47" s="198"/>
      <c r="AQ47" s="198">
        <f>AQ5-AP46</f>
        <v>-6746.9699999999957</v>
      </c>
      <c r="AR47" s="198">
        <f>AQ17-AR46</f>
        <v>0</v>
      </c>
      <c r="AS47" s="198">
        <f>AQ17-AS46</f>
        <v>0</v>
      </c>
      <c r="AT47" s="198"/>
      <c r="AU47" s="198">
        <f>AU5-AT46</f>
        <v>-6746.9699999999993</v>
      </c>
      <c r="AV47" s="198">
        <f>AU17-AV46</f>
        <v>0</v>
      </c>
      <c r="AW47" s="198">
        <f>AU17-AW46</f>
        <v>0</v>
      </c>
      <c r="AX47" s="198"/>
      <c r="AY47" s="198"/>
      <c r="AZ47" s="67"/>
      <c r="BA47" s="67"/>
      <c r="BB47" s="67"/>
    </row>
    <row r="48" spans="1:64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626</v>
      </c>
      <c r="AW48" s="5"/>
      <c r="AX48" s="5"/>
      <c r="AY48" s="163">
        <v>46128</v>
      </c>
      <c r="AZ48" s="163"/>
      <c r="BA48" s="1" t="s">
        <v>627</v>
      </c>
      <c r="BB48" s="163">
        <f ca="1">12*BB46</f>
        <v>51857.567999999999</v>
      </c>
    </row>
    <row r="49" spans="1:61">
      <c r="C49" s="86"/>
      <c r="AY49" s="86"/>
      <c r="BI49" s="162"/>
    </row>
    <row r="50" spans="1:61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291.81999999999994</v>
      </c>
      <c r="AP50" s="170"/>
      <c r="AQ50" s="170"/>
      <c r="AR50" s="170"/>
      <c r="AS50" s="170">
        <f>AS22+28</f>
        <v>28</v>
      </c>
      <c r="AT50" s="170"/>
      <c r="AU50" s="170"/>
      <c r="AV50" s="170"/>
      <c r="AW50" s="170">
        <f>AW22+28</f>
        <v>28</v>
      </c>
      <c r="AX50" s="170"/>
      <c r="AY50" s="170"/>
    </row>
    <row r="51" spans="1:61" ht="15.75" thickBot="1"/>
    <row r="52" spans="1:61">
      <c r="C52" s="231" t="s">
        <v>197</v>
      </c>
      <c r="D52" s="232"/>
      <c r="E52" s="232"/>
      <c r="F52" s="233"/>
      <c r="G52" s="231" t="s">
        <v>197</v>
      </c>
      <c r="H52" s="232"/>
      <c r="I52" s="232"/>
      <c r="J52" s="233"/>
      <c r="K52" s="231" t="s">
        <v>197</v>
      </c>
      <c r="L52" s="232"/>
      <c r="M52" s="232"/>
      <c r="N52" s="233"/>
      <c r="O52" s="231" t="s">
        <v>197</v>
      </c>
      <c r="P52" s="232"/>
      <c r="Q52" s="232"/>
      <c r="R52" s="233"/>
      <c r="S52" s="231" t="s">
        <v>197</v>
      </c>
      <c r="T52" s="232"/>
      <c r="U52" s="232"/>
      <c r="V52" s="233"/>
      <c r="W52" s="231" t="s">
        <v>197</v>
      </c>
      <c r="X52" s="232"/>
      <c r="Y52" s="232"/>
      <c r="Z52" s="233"/>
      <c r="AA52" s="231" t="s">
        <v>197</v>
      </c>
      <c r="AB52" s="232"/>
      <c r="AC52" s="232"/>
      <c r="AD52" s="233"/>
      <c r="AE52" s="231" t="s">
        <v>197</v>
      </c>
      <c r="AF52" s="232"/>
      <c r="AG52" s="232"/>
      <c r="AH52" s="233"/>
      <c r="AI52" s="231" t="s">
        <v>197</v>
      </c>
      <c r="AJ52" s="232"/>
      <c r="AK52" s="232"/>
      <c r="AL52" s="233"/>
      <c r="AM52" s="231" t="s">
        <v>197</v>
      </c>
      <c r="AN52" s="232"/>
      <c r="AO52" s="232"/>
      <c r="AP52" s="233"/>
      <c r="AQ52" s="231" t="s">
        <v>197</v>
      </c>
      <c r="AR52" s="232"/>
      <c r="AS52" s="232"/>
      <c r="AT52" s="233"/>
      <c r="AU52" s="231" t="s">
        <v>197</v>
      </c>
      <c r="AV52" s="232"/>
      <c r="AW52" s="232"/>
      <c r="AX52" s="233"/>
    </row>
    <row r="53" spans="1:61" ht="15.75" thickBot="1">
      <c r="C53" s="141" t="s">
        <v>198</v>
      </c>
      <c r="D53" s="234" t="s">
        <v>33</v>
      </c>
      <c r="E53" s="235"/>
      <c r="F53" s="142" t="s">
        <v>134</v>
      </c>
      <c r="G53" s="141" t="s">
        <v>198</v>
      </c>
      <c r="H53" s="234" t="s">
        <v>33</v>
      </c>
      <c r="I53" s="235"/>
      <c r="J53" s="142" t="s">
        <v>134</v>
      </c>
      <c r="K53" s="141" t="s">
        <v>198</v>
      </c>
      <c r="L53" s="234" t="s">
        <v>33</v>
      </c>
      <c r="M53" s="235"/>
      <c r="N53" s="142" t="s">
        <v>134</v>
      </c>
      <c r="O53" s="141" t="s">
        <v>198</v>
      </c>
      <c r="P53" s="234" t="s">
        <v>33</v>
      </c>
      <c r="Q53" s="235"/>
      <c r="R53" s="142" t="s">
        <v>134</v>
      </c>
      <c r="S53" s="141" t="s">
        <v>198</v>
      </c>
      <c r="T53" s="234" t="s">
        <v>33</v>
      </c>
      <c r="U53" s="235"/>
      <c r="V53" s="142" t="s">
        <v>134</v>
      </c>
      <c r="W53" s="141" t="s">
        <v>198</v>
      </c>
      <c r="X53" s="234" t="s">
        <v>33</v>
      </c>
      <c r="Y53" s="235"/>
      <c r="Z53" s="142" t="s">
        <v>134</v>
      </c>
      <c r="AA53" s="141" t="s">
        <v>198</v>
      </c>
      <c r="AB53" s="234" t="s">
        <v>33</v>
      </c>
      <c r="AC53" s="235"/>
      <c r="AD53" s="142" t="s">
        <v>134</v>
      </c>
      <c r="AE53" s="141" t="s">
        <v>198</v>
      </c>
      <c r="AF53" s="234" t="s">
        <v>33</v>
      </c>
      <c r="AG53" s="235"/>
      <c r="AH53" s="142" t="s">
        <v>134</v>
      </c>
      <c r="AI53" s="141" t="s">
        <v>198</v>
      </c>
      <c r="AJ53" s="234" t="s">
        <v>33</v>
      </c>
      <c r="AK53" s="235"/>
      <c r="AL53" s="142" t="s">
        <v>134</v>
      </c>
      <c r="AM53" s="141" t="s">
        <v>198</v>
      </c>
      <c r="AN53" s="234" t="s">
        <v>33</v>
      </c>
      <c r="AO53" s="235"/>
      <c r="AP53" s="142" t="s">
        <v>134</v>
      </c>
      <c r="AQ53" s="141" t="s">
        <v>198</v>
      </c>
      <c r="AR53" s="234" t="s">
        <v>33</v>
      </c>
      <c r="AS53" s="235"/>
      <c r="AT53" s="142" t="s">
        <v>134</v>
      </c>
      <c r="AU53" s="141" t="s">
        <v>198</v>
      </c>
      <c r="AV53" s="234" t="s">
        <v>33</v>
      </c>
      <c r="AW53" s="235"/>
      <c r="AX53" s="142" t="s">
        <v>134</v>
      </c>
    </row>
    <row r="54" spans="1:61">
      <c r="C54" s="143">
        <v>43112</v>
      </c>
      <c r="D54" s="236" t="s">
        <v>199</v>
      </c>
      <c r="E54" s="237"/>
      <c r="F54" s="146">
        <v>10</v>
      </c>
      <c r="G54" s="143">
        <v>43137</v>
      </c>
      <c r="H54" s="236" t="s">
        <v>219</v>
      </c>
      <c r="I54" s="237"/>
      <c r="J54" s="148">
        <v>10</v>
      </c>
      <c r="K54" s="143">
        <v>43166</v>
      </c>
      <c r="L54" s="256" t="s">
        <v>287</v>
      </c>
      <c r="M54" s="257"/>
      <c r="N54" s="148"/>
      <c r="O54" s="143">
        <v>43195</v>
      </c>
      <c r="P54" s="256" t="s">
        <v>219</v>
      </c>
      <c r="Q54" s="257"/>
      <c r="R54" s="153">
        <v>10</v>
      </c>
      <c r="S54" s="143">
        <v>43224</v>
      </c>
      <c r="T54" s="256" t="s">
        <v>287</v>
      </c>
      <c r="U54" s="257"/>
      <c r="V54" s="154"/>
      <c r="W54" s="144">
        <v>43264</v>
      </c>
      <c r="X54" s="250" t="s">
        <v>199</v>
      </c>
      <c r="Y54" s="251"/>
      <c r="Z54" s="155">
        <v>15</v>
      </c>
      <c r="AA54" s="143"/>
      <c r="AB54" s="244" t="s">
        <v>370</v>
      </c>
      <c r="AC54" s="245"/>
      <c r="AD54" s="148">
        <f>1452-580.8</f>
        <v>871.2</v>
      </c>
      <c r="AE54" s="143"/>
      <c r="AF54" s="252"/>
      <c r="AG54" s="253"/>
      <c r="AH54" s="148"/>
      <c r="AI54" s="143">
        <v>43370</v>
      </c>
      <c r="AJ54" s="248" t="s">
        <v>219</v>
      </c>
      <c r="AK54" s="249"/>
      <c r="AL54" s="148">
        <v>10</v>
      </c>
      <c r="AM54" s="143">
        <v>43399</v>
      </c>
      <c r="AN54" s="242" t="s">
        <v>219</v>
      </c>
      <c r="AO54" s="243"/>
      <c r="AP54" s="148" t="s">
        <v>642</v>
      </c>
      <c r="AQ54" s="143">
        <v>43415</v>
      </c>
      <c r="AR54" s="236" t="s">
        <v>669</v>
      </c>
      <c r="AS54" s="237"/>
      <c r="AT54" s="148"/>
      <c r="AU54" s="143"/>
      <c r="AV54" s="236"/>
      <c r="AW54" s="237"/>
      <c r="AX54" s="148"/>
    </row>
    <row r="55" spans="1:61">
      <c r="C55" s="144"/>
      <c r="D55" s="227"/>
      <c r="E55" s="228"/>
      <c r="F55" s="146"/>
      <c r="G55" s="144">
        <v>43146</v>
      </c>
      <c r="H55" s="227" t="s">
        <v>272</v>
      </c>
      <c r="I55" s="228"/>
      <c r="J55" s="148">
        <v>10</v>
      </c>
      <c r="K55" s="144">
        <v>43168</v>
      </c>
      <c r="L55" s="258" t="s">
        <v>272</v>
      </c>
      <c r="M55" s="259"/>
      <c r="N55" s="148">
        <v>15</v>
      </c>
      <c r="O55" s="144">
        <v>43209</v>
      </c>
      <c r="P55" s="250" t="s">
        <v>199</v>
      </c>
      <c r="Q55" s="251"/>
      <c r="R55" s="153">
        <v>15</v>
      </c>
      <c r="S55" s="144">
        <v>43238</v>
      </c>
      <c r="T55" s="250" t="s">
        <v>359</v>
      </c>
      <c r="U55" s="251"/>
      <c r="V55" s="148"/>
      <c r="W55" s="144">
        <v>43253</v>
      </c>
      <c r="X55" s="250" t="s">
        <v>219</v>
      </c>
      <c r="Y55" s="251"/>
      <c r="Z55" s="148">
        <v>10</v>
      </c>
      <c r="AA55" s="144"/>
      <c r="AB55" s="227" t="s">
        <v>371</v>
      </c>
      <c r="AC55" s="228"/>
      <c r="AD55" s="148">
        <f>200-43.62+(76.38*6)</f>
        <v>614.66</v>
      </c>
      <c r="AE55" s="144">
        <v>43318</v>
      </c>
      <c r="AF55" s="250" t="s">
        <v>199</v>
      </c>
      <c r="AG55" s="251"/>
      <c r="AH55" s="148">
        <v>15</v>
      </c>
      <c r="AI55" s="144">
        <v>43361</v>
      </c>
      <c r="AJ55" s="250" t="s">
        <v>199</v>
      </c>
      <c r="AK55" s="251"/>
      <c r="AL55" s="148">
        <v>15</v>
      </c>
      <c r="AM55" s="144">
        <v>43393</v>
      </c>
      <c r="AN55" s="244" t="s">
        <v>199</v>
      </c>
      <c r="AO55" s="245"/>
      <c r="AP55" s="148">
        <v>15</v>
      </c>
      <c r="AQ55" s="144"/>
      <c r="AR55" s="227"/>
      <c r="AS55" s="228"/>
      <c r="AT55" s="148"/>
      <c r="AU55" s="144"/>
      <c r="AV55" s="227"/>
      <c r="AW55" s="228"/>
      <c r="AX55" s="148"/>
    </row>
    <row r="56" spans="1:61">
      <c r="C56" s="144">
        <v>43117</v>
      </c>
      <c r="D56" s="227" t="s">
        <v>200</v>
      </c>
      <c r="E56" s="228"/>
      <c r="F56" s="146"/>
      <c r="G56" s="144">
        <v>43147</v>
      </c>
      <c r="H56" s="227" t="s">
        <v>283</v>
      </c>
      <c r="I56" s="228"/>
      <c r="J56" s="148"/>
      <c r="K56" s="144">
        <v>43189</v>
      </c>
      <c r="L56" s="227" t="s">
        <v>292</v>
      </c>
      <c r="M56" s="228"/>
      <c r="N56" s="148"/>
      <c r="O56" s="144">
        <v>43193</v>
      </c>
      <c r="P56" s="250" t="s">
        <v>328</v>
      </c>
      <c r="Q56" s="251"/>
      <c r="R56" s="153">
        <v>258.52</v>
      </c>
      <c r="S56" s="144">
        <v>43249</v>
      </c>
      <c r="T56" s="227" t="s">
        <v>374</v>
      </c>
      <c r="U56" s="228"/>
      <c r="V56" s="148"/>
      <c r="W56" s="144">
        <v>43249</v>
      </c>
      <c r="X56" s="227" t="s">
        <v>379</v>
      </c>
      <c r="Y56" s="228"/>
      <c r="Z56" s="148"/>
      <c r="AA56" s="144"/>
      <c r="AB56" s="227" t="s">
        <v>372</v>
      </c>
      <c r="AC56" s="228"/>
      <c r="AD56" s="148">
        <f>AD54-AD55</f>
        <v>256.54000000000008</v>
      </c>
      <c r="AE56" s="144">
        <v>43341</v>
      </c>
      <c r="AF56" s="250" t="s">
        <v>287</v>
      </c>
      <c r="AG56" s="251"/>
      <c r="AH56" s="148"/>
      <c r="AI56" s="144">
        <v>43347</v>
      </c>
      <c r="AJ56" s="246" t="s">
        <v>378</v>
      </c>
      <c r="AK56" s="247"/>
      <c r="AL56" s="148"/>
      <c r="AM56" s="144">
        <v>43377</v>
      </c>
      <c r="AN56" s="246" t="s">
        <v>378</v>
      </c>
      <c r="AO56" s="247"/>
      <c r="AP56" s="148"/>
      <c r="AQ56" s="144"/>
      <c r="AR56" s="227"/>
      <c r="AS56" s="228"/>
      <c r="AT56" s="148"/>
      <c r="AU56" s="144"/>
      <c r="AV56" s="227"/>
      <c r="AW56" s="228"/>
      <c r="AX56" s="148"/>
    </row>
    <row r="57" spans="1:61">
      <c r="C57" s="144"/>
      <c r="D57" s="227" t="s">
        <v>201</v>
      </c>
      <c r="E57" s="228"/>
      <c r="F57" s="146"/>
      <c r="G57" s="144"/>
      <c r="H57" s="227" t="s">
        <v>284</v>
      </c>
      <c r="I57" s="228"/>
      <c r="J57" s="148"/>
      <c r="K57" s="144"/>
      <c r="L57" s="227" t="s">
        <v>293</v>
      </c>
      <c r="M57" s="228"/>
      <c r="N57" s="148"/>
      <c r="O57" s="144"/>
      <c r="P57" s="250" t="s">
        <v>299</v>
      </c>
      <c r="Q57" s="251"/>
      <c r="R57" s="148">
        <v>2290.23</v>
      </c>
      <c r="S57" s="144"/>
      <c r="T57" s="227" t="s">
        <v>375</v>
      </c>
      <c r="U57" s="228"/>
      <c r="V57" s="148"/>
      <c r="W57" s="144"/>
      <c r="X57" s="227" t="s">
        <v>380</v>
      </c>
      <c r="Y57" s="228"/>
      <c r="Z57" s="148"/>
      <c r="AA57" s="144">
        <v>43282</v>
      </c>
      <c r="AB57" s="250" t="s">
        <v>287</v>
      </c>
      <c r="AC57" s="251"/>
      <c r="AD57" s="148"/>
      <c r="AE57" s="144">
        <v>43189</v>
      </c>
      <c r="AF57" s="227" t="s">
        <v>383</v>
      </c>
      <c r="AG57" s="228"/>
      <c r="AH57" s="148"/>
      <c r="AI57" s="144"/>
      <c r="AJ57" s="238"/>
      <c r="AK57" s="239"/>
      <c r="AL57" s="148"/>
      <c r="AM57" s="144"/>
      <c r="AN57" s="238"/>
      <c r="AO57" s="239"/>
      <c r="AP57" s="148"/>
      <c r="AQ57" s="144"/>
      <c r="AR57" s="227"/>
      <c r="AS57" s="228"/>
      <c r="AT57" s="148"/>
      <c r="AU57" s="144"/>
      <c r="AV57" s="227"/>
      <c r="AW57" s="228"/>
      <c r="AX57" s="148"/>
    </row>
    <row r="58" spans="1:61">
      <c r="C58" s="144"/>
      <c r="D58" s="227" t="s">
        <v>202</v>
      </c>
      <c r="E58" s="228"/>
      <c r="F58" s="146"/>
      <c r="G58" s="144"/>
      <c r="H58" s="227" t="s">
        <v>285</v>
      </c>
      <c r="I58" s="228"/>
      <c r="J58" s="148"/>
      <c r="K58" s="144"/>
      <c r="L58" s="227" t="s">
        <v>294</v>
      </c>
      <c r="M58" s="228"/>
      <c r="N58" s="148"/>
      <c r="O58" s="144"/>
      <c r="P58" s="227"/>
      <c r="Q58" s="228"/>
      <c r="R58" s="148"/>
      <c r="S58" s="144"/>
      <c r="T58" s="227" t="s">
        <v>376</v>
      </c>
      <c r="U58" s="228"/>
      <c r="V58" s="148"/>
      <c r="W58" s="144"/>
      <c r="X58" s="227" t="s">
        <v>381</v>
      </c>
      <c r="Y58" s="228"/>
      <c r="Z58" s="148"/>
      <c r="AA58" s="144"/>
      <c r="AB58" s="250" t="s">
        <v>359</v>
      </c>
      <c r="AC58" s="251"/>
      <c r="AD58" s="148"/>
      <c r="AE58" s="144"/>
      <c r="AF58" s="227" t="s">
        <v>384</v>
      </c>
      <c r="AG58" s="228"/>
      <c r="AH58" s="148"/>
      <c r="AI58" s="144"/>
      <c r="AJ58" s="238"/>
      <c r="AK58" s="239"/>
      <c r="AL58" s="148"/>
      <c r="AM58" s="144"/>
      <c r="AN58" s="238"/>
      <c r="AO58" s="239"/>
      <c r="AP58" s="148"/>
      <c r="AQ58" s="144"/>
      <c r="AR58" s="227"/>
      <c r="AS58" s="228"/>
      <c r="AT58" s="148"/>
      <c r="AU58" s="144"/>
      <c r="AV58" s="227"/>
      <c r="AW58" s="228"/>
      <c r="AX58" s="148"/>
    </row>
    <row r="59" spans="1:61">
      <c r="C59" s="144"/>
      <c r="D59" s="227"/>
      <c r="E59" s="228"/>
      <c r="F59" s="146"/>
      <c r="G59" s="144"/>
      <c r="H59" s="227"/>
      <c r="I59" s="228"/>
      <c r="J59" s="148"/>
      <c r="K59" s="144"/>
      <c r="L59" s="227"/>
      <c r="M59" s="228"/>
      <c r="N59" s="148"/>
      <c r="O59" s="144"/>
      <c r="P59" s="227"/>
      <c r="Q59" s="228"/>
      <c r="R59" s="148"/>
      <c r="S59" s="144">
        <v>43236</v>
      </c>
      <c r="T59" s="246" t="s">
        <v>378</v>
      </c>
      <c r="U59" s="247"/>
      <c r="V59" s="148"/>
      <c r="W59" s="144">
        <v>43263</v>
      </c>
      <c r="X59" s="246" t="s">
        <v>378</v>
      </c>
      <c r="Y59" s="247"/>
      <c r="Z59" s="148"/>
      <c r="AA59" s="144"/>
      <c r="AB59" s="246" t="s">
        <v>452</v>
      </c>
      <c r="AC59" s="247"/>
      <c r="AD59" s="148">
        <f>(50*7)-'01'!D13-'03'!E13</f>
        <v>285.02</v>
      </c>
      <c r="AE59" s="144"/>
      <c r="AF59" s="227" t="s">
        <v>385</v>
      </c>
      <c r="AG59" s="228"/>
      <c r="AH59" s="148"/>
      <c r="AI59" s="144"/>
      <c r="AJ59" s="238"/>
      <c r="AK59" s="239"/>
      <c r="AL59" s="148"/>
      <c r="AM59" s="144"/>
      <c r="AN59" s="238"/>
      <c r="AO59" s="239"/>
      <c r="AP59" s="148"/>
      <c r="AQ59" s="144">
        <v>43406</v>
      </c>
      <c r="AR59" s="227" t="s">
        <v>660</v>
      </c>
      <c r="AS59" s="228"/>
      <c r="AT59" s="148"/>
      <c r="AU59" s="144">
        <v>43189</v>
      </c>
      <c r="AV59" s="227" t="s">
        <v>440</v>
      </c>
      <c r="AW59" s="228"/>
      <c r="AX59" s="148"/>
    </row>
    <row r="60" spans="1:61">
      <c r="C60" s="144"/>
      <c r="D60" s="227"/>
      <c r="E60" s="228"/>
      <c r="F60" s="146"/>
      <c r="G60" s="144"/>
      <c r="H60" s="227"/>
      <c r="I60" s="228"/>
      <c r="J60" s="148"/>
      <c r="K60" s="144"/>
      <c r="L60" s="227"/>
      <c r="M60" s="228"/>
      <c r="N60" s="148"/>
      <c r="O60" s="144"/>
      <c r="P60" s="227"/>
      <c r="Q60" s="228"/>
      <c r="R60" s="148"/>
      <c r="S60" s="144"/>
      <c r="T60" s="246"/>
      <c r="U60" s="247"/>
      <c r="V60" s="148"/>
      <c r="W60" s="144"/>
      <c r="X60" s="238" t="s">
        <v>308</v>
      </c>
      <c r="Y60" s="239"/>
      <c r="Z60" s="148">
        <f>622.46*2</f>
        <v>1244.92</v>
      </c>
      <c r="AA60" s="144"/>
      <c r="AB60" s="238"/>
      <c r="AC60" s="239"/>
      <c r="AD60" s="148"/>
      <c r="AE60" s="144">
        <v>43319</v>
      </c>
      <c r="AF60" s="246" t="s">
        <v>378</v>
      </c>
      <c r="AG60" s="247"/>
      <c r="AH60" s="148"/>
      <c r="AI60" s="144"/>
      <c r="AJ60" s="238"/>
      <c r="AK60" s="239"/>
      <c r="AL60" s="148"/>
      <c r="AM60" s="144"/>
      <c r="AN60" s="238"/>
      <c r="AO60" s="239"/>
      <c r="AP60" s="148"/>
      <c r="AQ60" s="144"/>
      <c r="AR60" s="227" t="s">
        <v>380</v>
      </c>
      <c r="AS60" s="228"/>
      <c r="AT60" s="148"/>
      <c r="AU60" s="144"/>
      <c r="AV60" s="227" t="s">
        <v>293</v>
      </c>
      <c r="AW60" s="228"/>
      <c r="AX60" s="148"/>
    </row>
    <row r="61" spans="1:61">
      <c r="C61" s="144"/>
      <c r="D61" s="227"/>
      <c r="E61" s="228"/>
      <c r="F61" s="146"/>
      <c r="G61" s="144"/>
      <c r="H61" s="227"/>
      <c r="I61" s="228"/>
      <c r="J61" s="148"/>
      <c r="K61" s="144"/>
      <c r="L61" s="227"/>
      <c r="M61" s="228"/>
      <c r="N61" s="148"/>
      <c r="O61" s="144"/>
      <c r="P61" s="227"/>
      <c r="Q61" s="228"/>
      <c r="R61" s="148"/>
      <c r="S61" s="144"/>
      <c r="T61" s="246"/>
      <c r="U61" s="247"/>
      <c r="V61" s="148"/>
      <c r="W61" s="144"/>
      <c r="X61" s="238"/>
      <c r="Y61" s="239"/>
      <c r="Z61" s="148"/>
      <c r="AA61" s="144"/>
      <c r="AB61" s="238"/>
      <c r="AC61" s="239"/>
      <c r="AD61" s="148"/>
      <c r="AE61" s="144"/>
      <c r="AF61" s="238"/>
      <c r="AG61" s="239"/>
      <c r="AH61" s="148"/>
      <c r="AI61" s="144"/>
      <c r="AJ61" s="238"/>
      <c r="AK61" s="239"/>
      <c r="AL61" s="148"/>
      <c r="AM61" s="144"/>
      <c r="AN61" s="238"/>
      <c r="AO61" s="239"/>
      <c r="AP61" s="148"/>
      <c r="AQ61" s="144"/>
      <c r="AR61" s="227" t="s">
        <v>661</v>
      </c>
      <c r="AS61" s="228"/>
      <c r="AT61" s="148"/>
      <c r="AU61" s="144"/>
      <c r="AV61" s="227" t="s">
        <v>661</v>
      </c>
      <c r="AW61" s="228"/>
      <c r="AX61" s="148"/>
    </row>
    <row r="62" spans="1:61">
      <c r="C62" s="144"/>
      <c r="D62" s="227"/>
      <c r="E62" s="228"/>
      <c r="F62" s="146"/>
      <c r="G62" s="144"/>
      <c r="H62" s="227"/>
      <c r="I62" s="228"/>
      <c r="J62" s="148"/>
      <c r="K62" s="144"/>
      <c r="L62" s="227"/>
      <c r="M62" s="228"/>
      <c r="N62" s="148"/>
      <c r="O62" s="144"/>
      <c r="P62" s="227"/>
      <c r="Q62" s="228"/>
      <c r="R62" s="148"/>
      <c r="S62" s="144"/>
      <c r="T62" s="246"/>
      <c r="U62" s="247"/>
      <c r="V62" s="148"/>
      <c r="W62" s="144"/>
      <c r="X62" s="238"/>
      <c r="Y62" s="239"/>
      <c r="Z62" s="148"/>
      <c r="AA62" s="144"/>
      <c r="AB62" s="238"/>
      <c r="AC62" s="239"/>
      <c r="AD62" s="148"/>
      <c r="AE62" s="144"/>
      <c r="AF62" s="238"/>
      <c r="AG62" s="239"/>
      <c r="AH62" s="148"/>
      <c r="AI62" s="144"/>
      <c r="AJ62" s="238"/>
      <c r="AK62" s="239"/>
      <c r="AL62" s="148"/>
      <c r="AM62" s="144"/>
      <c r="AN62" s="238"/>
      <c r="AO62" s="239"/>
      <c r="AP62" s="148"/>
      <c r="AQ62" s="144"/>
      <c r="AR62" s="227"/>
      <c r="AS62" s="228"/>
      <c r="AT62" s="148"/>
      <c r="AU62" s="144"/>
      <c r="AV62" s="227"/>
      <c r="AW62" s="228"/>
      <c r="AX62" s="148"/>
    </row>
    <row r="63" spans="1:61">
      <c r="C63" s="144"/>
      <c r="D63" s="227"/>
      <c r="E63" s="228"/>
      <c r="F63" s="146"/>
      <c r="G63" s="144"/>
      <c r="H63" s="227"/>
      <c r="I63" s="228"/>
      <c r="J63" s="148"/>
      <c r="K63" s="144"/>
      <c r="L63" s="227"/>
      <c r="M63" s="228"/>
      <c r="N63" s="148"/>
      <c r="O63" s="144"/>
      <c r="P63" s="227"/>
      <c r="Q63" s="228"/>
      <c r="R63" s="148"/>
      <c r="S63" s="144"/>
      <c r="T63" s="246"/>
      <c r="U63" s="247"/>
      <c r="V63" s="148"/>
      <c r="W63" s="144"/>
      <c r="X63" s="238"/>
      <c r="Y63" s="239"/>
      <c r="Z63" s="148"/>
      <c r="AA63" s="144"/>
      <c r="AB63" s="238"/>
      <c r="AC63" s="239"/>
      <c r="AD63" s="148"/>
      <c r="AE63" s="144"/>
      <c r="AF63" s="238"/>
      <c r="AG63" s="239"/>
      <c r="AH63" s="148"/>
      <c r="AI63" s="144"/>
      <c r="AJ63" s="238"/>
      <c r="AK63" s="239"/>
      <c r="AL63" s="148"/>
      <c r="AM63" s="144"/>
      <c r="AN63" s="238"/>
      <c r="AO63" s="239"/>
      <c r="AP63" s="148"/>
      <c r="AQ63" s="144"/>
      <c r="AR63" s="227"/>
      <c r="AS63" s="228"/>
      <c r="AT63" s="148"/>
      <c r="AU63" s="144"/>
      <c r="AV63" s="227"/>
      <c r="AW63" s="228"/>
      <c r="AX63" s="148"/>
    </row>
    <row r="64" spans="1:61">
      <c r="C64" s="144"/>
      <c r="D64" s="227"/>
      <c r="E64" s="228"/>
      <c r="F64" s="146"/>
      <c r="G64" s="144"/>
      <c r="H64" s="227"/>
      <c r="I64" s="228"/>
      <c r="J64" s="148"/>
      <c r="K64" s="144"/>
      <c r="L64" s="227"/>
      <c r="M64" s="228"/>
      <c r="N64" s="148"/>
      <c r="O64" s="144"/>
      <c r="P64" s="227"/>
      <c r="Q64" s="228"/>
      <c r="R64" s="148"/>
      <c r="S64" s="144"/>
      <c r="T64" s="246"/>
      <c r="U64" s="247"/>
      <c r="V64" s="148"/>
      <c r="W64" s="144"/>
      <c r="X64" s="238"/>
      <c r="Y64" s="239"/>
      <c r="Z64" s="148"/>
      <c r="AA64" s="144"/>
      <c r="AB64" s="238"/>
      <c r="AC64" s="239"/>
      <c r="AD64" s="148"/>
      <c r="AE64" s="144"/>
      <c r="AF64" s="238"/>
      <c r="AG64" s="239"/>
      <c r="AH64" s="148"/>
      <c r="AI64" s="144"/>
      <c r="AJ64" s="238"/>
      <c r="AK64" s="239"/>
      <c r="AL64" s="148"/>
      <c r="AM64" s="144"/>
      <c r="AN64" s="238"/>
      <c r="AO64" s="239"/>
      <c r="AP64" s="148"/>
      <c r="AQ64" s="144"/>
      <c r="AR64" s="227"/>
      <c r="AS64" s="228"/>
      <c r="AT64" s="148"/>
      <c r="AU64" s="144"/>
      <c r="AV64" s="227"/>
      <c r="AW64" s="228"/>
      <c r="AX64" s="148"/>
    </row>
    <row r="65" spans="3:50">
      <c r="C65" s="144"/>
      <c r="D65" s="227"/>
      <c r="E65" s="228"/>
      <c r="F65" s="146"/>
      <c r="G65" s="144"/>
      <c r="H65" s="227"/>
      <c r="I65" s="228"/>
      <c r="J65" s="148"/>
      <c r="K65" s="144"/>
      <c r="L65" s="227"/>
      <c r="M65" s="228"/>
      <c r="N65" s="148"/>
      <c r="O65" s="144"/>
      <c r="P65" s="227"/>
      <c r="Q65" s="228"/>
      <c r="R65" s="148"/>
      <c r="S65" s="144"/>
      <c r="T65" s="246"/>
      <c r="U65" s="247"/>
      <c r="V65" s="148"/>
      <c r="W65" s="144"/>
      <c r="X65" s="238"/>
      <c r="Y65" s="239"/>
      <c r="Z65" s="148"/>
      <c r="AA65" s="144"/>
      <c r="AB65" s="238"/>
      <c r="AC65" s="239"/>
      <c r="AD65" s="148"/>
      <c r="AE65" s="144"/>
      <c r="AF65" s="238"/>
      <c r="AG65" s="239"/>
      <c r="AH65" s="148"/>
      <c r="AI65" s="144"/>
      <c r="AJ65" s="238"/>
      <c r="AK65" s="239"/>
      <c r="AL65" s="148"/>
      <c r="AM65" s="144"/>
      <c r="AN65" s="238"/>
      <c r="AO65" s="239"/>
      <c r="AP65" s="148"/>
      <c r="AQ65" s="144"/>
      <c r="AR65" s="227"/>
      <c r="AS65" s="228"/>
      <c r="AT65" s="148"/>
      <c r="AU65" s="144"/>
      <c r="AV65" s="227"/>
      <c r="AW65" s="228"/>
      <c r="AX65" s="148"/>
    </row>
    <row r="66" spans="3:50">
      <c r="C66" s="144"/>
      <c r="D66" s="227"/>
      <c r="E66" s="228"/>
      <c r="F66" s="146"/>
      <c r="G66" s="144"/>
      <c r="H66" s="227"/>
      <c r="I66" s="228"/>
      <c r="J66" s="148"/>
      <c r="K66" s="144"/>
      <c r="L66" s="227"/>
      <c r="M66" s="228"/>
      <c r="N66" s="148"/>
      <c r="O66" s="144"/>
      <c r="P66" s="227"/>
      <c r="Q66" s="228"/>
      <c r="R66" s="148"/>
      <c r="S66" s="144"/>
      <c r="T66" s="238"/>
      <c r="U66" s="239"/>
      <c r="V66" s="148"/>
      <c r="W66" s="144"/>
      <c r="X66" s="238"/>
      <c r="Y66" s="239"/>
      <c r="Z66" s="148"/>
      <c r="AA66" s="144"/>
      <c r="AB66" s="238"/>
      <c r="AC66" s="239"/>
      <c r="AD66" s="148"/>
      <c r="AE66" s="144"/>
      <c r="AF66" s="238"/>
      <c r="AG66" s="239"/>
      <c r="AH66" s="148"/>
      <c r="AI66" s="144"/>
      <c r="AJ66" s="238"/>
      <c r="AK66" s="239"/>
      <c r="AL66" s="148"/>
      <c r="AM66" s="144"/>
      <c r="AN66" s="238"/>
      <c r="AO66" s="239"/>
      <c r="AP66" s="148"/>
      <c r="AQ66" s="144"/>
      <c r="AR66" s="227"/>
      <c r="AS66" s="228"/>
      <c r="AT66" s="148"/>
      <c r="AU66" s="144"/>
      <c r="AV66" s="227"/>
      <c r="AW66" s="228"/>
      <c r="AX66" s="148"/>
    </row>
    <row r="67" spans="3:50">
      <c r="C67" s="144"/>
      <c r="D67" s="227"/>
      <c r="E67" s="228"/>
      <c r="F67" s="146"/>
      <c r="G67" s="144"/>
      <c r="H67" s="227"/>
      <c r="I67" s="228"/>
      <c r="J67" s="148"/>
      <c r="K67" s="144"/>
      <c r="L67" s="227"/>
      <c r="M67" s="228"/>
      <c r="N67" s="148"/>
      <c r="O67" s="144"/>
      <c r="P67" s="227"/>
      <c r="Q67" s="228"/>
      <c r="R67" s="148"/>
      <c r="S67" s="144"/>
      <c r="T67" s="238"/>
      <c r="U67" s="239"/>
      <c r="V67" s="148"/>
      <c r="W67" s="144"/>
      <c r="X67" s="238"/>
      <c r="Y67" s="239"/>
      <c r="Z67" s="148"/>
      <c r="AA67" s="144"/>
      <c r="AB67" s="238"/>
      <c r="AC67" s="239"/>
      <c r="AD67" s="148"/>
      <c r="AE67" s="144"/>
      <c r="AF67" s="238"/>
      <c r="AG67" s="239"/>
      <c r="AH67" s="148"/>
      <c r="AI67" s="144"/>
      <c r="AJ67" s="238"/>
      <c r="AK67" s="239"/>
      <c r="AL67" s="148"/>
      <c r="AM67" s="144"/>
      <c r="AN67" s="238"/>
      <c r="AO67" s="239"/>
      <c r="AP67" s="148"/>
      <c r="AQ67" s="144"/>
      <c r="AR67" s="227"/>
      <c r="AS67" s="228"/>
      <c r="AT67" s="148"/>
      <c r="AU67" s="144"/>
      <c r="AV67" s="227"/>
      <c r="AW67" s="228"/>
      <c r="AX67" s="148"/>
    </row>
    <row r="68" spans="3:50">
      <c r="C68" s="144"/>
      <c r="D68" s="227"/>
      <c r="E68" s="228"/>
      <c r="F68" s="146"/>
      <c r="G68" s="144"/>
      <c r="H68" s="227"/>
      <c r="I68" s="228"/>
      <c r="J68" s="148"/>
      <c r="K68" s="144"/>
      <c r="L68" s="227"/>
      <c r="M68" s="228"/>
      <c r="N68" s="148"/>
      <c r="O68" s="144"/>
      <c r="P68" s="227"/>
      <c r="Q68" s="228"/>
      <c r="R68" s="148"/>
      <c r="S68" s="144"/>
      <c r="T68" s="238"/>
      <c r="U68" s="239"/>
      <c r="V68" s="148"/>
      <c r="W68" s="144"/>
      <c r="X68" s="238"/>
      <c r="Y68" s="239"/>
      <c r="Z68" s="148"/>
      <c r="AA68" s="144"/>
      <c r="AB68" s="238"/>
      <c r="AC68" s="239"/>
      <c r="AD68" s="148"/>
      <c r="AE68" s="144"/>
      <c r="AF68" s="238"/>
      <c r="AG68" s="239"/>
      <c r="AH68" s="148"/>
      <c r="AI68" s="144"/>
      <c r="AJ68" s="238"/>
      <c r="AK68" s="239"/>
      <c r="AL68" s="148"/>
      <c r="AM68" s="144"/>
      <c r="AN68" s="238"/>
      <c r="AO68" s="239"/>
      <c r="AP68" s="148"/>
      <c r="AQ68" s="144"/>
      <c r="AR68" s="227"/>
      <c r="AS68" s="228"/>
      <c r="AT68" s="148"/>
      <c r="AU68" s="144"/>
      <c r="AV68" s="227"/>
      <c r="AW68" s="228"/>
      <c r="AX68" s="148"/>
    </row>
    <row r="69" spans="3:50">
      <c r="C69" s="144"/>
      <c r="D69" s="227"/>
      <c r="E69" s="228"/>
      <c r="F69" s="146"/>
      <c r="G69" s="144"/>
      <c r="H69" s="227"/>
      <c r="I69" s="228"/>
      <c r="J69" s="148"/>
      <c r="K69" s="144"/>
      <c r="L69" s="227"/>
      <c r="M69" s="228"/>
      <c r="N69" s="148"/>
      <c r="O69" s="144"/>
      <c r="P69" s="227"/>
      <c r="Q69" s="228"/>
      <c r="R69" s="148"/>
      <c r="S69" s="144"/>
      <c r="T69" s="238"/>
      <c r="U69" s="239"/>
      <c r="V69" s="148"/>
      <c r="W69" s="144"/>
      <c r="X69" s="238"/>
      <c r="Y69" s="239"/>
      <c r="Z69" s="148"/>
      <c r="AA69" s="144"/>
      <c r="AB69" s="238"/>
      <c r="AC69" s="239"/>
      <c r="AD69" s="148"/>
      <c r="AE69" s="144"/>
      <c r="AF69" s="238"/>
      <c r="AG69" s="239"/>
      <c r="AH69" s="148"/>
      <c r="AI69" s="144"/>
      <c r="AJ69" s="238"/>
      <c r="AK69" s="239"/>
      <c r="AL69" s="148"/>
      <c r="AM69" s="144"/>
      <c r="AN69" s="238"/>
      <c r="AO69" s="239"/>
      <c r="AP69" s="148"/>
      <c r="AQ69" s="144"/>
      <c r="AR69" s="227"/>
      <c r="AS69" s="228"/>
      <c r="AT69" s="148"/>
      <c r="AU69" s="144"/>
      <c r="AV69" s="227"/>
      <c r="AW69" s="228"/>
      <c r="AX69" s="148"/>
    </row>
    <row r="70" spans="3:50">
      <c r="C70" s="144"/>
      <c r="D70" s="227"/>
      <c r="E70" s="228"/>
      <c r="F70" s="146"/>
      <c r="G70" s="144"/>
      <c r="H70" s="227"/>
      <c r="I70" s="228"/>
      <c r="J70" s="148"/>
      <c r="K70" s="144"/>
      <c r="L70" s="227"/>
      <c r="M70" s="228"/>
      <c r="N70" s="148"/>
      <c r="O70" s="144"/>
      <c r="P70" s="227"/>
      <c r="Q70" s="228"/>
      <c r="R70" s="148"/>
      <c r="S70" s="144"/>
      <c r="T70" s="238"/>
      <c r="U70" s="239"/>
      <c r="V70" s="148"/>
      <c r="W70" s="144"/>
      <c r="X70" s="227" t="s">
        <v>431</v>
      </c>
      <c r="Y70" s="228"/>
      <c r="Z70" s="148">
        <f>3289.11+270.87</f>
        <v>3559.98</v>
      </c>
      <c r="AA70" s="144"/>
      <c r="AB70" s="238"/>
      <c r="AC70" s="239"/>
      <c r="AD70" s="148"/>
      <c r="AE70" s="144"/>
      <c r="AF70" s="238"/>
      <c r="AG70" s="239"/>
      <c r="AH70" s="148"/>
      <c r="AI70" s="144"/>
      <c r="AJ70" s="238"/>
      <c r="AK70" s="239"/>
      <c r="AL70" s="148"/>
      <c r="AM70" s="144"/>
      <c r="AN70" s="238"/>
      <c r="AO70" s="239"/>
      <c r="AP70" s="148"/>
      <c r="AQ70" s="144"/>
      <c r="AR70" s="227"/>
      <c r="AS70" s="228"/>
      <c r="AT70" s="148"/>
      <c r="AU70" s="144"/>
      <c r="AV70" s="227"/>
      <c r="AW70" s="228"/>
      <c r="AX70" s="148"/>
    </row>
    <row r="71" spans="3:50" ht="15.75" thickBot="1">
      <c r="C71" s="145"/>
      <c r="D71" s="229"/>
      <c r="E71" s="230"/>
      <c r="F71" s="147"/>
      <c r="G71" s="145"/>
      <c r="H71" s="229"/>
      <c r="I71" s="230"/>
      <c r="J71" s="149"/>
      <c r="K71" s="145"/>
      <c r="L71" s="229"/>
      <c r="M71" s="230"/>
      <c r="N71" s="149"/>
      <c r="O71" s="145"/>
      <c r="P71" s="229"/>
      <c r="Q71" s="230"/>
      <c r="R71" s="149"/>
      <c r="S71" s="145"/>
      <c r="T71" s="240"/>
      <c r="U71" s="241"/>
      <c r="V71" s="149"/>
      <c r="W71" s="145"/>
      <c r="X71" s="254" t="s">
        <v>432</v>
      </c>
      <c r="Y71" s="255"/>
      <c r="Z71" s="149">
        <f>Z70-1484.91-429.89</f>
        <v>1645.1799999999998</v>
      </c>
      <c r="AA71" s="145"/>
      <c r="AB71" s="240"/>
      <c r="AC71" s="241"/>
      <c r="AD71" s="149">
        <f>550-161.56</f>
        <v>388.44</v>
      </c>
      <c r="AE71" s="145"/>
      <c r="AF71" s="240"/>
      <c r="AG71" s="241"/>
      <c r="AH71" s="149"/>
      <c r="AI71" s="145"/>
      <c r="AJ71" s="240"/>
      <c r="AK71" s="241"/>
      <c r="AL71" s="149"/>
      <c r="AM71" s="145"/>
      <c r="AN71" s="240"/>
      <c r="AO71" s="241"/>
      <c r="AP71" s="149"/>
      <c r="AQ71" s="145"/>
      <c r="AR71" s="229"/>
      <c r="AS71" s="230"/>
      <c r="AT71" s="149"/>
      <c r="AU71" s="145"/>
      <c r="AV71" s="229"/>
      <c r="AW71" s="230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275" workbookViewId="0">
      <selection activeCell="E100" sqref="E10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2037.62</v>
      </c>
      <c r="L5" s="298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6798.75</v>
      </c>
      <c r="L7" s="288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400+185+90</f>
        <v>675</v>
      </c>
      <c r="L11" s="288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24613.260000000002</v>
      </c>
      <c r="L19" s="304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 t="s">
        <v>609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576</v>
      </c>
      <c r="K25" s="297">
        <v>300</v>
      </c>
      <c r="L25" s="298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280.26</v>
      </c>
      <c r="L26" s="288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581</v>
      </c>
      <c r="K27" s="287">
        <v>586.85</v>
      </c>
      <c r="L27" s="288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645</v>
      </c>
      <c r="K28" s="287">
        <v>500</v>
      </c>
      <c r="L28" s="288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590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599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604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605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618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628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631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635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639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573</v>
      </c>
      <c r="H66" s="1"/>
      <c r="M66" s="1"/>
      <c r="R66" s="3"/>
    </row>
    <row r="67" spans="1:18" ht="15.75">
      <c r="A67" s="1"/>
      <c r="B67" s="55">
        <v>97.1</v>
      </c>
      <c r="C67" s="33" t="s">
        <v>646</v>
      </c>
      <c r="D67" s="57">
        <f>29.39</f>
        <v>29.39</v>
      </c>
      <c r="E67" s="58"/>
      <c r="F67" s="58">
        <v>1</v>
      </c>
      <c r="G67" s="70" t="s">
        <v>606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629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644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571</v>
      </c>
      <c r="H86" s="1"/>
      <c r="M86" s="1"/>
      <c r="R86" s="3"/>
    </row>
    <row r="87" spans="1:18" ht="15.75">
      <c r="A87" s="1"/>
      <c r="B87" s="55">
        <v>2.9</v>
      </c>
      <c r="C87" s="33" t="s">
        <v>646</v>
      </c>
      <c r="D87" s="57">
        <v>53.97</v>
      </c>
      <c r="E87" s="58"/>
      <c r="F87" s="58"/>
      <c r="G87" s="33" t="s">
        <v>591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601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602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612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615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630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640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617</v>
      </c>
      <c r="D108" s="57">
        <f>2</f>
        <v>2</v>
      </c>
      <c r="E108" s="58"/>
      <c r="F108" s="58"/>
      <c r="G108" s="73" t="s">
        <v>613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616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570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575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579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580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507</v>
      </c>
      <c r="D186" s="57">
        <v>33.799999999999997</v>
      </c>
      <c r="E186" s="58"/>
      <c r="F186" s="58"/>
      <c r="G186" s="33" t="s">
        <v>574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586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648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600</v>
      </c>
    </row>
    <row r="287" spans="2:7">
      <c r="B287" s="55">
        <v>399</v>
      </c>
      <c r="C287" s="33" t="s">
        <v>647</v>
      </c>
      <c r="D287" s="57">
        <v>9.6999999999999993</v>
      </c>
      <c r="E287" s="58"/>
      <c r="F287" s="58"/>
      <c r="G287" s="33" t="s">
        <v>632</v>
      </c>
    </row>
    <row r="288" spans="2:7">
      <c r="B288" s="55"/>
      <c r="C288" s="33"/>
      <c r="D288" s="57"/>
      <c r="E288" s="58">
        <v>27.64</v>
      </c>
      <c r="F288" s="58"/>
      <c r="G288" s="33" t="s">
        <v>633</v>
      </c>
    </row>
    <row r="289" spans="2:7">
      <c r="B289" s="55"/>
      <c r="C289" s="33"/>
      <c r="D289" s="57">
        <v>6.49</v>
      </c>
      <c r="E289" s="58"/>
      <c r="F289" s="58"/>
      <c r="G289" s="33" t="s">
        <v>638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473</v>
      </c>
      <c r="D306" s="57">
        <v>10.81</v>
      </c>
      <c r="E306" s="58"/>
      <c r="F306" s="58"/>
      <c r="G306" s="33" t="s">
        <v>572</v>
      </c>
    </row>
    <row r="307" spans="2:7">
      <c r="B307" s="84"/>
      <c r="C307" s="66"/>
      <c r="D307" s="57">
        <v>49.56</v>
      </c>
      <c r="E307" s="58"/>
      <c r="F307" s="58"/>
      <c r="G307" s="33" t="s">
        <v>585</v>
      </c>
    </row>
    <row r="308" spans="2:7">
      <c r="B308" s="84"/>
      <c r="C308" s="66"/>
      <c r="D308" s="57">
        <v>9.1</v>
      </c>
      <c r="E308" s="58"/>
      <c r="F308" s="58"/>
      <c r="G308" s="33" t="s">
        <v>608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614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607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593</v>
      </c>
    </row>
    <row r="347" spans="2:7">
      <c r="B347" s="55">
        <v>30</v>
      </c>
      <c r="C347" s="33" t="s">
        <v>559</v>
      </c>
      <c r="D347" s="57">
        <v>83</v>
      </c>
      <c r="E347" s="58"/>
      <c r="F347" s="58"/>
      <c r="G347" s="33" t="s">
        <v>641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592</v>
      </c>
    </row>
    <row r="368" spans="2:7">
      <c r="B368" s="55"/>
      <c r="C368" s="33"/>
      <c r="D368" s="57">
        <v>5.78</v>
      </c>
      <c r="E368" s="58"/>
      <c r="F368" s="58"/>
      <c r="G368" s="33" t="s">
        <v>597</v>
      </c>
    </row>
    <row r="369" spans="2:7">
      <c r="B369" s="55"/>
      <c r="C369" s="33"/>
      <c r="D369" s="57">
        <v>15.01</v>
      </c>
      <c r="E369" s="58"/>
      <c r="F369" s="58"/>
      <c r="G369" s="33" t="s">
        <v>603</v>
      </c>
    </row>
    <row r="370" spans="2:7">
      <c r="B370" s="55"/>
      <c r="C370" s="33"/>
      <c r="D370" s="57">
        <v>3.78</v>
      </c>
      <c r="E370" s="58"/>
      <c r="F370" s="58"/>
      <c r="G370" s="33" t="s">
        <v>648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9" ht="15" customHeight="1" thickBot="1">
      <c r="B423" s="307"/>
      <c r="C423" s="308"/>
      <c r="D423" s="308"/>
      <c r="E423" s="308"/>
      <c r="F423" s="308"/>
      <c r="G423" s="309"/>
    </row>
    <row r="424" spans="2:9">
      <c r="B424" s="300" t="s">
        <v>10</v>
      </c>
      <c r="C424" s="301"/>
      <c r="D424" s="302" t="s">
        <v>11</v>
      </c>
      <c r="E424" s="302"/>
      <c r="F424" s="302"/>
      <c r="G424" s="301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652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485</v>
      </c>
      <c r="D466" s="57"/>
      <c r="E466" s="58"/>
      <c r="F466" s="58">
        <v>100</v>
      </c>
      <c r="G466" s="33" t="s">
        <v>582</v>
      </c>
      <c r="H466" s="137" t="s">
        <v>583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527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7" workbookViewId="0">
      <selection activeCell="B42" sqref="B42:G4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>
        <v>2339.39</v>
      </c>
      <c r="L5" s="315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405.59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>
        <f>5618.33+399+8.39+28.86</f>
        <v>6054.58</v>
      </c>
      <c r="L7" s="317"/>
      <c r="M7" s="1"/>
      <c r="N7" s="1"/>
      <c r="R7" s="3"/>
    </row>
    <row r="8" spans="1:22" ht="15.75">
      <c r="A8" s="163">
        <f>'09'!A8+B8-SUM(D8:F8)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6">
        <v>260</v>
      </c>
      <c r="L11" s="317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689</v>
      </c>
      <c r="H12" s="163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23755.86</v>
      </c>
      <c r="L19" s="311"/>
      <c r="M19" s="1"/>
      <c r="N19" s="1"/>
      <c r="R19" s="3"/>
    </row>
    <row r="20" spans="1:18" ht="16.5" thickBot="1">
      <c r="A20" s="163">
        <f>SUM(A6:A15)</f>
        <v>540.6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304.2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656</v>
      </c>
      <c r="K25" s="314">
        <v>209.32</v>
      </c>
      <c r="L25" s="315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6">
        <v>550</v>
      </c>
      <c r="L26" s="317"/>
      <c r="M26" s="1"/>
      <c r="R26" s="3"/>
    </row>
    <row r="27" spans="1:18" ht="15.75">
      <c r="A27" s="163">
        <f>'09'!A27+B27-D27</f>
        <v>173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>
        <v>4</v>
      </c>
      <c r="J27" s="35" t="s">
        <v>691</v>
      </c>
      <c r="K27" s="316">
        <v>0.06</v>
      </c>
      <c r="L27" s="317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696</v>
      </c>
      <c r="K28" s="316">
        <v>201.21</v>
      </c>
      <c r="L28" s="317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830.69999999999993</v>
      </c>
      <c r="B40" s="221">
        <f>SUM(B26:B39)</f>
        <v>1128</v>
      </c>
      <c r="C40" s="34" t="s">
        <v>66</v>
      </c>
      <c r="D40" s="221">
        <f>SUM(D26:D39)</f>
        <v>1014.4000000000001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657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666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673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679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681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682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683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685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686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697</v>
      </c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317.77999999999997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649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655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658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671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688</v>
      </c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113.74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164">
        <v>2.4</v>
      </c>
      <c r="E86" s="224"/>
      <c r="F86" s="224"/>
      <c r="G86" s="33" t="s">
        <v>664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676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678</v>
      </c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52.699999999999996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3784.6200000000003</v>
      </c>
      <c r="B120" s="221">
        <f>SUM(B106:B119)</f>
        <v>400</v>
      </c>
      <c r="C120" s="34" t="s">
        <v>66</v>
      </c>
      <c r="D120" s="221">
        <f>SUM(D106:D119)</f>
        <v>328.82000000000005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>
        <v>28.86</v>
      </c>
      <c r="E146" s="224"/>
      <c r="F146" s="224"/>
      <c r="G146" s="33" t="s">
        <v>650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596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>
        <v>45</v>
      </c>
      <c r="G186" s="33" t="s">
        <v>670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25.49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677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651</v>
      </c>
    </row>
    <row r="287" spans="2:7">
      <c r="B287" s="220">
        <v>-40</v>
      </c>
      <c r="C287" s="33" t="s">
        <v>595</v>
      </c>
      <c r="D287" s="223">
        <v>20.5</v>
      </c>
      <c r="E287" s="224"/>
      <c r="F287" s="224"/>
      <c r="G287" s="33" t="s">
        <v>665</v>
      </c>
    </row>
    <row r="288" spans="2:7">
      <c r="B288" s="220"/>
      <c r="C288" s="33"/>
      <c r="D288" s="223"/>
      <c r="E288" s="224">
        <v>11.99</v>
      </c>
      <c r="F288" s="224"/>
      <c r="G288" s="33" t="s">
        <v>680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473</v>
      </c>
      <c r="D306" s="223">
        <f>34.5+34.5</f>
        <v>69</v>
      </c>
      <c r="E306" s="224"/>
      <c r="F306" s="224"/>
      <c r="G306" s="33" t="s">
        <v>672</v>
      </c>
    </row>
    <row r="307" spans="2:7">
      <c r="B307" s="220"/>
      <c r="C307" s="66"/>
      <c r="D307" s="223">
        <v>38.39</v>
      </c>
      <c r="E307" s="224"/>
      <c r="F307" s="224"/>
      <c r="G307" s="33" t="s">
        <v>684</v>
      </c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107.39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>
        <v>0.06</v>
      </c>
      <c r="C327" s="33" t="s">
        <v>692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30</v>
      </c>
      <c r="C347" s="33" t="s">
        <v>561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</f>
        <v>13.600000000000001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13.600000000000001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690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'2018'!AM17-A426</f>
        <v>-2871.81</v>
      </c>
      <c r="C426" s="36" t="s">
        <v>560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-2871.81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F000000}"/>
    <hyperlink ref="B442:G443" location="'2018'!AM42:AP42" display="'2018'!AM42:AP42" xr:uid="{00000000-0004-0000-0A00-000030000000}"/>
    <hyperlink ref="B462" location="Trimestre!C25:F26" display="HIPOTECA" xr:uid="{00000000-0004-0000-0A00-000031000000}"/>
    <hyperlink ref="B462:G463" location="'2018'!AM43:AP43" display="'2018'!AM43:AP43" xr:uid="{00000000-0004-0000-0A00-000032000000}"/>
    <hyperlink ref="B482" location="Trimestre!C25:F26" display="HIPOTECA" xr:uid="{00000000-0004-0000-0A00-000033000000}"/>
    <hyperlink ref="B482:G483" location="'2018'!AM44:AP44" display="'2018'!AM44:AP44" xr:uid="{00000000-0004-0000-0A00-000034000000}"/>
    <hyperlink ref="B502" location="Trimestre!C25:F26" display="HIPOTECA" xr:uid="{00000000-0004-0000-0A00-000035000000}"/>
    <hyperlink ref="B502:G503" location="'2018'!AM45:AP45" display="'2018'!AM45:AP45" xr:uid="{00000000-0004-0000-0A00-000036000000}"/>
    <hyperlink ref="I2:L3" location="'2018'!AM4:AP4" display="SALDO REAL" xr:uid="{00000000-0004-0000-0A00-000037000000}"/>
    <hyperlink ref="B422" location="Trimestre!C25:F26" display="HIPOTECA" xr:uid="{00000000-0004-0000-0A00-00002D000000}"/>
    <hyperlink ref="B422:G423" location="'2018'!AM41:AP41" display="'2018'!AM41:AP41" xr:uid="{00000000-0004-0000-0A00-00002E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4" workbookViewId="0">
      <selection activeCell="C13" sqref="C1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625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'10'!A6+B6-E6</f>
        <v>805.18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'10'!A7+B7-E7</f>
        <v>167.8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'10'!A8+B8-E8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'10'!A10+B10-E10</f>
        <v>12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'10'!A11+B11-E11</f>
        <v>30.580000000000002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693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1084.6000000000001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'10'!A26+B26-D26</f>
        <v>900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'10'!A27+B27-D27</f>
        <v>343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'10'!A29+B29-D29</f>
        <v>19.079999999999998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/>
      <c r="L29" s="317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1958.6999999999998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258.47000000000003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71.650000000000006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'10'!A108+B108-D108</f>
        <v>1100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616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>
        <v>32768</v>
      </c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>
        <f>H115*2</f>
        <v>65536</v>
      </c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1430.12</v>
      </c>
      <c r="B120" s="221">
        <f>SUM(B106:B119)</f>
        <v>400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95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588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1:7" ht="15" customHeight="1" thickBot="1">
      <c r="B423" s="292"/>
      <c r="C423" s="293"/>
      <c r="D423" s="293"/>
      <c r="E423" s="293"/>
      <c r="F423" s="293"/>
      <c r="G423" s="294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667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3900</v>
      </c>
      <c r="B426" s="220">
        <f>'2018'!AR17-A426</f>
        <v>-3900</v>
      </c>
      <c r="C426" s="36" t="s">
        <v>637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-3900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7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610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611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ED201570-B011-484C-B1CF-70DD538FB519}"/>
    <hyperlink ref="I22" location="Trimestre!C39:F40" display="TELÉFONO" xr:uid="{78CAFD71-EF69-4AAC-A15A-D19EC7669E01}"/>
    <hyperlink ref="I22:L23" location="'2018'!AQ7:AT7" display="INGRESOS" xr:uid="{650FFC49-4F8B-4C7A-B481-C4CD40FED27A}"/>
    <hyperlink ref="B2" location="Trimestre!C25:F26" display="HIPOTECA" xr:uid="{1C05B563-FE4F-4C5E-877D-AA4B5F340F7E}"/>
    <hyperlink ref="B2:G3" location="'2018'!AQ20:AT20" display="'2018'!AQ20:AT20" xr:uid="{4A4CEDF7-0425-4188-B148-CC32D3AD0FE7}"/>
    <hyperlink ref="B22" location="Trimestre!C25:F26" display="HIPOTECA" xr:uid="{1BB4CFFE-886E-4F6B-AB50-B1C62A48457D}"/>
    <hyperlink ref="B22:G23" location="'2018'!AQ21:AT21" display="'2018'!AQ21:AT21" xr:uid="{E3C3C54A-F91D-4357-964A-CAD927BE70B4}"/>
    <hyperlink ref="B42" location="Trimestre!C25:F26" display="HIPOTECA" xr:uid="{727AEF88-CC33-430F-96B8-FCBB467F7047}"/>
    <hyperlink ref="B42:G43" location="'2018'!AQ22:AT22" display="'2018'!AQ22:AT22" xr:uid="{95507CEA-351B-46E0-9263-89141C588353}"/>
    <hyperlink ref="B62" location="Trimestre!C25:F26" display="HIPOTECA" xr:uid="{71ACCF4F-FE27-4E8C-B942-B01ABB14848F}"/>
    <hyperlink ref="B62:G63" location="'2018'!AQ23:AT23" display="'2018'!AQ23:AT23" xr:uid="{8C036778-0619-4946-8B8D-94C86217B2B3}"/>
    <hyperlink ref="B82" location="Trimestre!C25:F26" display="HIPOTECA" xr:uid="{8FA38B37-C7F6-4A27-ADB0-6B048653A343}"/>
    <hyperlink ref="B82:G83" location="'2018'!AQ24:AT24" display="'2018'!AQ24:AT24" xr:uid="{0974EB9C-46DE-4CAC-B337-9E9B4DC73550}"/>
    <hyperlink ref="B102" location="Trimestre!C25:F26" display="HIPOTECA" xr:uid="{FD31251E-6507-44F6-BD4F-D86F1D50006F}"/>
    <hyperlink ref="B102:G103" location="'2018'!AQ25:AT25" display="'2018'!AQ25:AT25" xr:uid="{0D37AD67-0901-466A-9F38-C88061BDFD8F}"/>
    <hyperlink ref="B122" location="Trimestre!C25:F26" display="HIPOTECA" xr:uid="{C82A9CF3-5B83-47D8-A8F4-2C37411694C7}"/>
    <hyperlink ref="B122:G123" location="'2018'!AQ26:AT26" display="'2018'!AQ26:AT26" xr:uid="{C7E72CE4-E11E-4E7C-A2B9-AB865B9FAD01}"/>
    <hyperlink ref="B142" location="Trimestre!C25:F26" display="HIPOTECA" xr:uid="{A7D51F14-6D9F-47CD-A46F-9D275603CB38}"/>
    <hyperlink ref="B142:G143" location="'2018'!AQ27:AT27" display="'2018'!AQ27:AT27" xr:uid="{07757CD6-C336-49A0-9D3A-ADAD7251D9CD}"/>
    <hyperlink ref="B162" location="Trimestre!C25:F26" display="HIPOTECA" xr:uid="{235F4645-71D9-403A-BF56-DD22E692239C}"/>
    <hyperlink ref="B162:G163" location="'2018'!AQ28:AT28" display="'2018'!AQ28:AT28" xr:uid="{C91CD674-7448-4556-83B5-C0897166E055}"/>
    <hyperlink ref="B182" location="Trimestre!C25:F26" display="HIPOTECA" xr:uid="{073A768A-2D51-4E88-887E-18FF525FE7A1}"/>
    <hyperlink ref="B182:G183" location="'2018'!AQ29:AT29" display="'2018'!AQ29:AT29" xr:uid="{658DA754-C2F5-423E-8A92-D1CC1653F393}"/>
    <hyperlink ref="B202" location="Trimestre!C25:F26" display="HIPOTECA" xr:uid="{541084B9-EEED-4287-9A12-941292DD8A5C}"/>
    <hyperlink ref="B202:G203" location="'2018'!AQ30:AT30" display="'2018'!AQ30:AT30" xr:uid="{C5159A64-5614-448C-8215-B5899AE67F2D}"/>
    <hyperlink ref="B222" location="Trimestre!C25:F26" display="HIPOTECA" xr:uid="{F3C4C853-98DB-4920-8A07-93A942E11A67}"/>
    <hyperlink ref="B222:G223" location="'2018'!AQ31:AT31" display="'2018'!AQ31:AT31" xr:uid="{CDB03E99-DC83-4BC7-A43E-6F038FFEDCB0}"/>
    <hyperlink ref="B242" location="Trimestre!C25:F26" display="HIPOTECA" xr:uid="{FB34F09E-1E1F-42C2-8618-F2F34F47D3DC}"/>
    <hyperlink ref="B242:G243" location="'2018'!AQ32:AT32" display="'2018'!AQ32:AT32" xr:uid="{A579E469-A3D2-4C8A-9470-CD37894EE748}"/>
    <hyperlink ref="B262" location="Trimestre!C25:F26" display="HIPOTECA" xr:uid="{53C54793-9474-4A96-A6EB-103267D53F95}"/>
    <hyperlink ref="B262:G263" location="'2018'!AQ33:AT33" display="'2018'!AQ33:AT33" xr:uid="{D2E3B1F5-A5C2-4AFC-A5BF-592A762A74A6}"/>
    <hyperlink ref="B282" location="Trimestre!C25:F26" display="HIPOTECA" xr:uid="{00B8B632-72C4-447C-91CA-53664195B656}"/>
    <hyperlink ref="B282:G283" location="'2018'!AQ34:AT34" display="'2018'!AQ34:AT34" xr:uid="{B57E94ED-45BF-4BA3-B7A8-1F088968414E}"/>
    <hyperlink ref="B302" location="Trimestre!C25:F26" display="HIPOTECA" xr:uid="{58D856AD-C580-4F0E-9176-E6B22A43EDCC}"/>
    <hyperlink ref="B302:G303" location="'2018'!AQ35:AT35" display="'2018'!AQ35:AT35" xr:uid="{4C02AF3E-D73A-442B-A4D2-B880B419130D}"/>
    <hyperlink ref="B322" location="Trimestre!C25:F26" display="HIPOTECA" xr:uid="{CB0ED46F-E83E-43F2-879D-9941EC5763D7}"/>
    <hyperlink ref="B322:G323" location="'2018'!AQ36:AT36" display="'2018'!AQ36:AT36" xr:uid="{34D35C3D-7A47-4ACA-B03D-82DD5944E165}"/>
    <hyperlink ref="B342" location="Trimestre!C25:F26" display="HIPOTECA" xr:uid="{7D13A16E-D534-43C7-81C5-9550C7C558B4}"/>
    <hyperlink ref="B342:G343" location="'2018'!AQ37:AT37" display="'2018'!AQ37:AT37" xr:uid="{0A5FE1F8-6B3D-413F-9310-4DF6D12A33BD}"/>
    <hyperlink ref="B362" location="Trimestre!C25:F26" display="HIPOTECA" xr:uid="{30AE5742-225F-456E-8C70-B34DC2BE2F8A}"/>
    <hyperlink ref="B362:G363" location="'2018'!AQ38:AT38" display="'2018'!AQ38:AT38" xr:uid="{1EE02608-BC7F-4F9F-863A-21CE85EB7053}"/>
    <hyperlink ref="B382" location="Trimestre!C25:F26" display="HIPOTECA" xr:uid="{AEB76C4E-6321-46FB-9F1E-ABAF5A1FF3B9}"/>
    <hyperlink ref="B382:G383" location="'2018'!AQ39:AT39" display="'2018'!AQ39:AT39" xr:uid="{28F4C8E8-3B70-447F-9CB6-0B4634E6923D}"/>
    <hyperlink ref="B402" location="Trimestre!C25:F26" display="HIPOTECA" xr:uid="{F405A7EC-C449-40A5-9313-85EB3CED33AA}"/>
    <hyperlink ref="B402:G403" location="'2018'!AQ40:AT40" display="'2018'!AQ40:AT40" xr:uid="{553CE290-32D1-4D78-B72D-2C24033ABB06}"/>
    <hyperlink ref="B422" location="Trimestre!C25:F26" display="HIPOTECA" xr:uid="{EA6E841D-D9AA-46A0-BAD7-9C8B415B693D}"/>
    <hyperlink ref="B422:G423" location="'2018'!AQ41:AT41" display="'2018'!AQ41:AT41" xr:uid="{2D84AF36-6CCD-4B36-AB6D-412815894639}"/>
    <hyperlink ref="B442" location="Trimestre!C25:F26" display="HIPOTECA" xr:uid="{3BB4C900-E1F9-4493-9CD4-69D236A34E89}"/>
    <hyperlink ref="B442:G443" location="'2018'!AQ42:AT42" display="'2018'!AQ42:AT42" xr:uid="{EA1D8C19-72B2-466D-AA1F-361218F6B23B}"/>
    <hyperlink ref="B462" location="Trimestre!C25:F26" display="HIPOTECA" xr:uid="{197536AE-7016-4C40-8F46-3AB1D6ACFC9A}"/>
    <hyperlink ref="B462:G463" location="'2018'!AQ43:AT43" display="'2018'!AQ43:AT43" xr:uid="{CEAB0650-8C32-401E-8ADC-84BA5DCE17EE}"/>
    <hyperlink ref="B482" location="Trimestre!C25:F26" display="HIPOTECA" xr:uid="{BA413337-923E-4D44-9AE6-B3430D6BECB3}"/>
    <hyperlink ref="B482:G483" location="'2018'!AQ44:AT44" display="'2018'!AQ44:AT44" xr:uid="{DB1CA9DC-7224-490E-AF0B-A45E0EFB396D}"/>
    <hyperlink ref="B502" location="Trimestre!C25:F26" display="HIPOTECA" xr:uid="{7429C3BE-DDB7-4988-9DF6-C4A3AFF9432F}"/>
    <hyperlink ref="B502:G503" location="'2018'!AQ45:AT45" display="'2018'!AQ45:AT45" xr:uid="{6EDBE70B-7FA1-49C6-B623-E212313B13BC}"/>
    <hyperlink ref="I2:L3" location="'2018'!AQ4:AT4" display="SALDO REAL" xr:uid="{28549131-9915-4302-8DF7-B54B66DFCC6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workbookViewId="0">
      <selection activeCell="F10" sqref="F10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312" t="s">
        <v>72</v>
      </c>
      <c r="L4" s="313"/>
      <c r="M4" s="1"/>
      <c r="N4" s="1"/>
      <c r="R4" s="3"/>
    </row>
    <row r="5" spans="1:22" ht="15.75">
      <c r="A5" s="1" t="s">
        <v>609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4"/>
      <c r="L5" s="315"/>
      <c r="M5" s="1"/>
      <c r="N5" s="1"/>
      <c r="R5" s="3"/>
    </row>
    <row r="6" spans="1:22" ht="15.75">
      <c r="A6" s="163">
        <f>'11'!A6+B6-E6</f>
        <v>1204.77</v>
      </c>
      <c r="B6" s="219">
        <v>399.59</v>
      </c>
      <c r="C6" s="36" t="s">
        <v>584</v>
      </c>
      <c r="D6" s="223"/>
      <c r="E6" s="224"/>
      <c r="F6" s="224"/>
      <c r="G6" s="33" t="s">
        <v>35</v>
      </c>
      <c r="H6" s="163"/>
      <c r="I6" s="159" t="s">
        <v>73</v>
      </c>
      <c r="J6" s="158" t="s">
        <v>75</v>
      </c>
      <c r="K6" s="316">
        <v>550</v>
      </c>
      <c r="L6" s="317"/>
      <c r="M6" s="1" t="s">
        <v>394</v>
      </c>
      <c r="N6" s="1"/>
      <c r="R6" s="3"/>
    </row>
    <row r="7" spans="1:22" ht="15.75">
      <c r="A7" s="163">
        <f>'11'!A7+B7-E7</f>
        <v>237.8</v>
      </c>
      <c r="B7" s="220">
        <v>70</v>
      </c>
      <c r="C7" s="33" t="s">
        <v>653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6"/>
      <c r="L7" s="317"/>
      <c r="M7" s="1"/>
      <c r="N7" s="1"/>
      <c r="R7" s="3"/>
    </row>
    <row r="8" spans="1:22" ht="15.75">
      <c r="A8" s="163">
        <f>'11'!A8+B8-E8</f>
        <v>0</v>
      </c>
      <c r="B8" s="220">
        <v>0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6">
        <v>7000</v>
      </c>
      <c r="L8" s="317"/>
      <c r="M8" s="1"/>
      <c r="N8" s="1"/>
      <c r="R8" s="3"/>
    </row>
    <row r="9" spans="1:22" ht="15.75">
      <c r="A9" s="163">
        <f>'11'!A9+B9-E9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6">
        <v>659.77</v>
      </c>
      <c r="L9" s="317"/>
      <c r="M9" s="1"/>
      <c r="N9" s="1"/>
      <c r="R9" s="3"/>
    </row>
    <row r="10" spans="1:22" ht="15.75">
      <c r="A10" s="163">
        <f>'11'!A10+B10-E10</f>
        <v>24</v>
      </c>
      <c r="B10" s="220">
        <v>12</v>
      </c>
      <c r="C10" s="33" t="s">
        <v>39</v>
      </c>
      <c r="D10" s="223"/>
      <c r="E10" s="224"/>
      <c r="F10" s="224"/>
      <c r="G10" s="33" t="s">
        <v>39</v>
      </c>
      <c r="H10" s="1"/>
      <c r="I10" s="159" t="s">
        <v>76</v>
      </c>
      <c r="J10" s="158" t="s">
        <v>115</v>
      </c>
      <c r="K10" s="316">
        <v>1800.04</v>
      </c>
      <c r="L10" s="317"/>
      <c r="M10" s="1" t="s">
        <v>265</v>
      </c>
      <c r="N10" s="1"/>
      <c r="R10" s="3"/>
    </row>
    <row r="11" spans="1:22" ht="15.75">
      <c r="A11" s="163">
        <f>'11'!A11+B11-E11</f>
        <v>60.99</v>
      </c>
      <c r="B11" s="220">
        <v>30.41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6"/>
      <c r="L11" s="317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693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6">
        <v>5092.08</v>
      </c>
      <c r="L12" s="317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654</v>
      </c>
      <c r="D13" s="223"/>
      <c r="E13" s="224"/>
      <c r="F13" s="224"/>
      <c r="G13" s="33"/>
      <c r="H13" s="1"/>
      <c r="I13" s="159"/>
      <c r="J13" s="158"/>
      <c r="K13" s="316"/>
      <c r="L13" s="317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6"/>
      <c r="L14" s="317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6"/>
      <c r="L15" s="317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6"/>
      <c r="L16" s="317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6"/>
      <c r="L17" s="317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0"/>
      <c r="L18" s="311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0">
        <f>SUM(K5:K18)</f>
        <v>15101.890000000001</v>
      </c>
      <c r="L19" s="311"/>
      <c r="M19" s="1"/>
      <c r="N19" s="1"/>
      <c r="R19" s="3"/>
    </row>
    <row r="20" spans="1:18" ht="16.5" thickBot="1">
      <c r="A20" s="163">
        <f>SUM(A6:A15)</f>
        <v>1628.6</v>
      </c>
      <c r="B20" s="221">
        <f>SUM(B6:B19)</f>
        <v>544</v>
      </c>
      <c r="C20" s="34" t="s">
        <v>66</v>
      </c>
      <c r="D20" s="221">
        <f>SUM(D6:D19)</f>
        <v>0</v>
      </c>
      <c r="E20" s="221">
        <f>SUM(E6:E19)</f>
        <v>0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8209.7700000000023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312" t="s">
        <v>134</v>
      </c>
      <c r="L24" s="313"/>
      <c r="M24" s="1"/>
      <c r="R24" s="3"/>
    </row>
    <row r="25" spans="1:18" ht="15.75">
      <c r="A25" s="1" t="s">
        <v>609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/>
      <c r="J25" s="3"/>
      <c r="K25" s="314"/>
      <c r="L25" s="315"/>
      <c r="M25" s="1"/>
      <c r="R25" s="3"/>
    </row>
    <row r="26" spans="1:18" ht="15.75">
      <c r="A26" s="163">
        <f>'11'!A26+B26-D26</f>
        <v>1800</v>
      </c>
      <c r="B26" s="219">
        <v>900</v>
      </c>
      <c r="C26" s="66" t="s">
        <v>42</v>
      </c>
      <c r="D26" s="223"/>
      <c r="E26" s="224"/>
      <c r="F26" s="224"/>
      <c r="G26" s="33" t="s">
        <v>42</v>
      </c>
      <c r="H26" s="1"/>
      <c r="I26" s="151"/>
      <c r="J26" s="35"/>
      <c r="K26" s="316"/>
      <c r="L26" s="317"/>
      <c r="M26" s="1"/>
      <c r="R26" s="3"/>
    </row>
    <row r="27" spans="1:18" ht="15.75">
      <c r="A27" s="163">
        <f>'11'!A27+B27-D27</f>
        <v>513</v>
      </c>
      <c r="B27" s="220">
        <v>170</v>
      </c>
      <c r="C27" s="66" t="s">
        <v>44</v>
      </c>
      <c r="D27" s="223"/>
      <c r="E27" s="224"/>
      <c r="F27" s="224"/>
      <c r="G27" s="33" t="s">
        <v>44</v>
      </c>
      <c r="H27" s="1"/>
      <c r="I27" s="151"/>
      <c r="J27" s="35"/>
      <c r="K27" s="316"/>
      <c r="L27" s="317"/>
      <c r="M27" s="1"/>
      <c r="R27" s="3"/>
    </row>
    <row r="28" spans="1:18" ht="15.75">
      <c r="A28" s="163">
        <f>'11'!A28+B28-D28</f>
        <v>143.06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/>
      <c r="J28" s="35"/>
      <c r="K28" s="316"/>
      <c r="L28" s="317"/>
      <c r="M28" s="1"/>
      <c r="R28" s="3"/>
    </row>
    <row r="29" spans="1:18" ht="15.75">
      <c r="A29" s="163">
        <f>'11'!A29+B29-D29</f>
        <v>37.08</v>
      </c>
      <c r="B29" s="220">
        <v>18</v>
      </c>
      <c r="C29" s="66" t="s">
        <v>41</v>
      </c>
      <c r="D29" s="223"/>
      <c r="E29" s="224"/>
      <c r="F29" s="224"/>
      <c r="G29" s="33" t="s">
        <v>41</v>
      </c>
      <c r="H29" s="1"/>
      <c r="I29" s="151"/>
      <c r="J29" s="35"/>
      <c r="K29" s="316">
        <v>3</v>
      </c>
      <c r="L29" s="317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6"/>
      <c r="L30" s="317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6"/>
      <c r="L31" s="317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6"/>
      <c r="L32" s="317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6"/>
      <c r="L33" s="317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6"/>
      <c r="L34" s="317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6"/>
      <c r="L35" s="317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6"/>
      <c r="L36" s="317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6"/>
      <c r="L37" s="317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0"/>
      <c r="L38" s="311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3086.7</v>
      </c>
      <c r="B40" s="221">
        <f>SUM(B26:B39)</f>
        <v>1128</v>
      </c>
      <c r="C40" s="34" t="s">
        <v>66</v>
      </c>
      <c r="D40" s="221">
        <f>SUM(D26:D39)</f>
        <v>0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/>
      <c r="E46" s="224"/>
      <c r="F46" s="224"/>
      <c r="G46" s="69"/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/>
      <c r="G47" s="33"/>
      <c r="H47" s="1"/>
      <c r="M47" s="1"/>
      <c r="R47" s="3"/>
    </row>
    <row r="48" spans="1:18" ht="15.75">
      <c r="A48" s="1"/>
      <c r="B48" s="220"/>
      <c r="C48" s="33"/>
      <c r="D48" s="223"/>
      <c r="E48" s="224"/>
      <c r="F48" s="224"/>
      <c r="G48" s="33"/>
      <c r="H48" s="1"/>
      <c r="M48" s="1"/>
      <c r="R48" s="3"/>
    </row>
    <row r="49" spans="1:18" ht="15.75">
      <c r="A49" s="1"/>
      <c r="B49" s="220"/>
      <c r="C49" s="33"/>
      <c r="D49" s="223"/>
      <c r="E49" s="224"/>
      <c r="F49" s="224"/>
      <c r="G49" s="33"/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/>
      <c r="G50" s="33"/>
      <c r="H50" s="1"/>
      <c r="M50" s="1"/>
      <c r="R50" s="3"/>
    </row>
    <row r="51" spans="1:18" ht="15.75">
      <c r="A51" s="1"/>
      <c r="B51" s="220"/>
      <c r="C51" s="33"/>
      <c r="D51" s="223"/>
      <c r="E51" s="224"/>
      <c r="F51" s="224"/>
      <c r="G51" s="33"/>
      <c r="H51" s="1"/>
      <c r="M51" s="1"/>
      <c r="R51" s="3"/>
    </row>
    <row r="52" spans="1:18" ht="15.75">
      <c r="A52" s="1"/>
      <c r="B52" s="220"/>
      <c r="C52" s="33"/>
      <c r="D52" s="223"/>
      <c r="E52" s="224"/>
      <c r="F52" s="224"/>
      <c r="G52" s="33"/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/>
      <c r="G53" s="33"/>
      <c r="H53" s="1"/>
      <c r="M53" s="1"/>
      <c r="R53" s="3"/>
    </row>
    <row r="54" spans="1:18" ht="15.75">
      <c r="A54" s="1"/>
      <c r="B54" s="220"/>
      <c r="C54" s="33"/>
      <c r="D54" s="223"/>
      <c r="E54" s="224"/>
      <c r="F54" s="224"/>
      <c r="G54" s="33"/>
      <c r="H54" s="1"/>
      <c r="M54" s="1"/>
      <c r="R54" s="3"/>
    </row>
    <row r="55" spans="1:18" ht="15.75">
      <c r="A55" s="1"/>
      <c r="B55" s="220"/>
      <c r="C55" s="33"/>
      <c r="D55" s="223"/>
      <c r="E55" s="224"/>
      <c r="F55" s="224"/>
      <c r="G55" s="33"/>
      <c r="H55" s="1"/>
      <c r="M55" s="1"/>
      <c r="R55" s="3"/>
    </row>
    <row r="56" spans="1:18" ht="15.75">
      <c r="A56" s="1"/>
      <c r="B56" s="220"/>
      <c r="C56" s="33"/>
      <c r="D56" s="223"/>
      <c r="E56" s="224"/>
      <c r="F56" s="224"/>
      <c r="G56" s="33"/>
      <c r="H56" s="1"/>
      <c r="M56" s="1"/>
      <c r="R56" s="3"/>
    </row>
    <row r="57" spans="1:18" ht="15.75">
      <c r="A57" s="1"/>
      <c r="B57" s="220"/>
      <c r="C57" s="33"/>
      <c r="D57" s="223"/>
      <c r="E57" s="224"/>
      <c r="F57" s="224"/>
      <c r="G57" s="33"/>
      <c r="H57" s="1"/>
      <c r="M57" s="1"/>
      <c r="R57" s="3"/>
    </row>
    <row r="58" spans="1:18" ht="15.75">
      <c r="A58" s="1"/>
      <c r="B58" s="220"/>
      <c r="C58" s="33"/>
      <c r="D58" s="223"/>
      <c r="E58" s="224"/>
      <c r="F58" s="224"/>
      <c r="G58" s="33"/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0</v>
      </c>
      <c r="E60" s="221">
        <f>SUM(E46:E59)</f>
        <v>0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/>
      <c r="G66" s="36"/>
      <c r="H66" s="1"/>
      <c r="M66" s="1"/>
      <c r="R66" s="3"/>
    </row>
    <row r="67" spans="1:18" ht="15.75">
      <c r="A67" s="1"/>
      <c r="B67" s="220"/>
      <c r="C67" s="33"/>
      <c r="D67" s="223"/>
      <c r="E67" s="224"/>
      <c r="F67" s="224"/>
      <c r="G67" s="70"/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/>
      <c r="G68" s="33"/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/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0</v>
      </c>
      <c r="E80" s="221">
        <f>SUM(E66:E79)</f>
        <v>0</v>
      </c>
      <c r="F80" s="221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659</v>
      </c>
      <c r="D86" s="223"/>
      <c r="E86" s="224"/>
      <c r="F86" s="224"/>
      <c r="G86" s="33"/>
      <c r="H86" s="1"/>
      <c r="M86" s="1"/>
      <c r="R86" s="3"/>
    </row>
    <row r="87" spans="1:18" ht="15.75">
      <c r="A87" s="1"/>
      <c r="B87" s="220"/>
      <c r="C87" s="33"/>
      <c r="D87" s="223"/>
      <c r="E87" s="224"/>
      <c r="F87" s="224"/>
      <c r="G87" s="33"/>
      <c r="H87" s="1"/>
      <c r="M87" s="1"/>
      <c r="R87" s="3"/>
    </row>
    <row r="88" spans="1:18" ht="15.75">
      <c r="A88" s="1"/>
      <c r="B88" s="220"/>
      <c r="C88" s="33"/>
      <c r="D88" s="223"/>
      <c r="E88" s="224"/>
      <c r="F88" s="224"/>
      <c r="G88" s="33"/>
      <c r="H88" s="1"/>
      <c r="M88" s="1"/>
      <c r="R88" s="3"/>
    </row>
    <row r="89" spans="1:18" ht="15.75">
      <c r="A89" s="1"/>
      <c r="B89" s="220"/>
      <c r="C89" s="33"/>
      <c r="D89" s="223"/>
      <c r="E89" s="224"/>
      <c r="F89" s="224"/>
      <c r="G89" s="33"/>
      <c r="H89" s="1"/>
      <c r="M89" s="1"/>
      <c r="R89" s="3"/>
    </row>
    <row r="90" spans="1:18" ht="15.75">
      <c r="A90" s="1"/>
      <c r="B90" s="220"/>
      <c r="C90" s="33"/>
      <c r="D90" s="223"/>
      <c r="E90" s="224"/>
      <c r="F90" s="224"/>
      <c r="G90" s="33"/>
      <c r="H90" s="1"/>
      <c r="M90" s="1"/>
      <c r="R90" s="3"/>
    </row>
    <row r="91" spans="1:18" ht="15.75">
      <c r="A91" s="1"/>
      <c r="B91" s="220"/>
      <c r="C91" s="33"/>
      <c r="D91" s="223"/>
      <c r="E91" s="224"/>
      <c r="F91" s="224"/>
      <c r="G91" s="33"/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0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37" t="s">
        <v>609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516.94000000000005</v>
      </c>
      <c r="B106" s="219">
        <v>258.47000000000003</v>
      </c>
      <c r="C106" s="35" t="s">
        <v>55</v>
      </c>
      <c r="D106" s="223"/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142.65</v>
      </c>
      <c r="B107" s="220">
        <v>71</v>
      </c>
      <c r="C107" s="35" t="s">
        <v>56</v>
      </c>
      <c r="D107" s="223"/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1150</v>
      </c>
      <c r="B108" s="220">
        <v>50</v>
      </c>
      <c r="C108" s="35" t="s">
        <v>617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2880.0300000000007</v>
      </c>
      <c r="B109" s="220">
        <v>125.53</v>
      </c>
      <c r="C109" s="35" t="s">
        <v>675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1809.5900000000001</v>
      </c>
      <c r="B120" s="221">
        <f>SUM(B106:B119)</f>
        <v>505</v>
      </c>
      <c r="C120" s="34" t="s">
        <v>66</v>
      </c>
      <c r="D120" s="221">
        <f>SUM(D106:D119)</f>
        <v>0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/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/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0</v>
      </c>
      <c r="E140" s="221">
        <f>SUM(E126:E139)</f>
        <v>0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488</v>
      </c>
      <c r="D146" s="223"/>
      <c r="E146" s="224"/>
      <c r="F146" s="224"/>
      <c r="G146" s="33"/>
      <c r="H146" s="1"/>
      <c r="M146" s="1"/>
      <c r="R146" s="3"/>
    </row>
    <row r="147" spans="1:22" ht="15.75">
      <c r="A147" s="1"/>
      <c r="B147" s="220"/>
      <c r="C147" s="33"/>
      <c r="D147" s="223"/>
      <c r="E147" s="224"/>
      <c r="F147" s="224"/>
      <c r="G147" s="33"/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0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/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200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507</v>
      </c>
      <c r="D186" s="223"/>
      <c r="E186" s="224"/>
      <c r="F186" s="224"/>
      <c r="G186" s="33"/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/>
      <c r="G187" s="33"/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/>
      <c r="E188" s="224"/>
      <c r="F188" s="224"/>
      <c r="G188" s="33"/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0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/>
      <c r="G206" s="33"/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/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0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/>
      <c r="E286" s="224"/>
      <c r="F286" s="224"/>
      <c r="G286" s="33"/>
    </row>
    <row r="287" spans="2:7">
      <c r="B287" s="220"/>
      <c r="C287" s="33"/>
      <c r="D287" s="223"/>
      <c r="E287" s="224"/>
      <c r="F287" s="224"/>
      <c r="G287" s="33"/>
    </row>
    <row r="288" spans="2:7">
      <c r="B288" s="220"/>
      <c r="C288" s="33"/>
      <c r="D288" s="223"/>
      <c r="E288" s="224"/>
      <c r="F288" s="224"/>
      <c r="G288" s="33"/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90</v>
      </c>
      <c r="C300" s="34" t="s">
        <v>66</v>
      </c>
      <c r="D300" s="221">
        <f>SUM(D286:D299)</f>
        <v>0</v>
      </c>
      <c r="E300" s="221">
        <f>SUM(E286:E299)</f>
        <v>0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473</v>
      </c>
      <c r="D306" s="223"/>
      <c r="E306" s="224"/>
      <c r="F306" s="224"/>
      <c r="G306" s="33"/>
    </row>
    <row r="307" spans="2:7">
      <c r="B307" s="220">
        <v>15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115</v>
      </c>
      <c r="C320" s="34" t="s">
        <v>66</v>
      </c>
      <c r="D320" s="221">
        <f>SUM(D306:D319)</f>
        <v>0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/>
      <c r="E326" s="224"/>
      <c r="F326" s="224"/>
      <c r="G326" s="33"/>
    </row>
    <row r="327" spans="2:7">
      <c r="B327" s="220"/>
      <c r="C327" s="33"/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0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643</v>
      </c>
      <c r="D346" s="223"/>
      <c r="E346" s="224"/>
      <c r="F346" s="224"/>
      <c r="G346" s="33"/>
    </row>
    <row r="347" spans="2:7">
      <c r="B347" s="220"/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/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0</v>
      </c>
      <c r="E380" s="221">
        <f>SUM(E366:E379)</f>
        <v>0</v>
      </c>
      <c r="F380" s="221">
        <f>SUM(F366:F379)</f>
        <v>0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20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1:7" ht="15" customHeight="1" thickBot="1">
      <c r="B423" s="307"/>
      <c r="C423" s="308"/>
      <c r="D423" s="308"/>
      <c r="E423" s="308"/>
      <c r="F423" s="308"/>
      <c r="G423" s="309"/>
    </row>
    <row r="424" spans="1:7">
      <c r="B424" s="300" t="s">
        <v>10</v>
      </c>
      <c r="C424" s="301"/>
      <c r="D424" s="302" t="s">
        <v>11</v>
      </c>
      <c r="E424" s="302"/>
      <c r="F424" s="302"/>
      <c r="G424" s="301"/>
    </row>
    <row r="425" spans="1:7">
      <c r="A425" s="137" t="s">
        <v>668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v>4000</v>
      </c>
      <c r="B426" s="220">
        <f>'2018'!AV17-A426</f>
        <v>-4000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0">
        <f>SUM(B426:B439)</f>
        <v>-4000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1:8">
      <c r="A465" s="137" t="s">
        <v>609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346</v>
      </c>
      <c r="B466" s="220">
        <v>25</v>
      </c>
      <c r="C466" s="33" t="s">
        <v>485</v>
      </c>
      <c r="D466" s="223"/>
      <c r="E466" s="224"/>
      <c r="F466" s="224"/>
      <c r="G466" s="33"/>
    </row>
    <row r="467" spans="1:8" ht="15.75">
      <c r="A467" s="163">
        <f>'11'!A467+B467-E467</f>
        <v>55</v>
      </c>
      <c r="B467" s="220">
        <v>20</v>
      </c>
      <c r="C467" s="33" t="s">
        <v>610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611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416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3AF132B7-1F22-4914-B61F-0B0B44C50A25}"/>
    <hyperlink ref="I22" location="Trimestre!C39:F40" display="TELÉFONO" xr:uid="{7F153BF8-2050-416E-962A-95A22C645A67}"/>
    <hyperlink ref="I22:L23" location="'2018'!AU7:AX7" display="INGRESOS" xr:uid="{61976EE0-D813-485B-9000-AC87DC88128C}"/>
    <hyperlink ref="B2" location="Trimestre!C25:F26" display="HIPOTECA" xr:uid="{A7C6557F-835E-4877-B374-D755E56A8BC4}"/>
    <hyperlink ref="B2:G3" location="'2018'!AU20:AX20" display="'2018'!AU20:AX20" xr:uid="{44E55F04-D5EA-430F-85B6-49AAFEA32FD7}"/>
    <hyperlink ref="B22" location="Trimestre!C25:F26" display="HIPOTECA" xr:uid="{2945D34A-E989-4D07-8170-F846056B9904}"/>
    <hyperlink ref="B22:G23" location="'2018'!AU21:AX21" display="'2018'!AU21:AX21" xr:uid="{5859C735-613F-47CA-8ED1-315323F15DA4}"/>
    <hyperlink ref="B42" location="Trimestre!C25:F26" display="HIPOTECA" xr:uid="{633D6982-3D16-4B65-A863-0FC661BAEC27}"/>
    <hyperlink ref="B42:G43" location="'2018'!AU22:AX22" display="'2018'!AU22:AX22" xr:uid="{B5B1333F-3B5C-477D-B8A8-5A76131FDF48}"/>
    <hyperlink ref="B62" location="Trimestre!C25:F26" display="HIPOTECA" xr:uid="{284BE7E6-99F2-4C58-BC02-899C4ADE12D5}"/>
    <hyperlink ref="B62:G63" location="'2018'!AU23:AX23" display="'2018'!AU23:AX23" xr:uid="{CE05078D-1ACD-4C2E-BF26-23F211AB6B87}"/>
    <hyperlink ref="B82" location="Trimestre!C25:F26" display="HIPOTECA" xr:uid="{123F1728-AFA9-4605-B791-6380E9CC53CB}"/>
    <hyperlink ref="B82:G83" location="'2018'!AU24:AX24" display="'2018'!AU24:AX24" xr:uid="{198ACE7D-4D57-47FC-91DC-C5F5887DCF8B}"/>
    <hyperlink ref="B102" location="Trimestre!C25:F26" display="HIPOTECA" xr:uid="{EFB79D0E-D75F-4A7E-80E2-E8CAA83F3F25}"/>
    <hyperlink ref="B102:G103" location="'2018'!AU25:AX25" display="'2018'!AU25:AX25" xr:uid="{D1B1884C-9D88-4CBE-80A6-D2D45E0AD03F}"/>
    <hyperlink ref="B122" location="Trimestre!C25:F26" display="HIPOTECA" xr:uid="{E1481791-C3C3-477B-9D00-D102E6508A95}"/>
    <hyperlink ref="B122:G123" location="'2018'!AU26:AX26" display="'2018'!AU26:AX26" xr:uid="{2F5D2B8C-5749-41A6-A29C-EB8BA3BB52B0}"/>
    <hyperlink ref="B142" location="Trimestre!C25:F26" display="HIPOTECA" xr:uid="{B6367BC0-D736-48CB-BE27-E35BBCFC2664}"/>
    <hyperlink ref="B142:G143" location="'2018'!AU27:AX27" display="'2018'!AU27:AX27" xr:uid="{1079B30A-F4A3-4D88-842E-A2A9B555AC7F}"/>
    <hyperlink ref="B162" location="Trimestre!C25:F26" display="HIPOTECA" xr:uid="{D0AEDC62-861B-47BA-96EE-E0DFF4B0608F}"/>
    <hyperlink ref="B162:G163" location="'2018'!AU28:AX28" display="'2018'!AU28:AX28" xr:uid="{179A9FE1-4569-457A-86B6-4B765C23D476}"/>
    <hyperlink ref="B182" location="Trimestre!C25:F26" display="HIPOTECA" xr:uid="{1D733267-182D-4705-AAE4-D75351F0F1EB}"/>
    <hyperlink ref="B182:G183" location="'2018'!AU29:AX29" display="'2018'!AU29:AX29" xr:uid="{AB7588BB-C416-49A7-A5A7-F79F6521C415}"/>
    <hyperlink ref="B202" location="Trimestre!C25:F26" display="HIPOTECA" xr:uid="{AB856B99-92CE-4246-820C-86C6A36E38A9}"/>
    <hyperlink ref="B202:G203" location="'2018'!AU30:AX30" display="'2018'!AU30:AX30" xr:uid="{8CCE81C9-B8B4-4AF7-8CF6-8C278FA0BD3F}"/>
    <hyperlink ref="B222" location="Trimestre!C25:F26" display="HIPOTECA" xr:uid="{7020E613-C443-49D7-9C37-3162A24C78D0}"/>
    <hyperlink ref="B222:G223" location="'2018'!AU31:AX31" display="'2018'!AU31:AX31" xr:uid="{D5049AE1-3D9E-4CDE-9BA0-FC372E8B5262}"/>
    <hyperlink ref="B242" location="Trimestre!C25:F26" display="HIPOTECA" xr:uid="{1DE3EF54-90C6-4D7E-ABC0-03558E4848B2}"/>
    <hyperlink ref="B242:G243" location="'2018'!AU32:AX32" display="'2018'!AU32:AX32" xr:uid="{E82DA27E-515E-4E2D-B364-3CE7321AECF7}"/>
    <hyperlink ref="B262" location="Trimestre!C25:F26" display="HIPOTECA" xr:uid="{D19615B0-9D9F-41B4-9227-2F4094CCB899}"/>
    <hyperlink ref="B262:G263" location="'2018'!AU33:AX33" display="'2018'!AU33:AX33" xr:uid="{1ADA8A12-49D3-4FC9-B4C7-37A5C54147EB}"/>
    <hyperlink ref="B282" location="Trimestre!C25:F26" display="HIPOTECA" xr:uid="{6B25CE61-0EAE-4317-8880-788C3A8E0593}"/>
    <hyperlink ref="B282:G283" location="'2018'!AU34:AX34" display="'2018'!AU34:AX34" xr:uid="{FF959C11-C058-4705-8BD0-C5B379B46F31}"/>
    <hyperlink ref="B302" location="Trimestre!C25:F26" display="HIPOTECA" xr:uid="{ACDA8A27-3B18-4FBE-A067-4EA10FE60E3A}"/>
    <hyperlink ref="B302:G303" location="'2018'!AU35:AX35" display="'2018'!AU35:AX35" xr:uid="{A38F5AF7-219E-48BC-A692-B158539175B2}"/>
    <hyperlink ref="B322" location="Trimestre!C25:F26" display="HIPOTECA" xr:uid="{AA43F692-96B4-4129-9311-4B6A43E147FE}"/>
    <hyperlink ref="B322:G323" location="'2018'!AU36:AX36" display="'2018'!AU36:AX36" xr:uid="{3B4F885B-03D5-4475-8C8A-1B636799CC1C}"/>
    <hyperlink ref="B342" location="Trimestre!C25:F26" display="HIPOTECA" xr:uid="{F64620BF-68F7-4A15-BCE8-D333CF177573}"/>
    <hyperlink ref="B342:G343" location="'2018'!AU37:AX37" display="'2018'!AU37:AX37" xr:uid="{6666C911-5032-49D8-B545-301F3665F150}"/>
    <hyperlink ref="B362" location="Trimestre!C25:F26" display="HIPOTECA" xr:uid="{F513D5F6-F712-497D-A3B3-8DE8F392E307}"/>
    <hyperlink ref="B362:G363" location="'2018'!AU38:AX38" display="'2018'!AU38:AX38" xr:uid="{E6A26B47-CEAB-4BE2-89FD-A0CDB0216CA4}"/>
    <hyperlink ref="B382" location="Trimestre!C25:F26" display="HIPOTECA" xr:uid="{9988BAA2-70D1-4A5F-A2F8-868DDA3A5D1B}"/>
    <hyperlink ref="B382:G383" location="'2018'!AU39:AX39" display="'2018'!AU39:AX39" xr:uid="{05118760-7D1C-4EF9-ACBA-322BAEDB8998}"/>
    <hyperlink ref="B402" location="Trimestre!C25:F26" display="HIPOTECA" xr:uid="{77593A8C-E675-49B2-9616-2C64618FBAD6}"/>
    <hyperlink ref="B402:G403" location="'2018'!AU40:AX40" display="'2018'!AU40:AX40" xr:uid="{33AA3689-AF4B-49E4-BBDC-F0FC6E7F9A52}"/>
    <hyperlink ref="B422" location="Trimestre!C25:F26" display="HIPOTECA" xr:uid="{F21E1BDF-F8FE-472C-AF4F-F0245B3BAF11}"/>
    <hyperlink ref="B422:G423" location="'2018'!AU41:AX41" display="'2018'!AU41:AX41" xr:uid="{EE7EF7AF-A7F7-4BDA-981D-87B2B130AD16}"/>
    <hyperlink ref="B442" location="Trimestre!C25:F26" display="HIPOTECA" xr:uid="{DB09AEBA-94CA-4B4F-95C6-9F95C7932FA4}"/>
    <hyperlink ref="B442:G443" location="'2018'!AU42:AX42" display="'2018'!AU42:AX42" xr:uid="{C0A446A7-65BB-4F75-8318-AE74AD044717}"/>
    <hyperlink ref="B462" location="Trimestre!C25:F26" display="HIPOTECA" xr:uid="{E99C6E5D-FAB0-4294-AF6A-7044DE50B2CC}"/>
    <hyperlink ref="B462:G463" location="'2018'!AU43:AX43" display="'2018'!AU43:AX43" xr:uid="{81417136-7CE6-4454-9857-21050822C976}"/>
    <hyperlink ref="B482" location="Trimestre!C25:F26" display="HIPOTECA" xr:uid="{58713445-F4FE-4154-A459-320B4B989C5B}"/>
    <hyperlink ref="B482:G483" location="'2018'!AU44:AX44" display="'2018'!AU44:AX44" xr:uid="{78E92B8B-9BAC-47AF-9798-2C65BFDEED22}"/>
    <hyperlink ref="B502" location="Trimestre!C25:F26" display="HIPOTECA" xr:uid="{EC04AB01-EEB0-4BCC-A5C5-D24C170CADCE}"/>
    <hyperlink ref="B502:G503" location="'2018'!AU45:AX45" display="'2018'!AU45:AX45" xr:uid="{85841801-7A32-4365-A441-318FF47F54FA}"/>
    <hyperlink ref="I2:L3" location="'2018'!AU4:AX4" display="SALDO REAL" xr:uid="{0050F5CA-9B0D-497D-A23A-04E9DDB80342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7" workbookViewId="0">
      <selection activeCell="D25" sqref="D2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532</v>
      </c>
      <c r="B3" s="165">
        <f>Historico!I24</f>
        <v>43556</v>
      </c>
      <c r="D3" s="92"/>
      <c r="E3" s="93"/>
    </row>
    <row r="4" spans="1:13" ht="12.75" customHeight="1">
      <c r="A4" t="s">
        <v>531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598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9005.0300000000007</v>
      </c>
      <c r="I63" s="170">
        <f>H63-D62</f>
        <v>-481.88999999998123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587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3" sqref="B53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508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624</v>
      </c>
      <c r="B51" t="s">
        <v>413</v>
      </c>
    </row>
    <row r="52" spans="1:2">
      <c r="A52" t="s">
        <v>663</v>
      </c>
      <c r="B52" t="s">
        <v>662</v>
      </c>
    </row>
    <row r="53" spans="1:2">
      <c r="A53" t="s">
        <v>694</v>
      </c>
      <c r="B53" t="s">
        <v>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1462.46</v>
      </c>
      <c r="L5" s="298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423.18</v>
      </c>
      <c r="L6" s="288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7102.9</v>
      </c>
      <c r="L7" s="288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1250</v>
      </c>
      <c r="L8" s="288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7">
        <v>100.34</v>
      </c>
      <c r="L9" s="288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7">
        <f>5007.8</f>
        <v>5007.8</v>
      </c>
      <c r="L10" s="288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7">
        <v>1566.09</v>
      </c>
      <c r="L11" s="288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7">
        <v>1800</v>
      </c>
      <c r="L12" s="288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7">
        <f>75+20+95</f>
        <v>190</v>
      </c>
      <c r="L13" s="288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SUM(K5:K18)-K11</f>
        <v>17336.68</v>
      </c>
      <c r="L19" s="304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7">
        <v>1.01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7">
        <v>0.04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7">
        <v>2831.41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7">
        <v>72.66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7">
        <v>93.93</v>
      </c>
      <c r="L29" s="288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7">
        <v>700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7">
        <v>50</v>
      </c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7">
        <v>229.4</v>
      </c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7">
        <v>0.05</v>
      </c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7">
        <v>1566.27</v>
      </c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7">
        <v>449</v>
      </c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7">
        <v>314.12</v>
      </c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8" ht="15" customHeight="1" thickBot="1">
      <c r="B303" s="292"/>
      <c r="C303" s="293"/>
      <c r="D303" s="293"/>
      <c r="E303" s="293"/>
      <c r="F303" s="293"/>
      <c r="G303" s="294"/>
    </row>
    <row r="304" spans="2:8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290"/>
      <c r="D422" s="290"/>
      <c r="E422" s="290"/>
      <c r="F422" s="290"/>
      <c r="G422" s="291"/>
    </row>
    <row r="423" spans="2:7" ht="15" customHeight="1" thickBot="1">
      <c r="B423" s="292"/>
      <c r="C423" s="293"/>
      <c r="D423" s="293"/>
      <c r="E423" s="293"/>
      <c r="F423" s="293"/>
      <c r="G423" s="294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290"/>
      <c r="D442" s="290"/>
      <c r="E442" s="290"/>
      <c r="F442" s="290"/>
      <c r="G442" s="291"/>
    </row>
    <row r="443" spans="2:7" ht="15" customHeight="1" thickBot="1">
      <c r="B443" s="292"/>
      <c r="C443" s="293"/>
      <c r="D443" s="293"/>
      <c r="E443" s="293"/>
      <c r="F443" s="293"/>
      <c r="G443" s="294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290"/>
      <c r="D462" s="290"/>
      <c r="E462" s="290"/>
      <c r="F462" s="290"/>
      <c r="G462" s="291"/>
    </row>
    <row r="463" spans="2:7" ht="15" customHeight="1" thickBot="1">
      <c r="B463" s="292"/>
      <c r="C463" s="293"/>
      <c r="D463" s="293"/>
      <c r="E463" s="293"/>
      <c r="F463" s="293"/>
      <c r="G463" s="294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290"/>
      <c r="D482" s="290"/>
      <c r="E482" s="290"/>
      <c r="F482" s="290"/>
      <c r="G482" s="291"/>
    </row>
    <row r="483" spans="2:7" ht="15" customHeight="1" thickBot="1">
      <c r="B483" s="292"/>
      <c r="C483" s="293"/>
      <c r="D483" s="293"/>
      <c r="E483" s="293"/>
      <c r="F483" s="293"/>
      <c r="G483" s="294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290"/>
      <c r="D502" s="290"/>
      <c r="E502" s="290"/>
      <c r="F502" s="290"/>
      <c r="G502" s="291"/>
    </row>
    <row r="503" spans="2:7" ht="15" customHeight="1" thickBot="1">
      <c r="B503" s="292"/>
      <c r="C503" s="293"/>
      <c r="D503" s="293"/>
      <c r="E503" s="293"/>
      <c r="F503" s="293"/>
      <c r="G503" s="294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E8" sqref="E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1295.79</v>
      </c>
      <c r="L5" s="298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379.61</v>
      </c>
      <c r="L6" s="288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7">
        <v>7271.78</v>
      </c>
      <c r="L7" s="288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7">
        <v>9090.56</v>
      </c>
      <c r="L8" s="288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69.22</v>
      </c>
      <c r="L9" s="288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290+20</f>
        <v>310</v>
      </c>
      <c r="L11" s="288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7"/>
      <c r="L12" s="288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20217</v>
      </c>
      <c r="L19" s="304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7">
        <v>176.46</v>
      </c>
      <c r="L25" s="28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7">
        <v>47.52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7">
        <v>93.93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7">
        <v>447.43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7">
        <v>1638.24</v>
      </c>
      <c r="L29" s="288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8" ht="15" customHeight="1" thickBot="1">
      <c r="B283" s="292"/>
      <c r="C283" s="293"/>
      <c r="D283" s="293"/>
      <c r="E283" s="293"/>
      <c r="F283" s="293"/>
      <c r="G283" s="294"/>
    </row>
    <row r="284" spans="2:8">
      <c r="B284" s="300" t="s">
        <v>10</v>
      </c>
      <c r="C284" s="301"/>
      <c r="D284" s="302" t="s">
        <v>11</v>
      </c>
      <c r="E284" s="302"/>
      <c r="F284" s="302"/>
      <c r="G284" s="301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1852.76</v>
      </c>
      <c r="L5" s="298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7">
        <v>335.99</v>
      </c>
      <c r="L6" s="288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7">
        <v>7882.01</v>
      </c>
      <c r="L7" s="288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3390.56</v>
      </c>
      <c r="L8" s="288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30+40+170</f>
        <v>240</v>
      </c>
      <c r="L11" s="288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21214.57</v>
      </c>
      <c r="L19" s="304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259.36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7">
        <v>176.46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1117.3699999999999</v>
      </c>
      <c r="L5" s="298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292.37</v>
      </c>
      <c r="L6" s="288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7">
        <f>6685.64-16.84-6.88</f>
        <v>6661.92</v>
      </c>
      <c r="L7" s="288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90+30+15</f>
        <v>135</v>
      </c>
      <c r="L11" s="288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20719.909999999996</v>
      </c>
      <c r="L19" s="304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7">
        <v>249.22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7">
        <v>197.22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7">
        <v>2290.23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7">
        <v>80.099999999999994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7">
        <v>0.03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7">
        <v>325.64</v>
      </c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31" t="s">
        <v>70</v>
      </c>
      <c r="J4" s="32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7">
        <v>1091.18</v>
      </c>
      <c r="L5" s="298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7">
        <v>248.78</v>
      </c>
      <c r="L6" s="288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7">
        <v>8736.65</v>
      </c>
      <c r="L7" s="288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7">
        <v>5000</v>
      </c>
      <c r="L8" s="288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7">
        <v>621.13</v>
      </c>
      <c r="L9" s="288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7">
        <f>40+276</f>
        <v>316</v>
      </c>
      <c r="L11" s="288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7"/>
      <c r="L13" s="288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7"/>
      <c r="L14" s="288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7"/>
      <c r="L15" s="288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22905.86</v>
      </c>
      <c r="L19" s="304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7">
        <v>38.64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7">
        <v>249.22</v>
      </c>
      <c r="L26" s="288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7">
        <v>155.69999999999999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workbookViewId="0">
      <selection activeCell="A5" sqref="A5:A20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2311.09</v>
      </c>
      <c r="L5" s="298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205.16</v>
      </c>
      <c r="L6" s="288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6999</v>
      </c>
      <c r="L7" s="288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465+90</f>
        <v>555</v>
      </c>
      <c r="L11" s="288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23622.14</v>
      </c>
      <c r="L19" s="304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7">
        <v>197.22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7">
        <v>200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447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442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443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444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449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441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448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19" sqref="C19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v>2946.37</v>
      </c>
      <c r="L5" s="298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7">
        <v>161.54</v>
      </c>
      <c r="L6" s="288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7451.76</v>
      </c>
      <c r="L7" s="288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7">
        <v>6000</v>
      </c>
      <c r="L8" s="288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v>800</v>
      </c>
      <c r="L11" s="288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463</v>
      </c>
      <c r="H12" s="1"/>
      <c r="I12" s="159" t="s">
        <v>303</v>
      </c>
      <c r="J12" s="158" t="s">
        <v>304</v>
      </c>
      <c r="K12" s="287">
        <v>5092.08</v>
      </c>
      <c r="L12" s="288"/>
      <c r="M12" s="140" t="s">
        <v>456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464</v>
      </c>
      <c r="D16" s="57"/>
      <c r="E16" s="58"/>
      <c r="F16" s="58">
        <v>60</v>
      </c>
      <c r="G16" s="33" t="s">
        <v>464</v>
      </c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24911.559999999998</v>
      </c>
      <c r="L19" s="304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466</v>
      </c>
      <c r="K25" s="297">
        <v>134.94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474</v>
      </c>
      <c r="K26" s="287">
        <v>83.04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7">
        <v>786.42</v>
      </c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512</v>
      </c>
      <c r="K28" s="287">
        <v>26.77</v>
      </c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516</v>
      </c>
      <c r="K29" s="287">
        <v>0.02</v>
      </c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469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470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462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478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481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498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501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459</v>
      </c>
      <c r="H66" s="1"/>
      <c r="M66" s="1"/>
      <c r="R66" s="3"/>
    </row>
    <row r="67" spans="1:18" ht="15.75">
      <c r="A67" s="1"/>
      <c r="B67" s="55">
        <v>71</v>
      </c>
      <c r="C67" s="33" t="s">
        <v>446</v>
      </c>
      <c r="D67" s="57">
        <f>25.75</f>
        <v>25.75</v>
      </c>
      <c r="E67" s="58"/>
      <c r="F67" s="58">
        <v>1</v>
      </c>
      <c r="G67" s="70" t="s">
        <v>460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471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480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484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486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509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465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453</v>
      </c>
    </row>
    <row r="189" spans="1:22">
      <c r="B189" s="55"/>
      <c r="C189" s="33"/>
      <c r="D189" s="57">
        <v>5.99</v>
      </c>
      <c r="E189" s="58"/>
      <c r="F189" s="58"/>
      <c r="G189" s="33" t="s">
        <v>499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502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8" ht="15" customHeight="1" thickBot="1">
      <c r="B243" s="292"/>
      <c r="C243" s="293"/>
      <c r="D243" s="293"/>
      <c r="E243" s="293"/>
      <c r="F243" s="293"/>
      <c r="G243" s="294"/>
    </row>
    <row r="244" spans="2:8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472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479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503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506</v>
      </c>
    </row>
    <row r="250" spans="2:8">
      <c r="B250" s="55"/>
      <c r="C250" s="33"/>
      <c r="D250" s="57">
        <v>271.56</v>
      </c>
      <c r="E250" s="58"/>
      <c r="F250" s="58"/>
      <c r="G250" s="33" t="s">
        <v>510</v>
      </c>
    </row>
    <row r="251" spans="2:8">
      <c r="B251" s="55"/>
      <c r="C251" s="33"/>
      <c r="D251" s="57">
        <v>14.06</v>
      </c>
      <c r="E251" s="58"/>
      <c r="F251" s="58"/>
      <c r="G251" s="33" t="s">
        <v>513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451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493</v>
      </c>
    </row>
    <row r="288" spans="2:7">
      <c r="B288" s="55"/>
      <c r="C288" s="33"/>
      <c r="D288" s="57">
        <v>10</v>
      </c>
      <c r="E288" s="58"/>
      <c r="F288" s="58"/>
      <c r="G288" s="33" t="s">
        <v>495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504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505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461</v>
      </c>
    </row>
    <row r="308" spans="2:7">
      <c r="B308" s="84"/>
      <c r="C308" s="66"/>
      <c r="D308" s="57">
        <v>42.55</v>
      </c>
      <c r="E308" s="58"/>
      <c r="F308" s="58"/>
      <c r="G308" s="33" t="s">
        <v>482</v>
      </c>
    </row>
    <row r="309" spans="2:7">
      <c r="B309" s="55"/>
      <c r="C309" s="33"/>
      <c r="D309" s="57" t="s">
        <v>483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457</v>
      </c>
    </row>
    <row r="327" spans="2:7">
      <c r="B327" s="55"/>
      <c r="C327" s="33"/>
      <c r="D327" s="57"/>
      <c r="E327" s="58">
        <v>120.56</v>
      </c>
      <c r="F327" s="58"/>
      <c r="G327" s="33" t="s">
        <v>489</v>
      </c>
    </row>
    <row r="328" spans="2:7">
      <c r="B328" s="55"/>
      <c r="C328" s="33"/>
      <c r="D328" s="57">
        <v>12.25</v>
      </c>
      <c r="E328" s="58"/>
      <c r="F328" s="58"/>
      <c r="G328" s="33" t="s">
        <v>500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476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490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492</v>
      </c>
    </row>
    <row r="507" spans="2:7">
      <c r="B507" s="55"/>
      <c r="C507" s="33"/>
      <c r="D507" s="57"/>
      <c r="E507" s="58">
        <v>11.27</v>
      </c>
      <c r="F507" s="58"/>
      <c r="G507" s="33" t="s">
        <v>494</v>
      </c>
    </row>
    <row r="508" spans="2:7">
      <c r="B508" s="55"/>
      <c r="C508" s="33"/>
      <c r="D508" s="57"/>
      <c r="E508" s="58">
        <v>49</v>
      </c>
      <c r="F508" s="58"/>
      <c r="G508" s="33" t="s">
        <v>517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G18" sqref="G18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99" t="str">
        <f>'2018'!A20</f>
        <v>Cártama Gastos</v>
      </c>
      <c r="C2" s="290"/>
      <c r="D2" s="290"/>
      <c r="E2" s="290"/>
      <c r="F2" s="290"/>
      <c r="G2" s="291"/>
      <c r="H2" s="1"/>
      <c r="I2" s="289" t="s">
        <v>4</v>
      </c>
      <c r="J2" s="290"/>
      <c r="K2" s="290"/>
      <c r="L2" s="291"/>
      <c r="M2" s="1"/>
      <c r="N2" s="1"/>
      <c r="R2" s="3"/>
    </row>
    <row r="3" spans="1:22" ht="16.5" thickBot="1">
      <c r="A3" s="1"/>
      <c r="B3" s="292"/>
      <c r="C3" s="293"/>
      <c r="D3" s="293"/>
      <c r="E3" s="293"/>
      <c r="F3" s="293"/>
      <c r="G3" s="294"/>
      <c r="H3" s="1"/>
      <c r="I3" s="292"/>
      <c r="J3" s="293"/>
      <c r="K3" s="293"/>
      <c r="L3" s="294"/>
      <c r="M3" s="1"/>
      <c r="N3" s="1"/>
      <c r="R3" s="3"/>
    </row>
    <row r="4" spans="1:22" ht="15.75">
      <c r="A4" s="1"/>
      <c r="B4" s="300" t="s">
        <v>10</v>
      </c>
      <c r="C4" s="301"/>
      <c r="D4" s="302" t="s">
        <v>11</v>
      </c>
      <c r="E4" s="302"/>
      <c r="F4" s="302"/>
      <c r="G4" s="301"/>
      <c r="H4" s="1"/>
      <c r="I4" s="88" t="s">
        <v>70</v>
      </c>
      <c r="J4" s="156" t="s">
        <v>71</v>
      </c>
      <c r="K4" s="295" t="s">
        <v>72</v>
      </c>
      <c r="L4" s="296"/>
      <c r="M4" s="1"/>
      <c r="N4" s="1"/>
      <c r="R4" s="3"/>
    </row>
    <row r="5" spans="1:22" ht="15.75">
      <c r="A5" s="1" t="s">
        <v>609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7">
        <f>2534.79-49</f>
        <v>2485.79</v>
      </c>
      <c r="L5" s="298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7">
        <v>550</v>
      </c>
      <c r="L6" s="288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7">
        <v>6661.07</v>
      </c>
      <c r="L7" s="288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7">
        <v>7000</v>
      </c>
      <c r="L8" s="288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7">
        <v>659.77</v>
      </c>
      <c r="L9" s="288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7">
        <v>1800.04</v>
      </c>
      <c r="L10" s="288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7">
        <f>220+20</f>
        <v>240</v>
      </c>
      <c r="L11" s="288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7">
        <v>5092.08</v>
      </c>
      <c r="L12" s="288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468</v>
      </c>
      <c r="D13" s="57"/>
      <c r="E13" s="58"/>
      <c r="F13" s="58"/>
      <c r="G13" s="33"/>
      <c r="H13" s="1"/>
      <c r="I13" s="159"/>
      <c r="J13" s="158"/>
      <c r="K13" s="287"/>
      <c r="L13" s="288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7"/>
      <c r="L14" s="288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7"/>
      <c r="L15" s="288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464</v>
      </c>
      <c r="D16" s="57"/>
      <c r="E16" s="58"/>
      <c r="F16" s="58"/>
      <c r="G16" s="33"/>
      <c r="H16" s="1"/>
      <c r="I16" s="159"/>
      <c r="J16" s="158"/>
      <c r="K16" s="287"/>
      <c r="L16" s="288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7"/>
      <c r="L17" s="288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3"/>
      <c r="L18" s="304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3">
        <f>SUM(K5:K18)</f>
        <v>24488.75</v>
      </c>
      <c r="L19" s="304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99" t="str">
        <f>'2018'!A21</f>
        <v>Waterloo</v>
      </c>
      <c r="C22" s="290"/>
      <c r="D22" s="290"/>
      <c r="E22" s="290"/>
      <c r="F22" s="290"/>
      <c r="G22" s="291"/>
      <c r="H22" s="1"/>
      <c r="I22" s="289" t="s">
        <v>6</v>
      </c>
      <c r="J22" s="290"/>
      <c r="K22" s="290"/>
      <c r="L22" s="291"/>
      <c r="M22" s="1"/>
      <c r="R22" s="3"/>
    </row>
    <row r="23" spans="1:18" ht="16.149999999999999" customHeight="1" thickBot="1">
      <c r="A23" s="1"/>
      <c r="B23" s="292"/>
      <c r="C23" s="293"/>
      <c r="D23" s="293"/>
      <c r="E23" s="293"/>
      <c r="F23" s="293"/>
      <c r="G23" s="294"/>
      <c r="H23" s="1"/>
      <c r="I23" s="292"/>
      <c r="J23" s="293"/>
      <c r="K23" s="293"/>
      <c r="L23" s="294"/>
      <c r="M23" s="1"/>
      <c r="R23" s="3"/>
    </row>
    <row r="24" spans="1:18" ht="15.75">
      <c r="A24" s="1"/>
      <c r="B24" s="300" t="s">
        <v>10</v>
      </c>
      <c r="C24" s="301"/>
      <c r="D24" s="302" t="s">
        <v>11</v>
      </c>
      <c r="E24" s="302"/>
      <c r="F24" s="302"/>
      <c r="G24" s="301"/>
      <c r="H24" s="1"/>
      <c r="I24" s="88" t="s">
        <v>33</v>
      </c>
      <c r="J24" s="32" t="s">
        <v>133</v>
      </c>
      <c r="K24" s="295" t="s">
        <v>134</v>
      </c>
      <c r="L24" s="296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518</v>
      </c>
      <c r="K25" s="297">
        <v>269.88</v>
      </c>
      <c r="L25" s="298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527</v>
      </c>
      <c r="K26" s="287">
        <v>49</v>
      </c>
      <c r="L26" s="288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7"/>
      <c r="L27" s="288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7"/>
      <c r="L28" s="288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7"/>
      <c r="L29" s="288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7"/>
      <c r="L30" s="288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7"/>
      <c r="L31" s="288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7"/>
      <c r="L32" s="288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7"/>
      <c r="L33" s="288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7"/>
      <c r="L34" s="288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7"/>
      <c r="L35" s="288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7"/>
      <c r="L36" s="288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7"/>
      <c r="L37" s="288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3"/>
      <c r="L38" s="304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99" t="str">
        <f>'2018'!A22</f>
        <v>Comida+Limpieza</v>
      </c>
      <c r="C42" s="290"/>
      <c r="D42" s="290"/>
      <c r="E42" s="290"/>
      <c r="F42" s="290"/>
      <c r="G42" s="291"/>
      <c r="H42" s="1"/>
      <c r="M42" s="1"/>
      <c r="R42" s="3"/>
    </row>
    <row r="43" spans="1:18" ht="16.149999999999999" customHeight="1" thickBot="1">
      <c r="A43" s="1"/>
      <c r="B43" s="292"/>
      <c r="C43" s="293"/>
      <c r="D43" s="293"/>
      <c r="E43" s="293"/>
      <c r="F43" s="293"/>
      <c r="G43" s="294"/>
      <c r="H43" s="1"/>
      <c r="M43" s="1"/>
      <c r="R43" s="3"/>
    </row>
    <row r="44" spans="1:18" ht="15.75">
      <c r="A44" s="1"/>
      <c r="B44" s="300" t="s">
        <v>10</v>
      </c>
      <c r="C44" s="301"/>
      <c r="D44" s="302" t="s">
        <v>11</v>
      </c>
      <c r="E44" s="302"/>
      <c r="F44" s="302"/>
      <c r="G44" s="301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533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520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521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524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525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536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538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543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545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546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547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567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566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565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99" t="str">
        <f>'2018'!A23</f>
        <v>Ocio</v>
      </c>
      <c r="C62" s="290"/>
      <c r="D62" s="290"/>
      <c r="E62" s="290"/>
      <c r="F62" s="290"/>
      <c r="G62" s="291"/>
      <c r="H62" s="1"/>
      <c r="M62" s="1"/>
      <c r="R62" s="3"/>
    </row>
    <row r="63" spans="1:18" ht="16.149999999999999" customHeight="1" thickBot="1">
      <c r="A63" s="1"/>
      <c r="B63" s="292"/>
      <c r="C63" s="293"/>
      <c r="D63" s="293"/>
      <c r="E63" s="293"/>
      <c r="F63" s="293"/>
      <c r="G63" s="294"/>
      <c r="H63" s="1"/>
      <c r="M63" s="1"/>
      <c r="R63" s="3"/>
    </row>
    <row r="64" spans="1:18" ht="15.75">
      <c r="A64" s="1"/>
      <c r="B64" s="300" t="s">
        <v>10</v>
      </c>
      <c r="C64" s="301"/>
      <c r="D64" s="302" t="s">
        <v>11</v>
      </c>
      <c r="E64" s="302"/>
      <c r="F64" s="302"/>
      <c r="G64" s="301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519</v>
      </c>
      <c r="H66" s="1"/>
      <c r="M66" s="1"/>
      <c r="R66" s="3"/>
    </row>
    <row r="67" spans="1:18" ht="15.75">
      <c r="A67" s="1"/>
      <c r="B67" s="55">
        <v>106.3</v>
      </c>
      <c r="C67" s="33" t="s">
        <v>487</v>
      </c>
      <c r="D67" s="57">
        <f>22.8</f>
        <v>22.8</v>
      </c>
      <c r="E67" s="58"/>
      <c r="F67" s="58">
        <v>3</v>
      </c>
      <c r="G67" s="70" t="s">
        <v>530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529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541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553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548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99" t="str">
        <f>'2018'!A24</f>
        <v>Transportes</v>
      </c>
      <c r="C82" s="290"/>
      <c r="D82" s="290"/>
      <c r="E82" s="290"/>
      <c r="F82" s="290"/>
      <c r="G82" s="291"/>
      <c r="H82" s="1"/>
      <c r="M82" s="1"/>
      <c r="R82" s="3"/>
    </row>
    <row r="83" spans="1:18" ht="16.149999999999999" customHeight="1" thickBot="1">
      <c r="A83" s="1"/>
      <c r="B83" s="292"/>
      <c r="C83" s="293"/>
      <c r="D83" s="293"/>
      <c r="E83" s="293"/>
      <c r="F83" s="293"/>
      <c r="G83" s="294"/>
      <c r="H83" s="1"/>
      <c r="M83" s="1"/>
      <c r="R83" s="3"/>
    </row>
    <row r="84" spans="1:18" ht="15.75">
      <c r="A84" s="1"/>
      <c r="B84" s="300" t="s">
        <v>10</v>
      </c>
      <c r="C84" s="301"/>
      <c r="D84" s="302" t="s">
        <v>11</v>
      </c>
      <c r="E84" s="302"/>
      <c r="F84" s="302"/>
      <c r="G84" s="301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526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550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555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556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562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99" t="str">
        <f>'2018'!A25</f>
        <v>Coche</v>
      </c>
      <c r="C102" s="290"/>
      <c r="D102" s="290"/>
      <c r="E102" s="290"/>
      <c r="F102" s="290"/>
      <c r="G102" s="291"/>
      <c r="H102" s="1"/>
      <c r="M102" s="1"/>
      <c r="R102" s="3"/>
    </row>
    <row r="103" spans="1:18" ht="16.149999999999999" customHeight="1" thickBot="1">
      <c r="A103" s="1"/>
      <c r="B103" s="292"/>
      <c r="C103" s="293"/>
      <c r="D103" s="293"/>
      <c r="E103" s="293"/>
      <c r="F103" s="293"/>
      <c r="G103" s="294"/>
      <c r="H103" s="1"/>
      <c r="M103" s="1"/>
      <c r="R103" s="3"/>
    </row>
    <row r="104" spans="1:18" ht="15.75">
      <c r="A104" s="1"/>
      <c r="B104" s="300" t="s">
        <v>10</v>
      </c>
      <c r="C104" s="301"/>
      <c r="D104" s="302" t="s">
        <v>11</v>
      </c>
      <c r="E104" s="302"/>
      <c r="F104" s="302"/>
      <c r="G104" s="301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99" t="str">
        <f>'2018'!A26</f>
        <v>Teléfono</v>
      </c>
      <c r="C122" s="290"/>
      <c r="D122" s="290"/>
      <c r="E122" s="290"/>
      <c r="F122" s="290"/>
      <c r="G122" s="291"/>
      <c r="H122" s="1"/>
      <c r="M122" s="1"/>
      <c r="R122" s="3"/>
    </row>
    <row r="123" spans="1:18" ht="16.149999999999999" customHeight="1" thickBot="1">
      <c r="A123" s="1"/>
      <c r="B123" s="292"/>
      <c r="C123" s="293"/>
      <c r="D123" s="293"/>
      <c r="E123" s="293"/>
      <c r="F123" s="293"/>
      <c r="G123" s="294"/>
      <c r="H123" s="1"/>
      <c r="M123" s="1"/>
      <c r="R123" s="3"/>
    </row>
    <row r="124" spans="1:18" ht="15.75">
      <c r="A124" s="1"/>
      <c r="B124" s="300" t="s">
        <v>10</v>
      </c>
      <c r="C124" s="301"/>
      <c r="D124" s="302" t="s">
        <v>11</v>
      </c>
      <c r="E124" s="302"/>
      <c r="F124" s="302"/>
      <c r="G124" s="301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99" t="str">
        <f>'2018'!A27</f>
        <v>Gatos</v>
      </c>
      <c r="C142" s="290"/>
      <c r="D142" s="290"/>
      <c r="E142" s="290"/>
      <c r="F142" s="290"/>
      <c r="G142" s="291"/>
      <c r="H142" s="1"/>
      <c r="M142" s="1"/>
      <c r="R142" s="3"/>
    </row>
    <row r="143" spans="1:18" ht="16.149999999999999" customHeight="1" thickBot="1">
      <c r="A143" s="1"/>
      <c r="B143" s="292"/>
      <c r="C143" s="293"/>
      <c r="D143" s="293"/>
      <c r="E143" s="293"/>
      <c r="F143" s="293"/>
      <c r="G143" s="294"/>
      <c r="H143" s="1"/>
      <c r="M143" s="1"/>
      <c r="R143" s="3"/>
    </row>
    <row r="144" spans="1:18" ht="15.75">
      <c r="A144" s="1"/>
      <c r="B144" s="300" t="s">
        <v>10</v>
      </c>
      <c r="C144" s="301"/>
      <c r="D144" s="302" t="s">
        <v>11</v>
      </c>
      <c r="E144" s="302"/>
      <c r="F144" s="302"/>
      <c r="G144" s="301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488</v>
      </c>
      <c r="D146" s="57">
        <v>31.56</v>
      </c>
      <c r="E146" s="58"/>
      <c r="F146" s="58"/>
      <c r="G146" s="33" t="s">
        <v>534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535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536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543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99" t="str">
        <f>'2018'!A28</f>
        <v>Vacaciones</v>
      </c>
      <c r="C162" s="290"/>
      <c r="D162" s="290"/>
      <c r="E162" s="290"/>
      <c r="F162" s="290"/>
      <c r="G162" s="29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2"/>
      <c r="C163" s="293"/>
      <c r="D163" s="293"/>
      <c r="E163" s="293"/>
      <c r="F163" s="293"/>
      <c r="G163" s="29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0" t="s">
        <v>10</v>
      </c>
      <c r="C164" s="301"/>
      <c r="D164" s="302" t="s">
        <v>11</v>
      </c>
      <c r="E164" s="302"/>
      <c r="F164" s="302"/>
      <c r="G164" s="30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99" t="str">
        <f>'2018'!A29</f>
        <v>Ropa</v>
      </c>
      <c r="C182" s="290"/>
      <c r="D182" s="290"/>
      <c r="E182" s="290"/>
      <c r="F182" s="290"/>
      <c r="G182" s="29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2"/>
      <c r="C183" s="293"/>
      <c r="D183" s="293"/>
      <c r="E183" s="293"/>
      <c r="F183" s="293"/>
      <c r="G183" s="29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0" t="s">
        <v>10</v>
      </c>
      <c r="C184" s="301"/>
      <c r="D184" s="302" t="s">
        <v>11</v>
      </c>
      <c r="E184" s="302"/>
      <c r="F184" s="302"/>
      <c r="G184" s="3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514</v>
      </c>
      <c r="D187" s="57">
        <v>19</v>
      </c>
      <c r="E187" s="58"/>
      <c r="F187" s="58"/>
      <c r="G187" s="33" t="s">
        <v>552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99" t="str">
        <f>'2018'!A30</f>
        <v>Belleza</v>
      </c>
      <c r="C202" s="290"/>
      <c r="D202" s="290"/>
      <c r="E202" s="290"/>
      <c r="F202" s="290"/>
      <c r="G202" s="291"/>
    </row>
    <row r="203" spans="2:7" ht="15" customHeight="1" thickBot="1">
      <c r="B203" s="292"/>
      <c r="C203" s="293"/>
      <c r="D203" s="293"/>
      <c r="E203" s="293"/>
      <c r="F203" s="293"/>
      <c r="G203" s="294"/>
    </row>
    <row r="204" spans="2:7">
      <c r="B204" s="300" t="s">
        <v>10</v>
      </c>
      <c r="C204" s="301"/>
      <c r="D204" s="302" t="s">
        <v>11</v>
      </c>
      <c r="E204" s="302"/>
      <c r="F204" s="302"/>
      <c r="G204" s="301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522</v>
      </c>
    </row>
    <row r="207" spans="2:7">
      <c r="B207" s="55"/>
      <c r="C207" s="33"/>
      <c r="D207" s="57">
        <v>40.15</v>
      </c>
      <c r="E207" s="58"/>
      <c r="F207" s="58"/>
      <c r="G207" s="33" t="s">
        <v>539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551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99" t="str">
        <f>'2018'!A31</f>
        <v>Deportes</v>
      </c>
      <c r="C222" s="290"/>
      <c r="D222" s="290"/>
      <c r="E222" s="290"/>
      <c r="F222" s="290"/>
      <c r="G222" s="291"/>
    </row>
    <row r="223" spans="2:7" ht="15" customHeight="1" thickBot="1">
      <c r="B223" s="292"/>
      <c r="C223" s="293"/>
      <c r="D223" s="293"/>
      <c r="E223" s="293"/>
      <c r="F223" s="293"/>
      <c r="G223" s="294"/>
    </row>
    <row r="224" spans="2:7">
      <c r="B224" s="300" t="s">
        <v>10</v>
      </c>
      <c r="C224" s="301"/>
      <c r="D224" s="302" t="s">
        <v>11</v>
      </c>
      <c r="E224" s="302"/>
      <c r="F224" s="302"/>
      <c r="G224" s="301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99" t="str">
        <f>'2018'!A32</f>
        <v>Hogar</v>
      </c>
      <c r="C242" s="290"/>
      <c r="D242" s="290"/>
      <c r="E242" s="290"/>
      <c r="F242" s="290"/>
      <c r="G242" s="291"/>
    </row>
    <row r="243" spans="2:7" ht="15" customHeight="1" thickBot="1">
      <c r="B243" s="292"/>
      <c r="C243" s="293"/>
      <c r="D243" s="293"/>
      <c r="E243" s="293"/>
      <c r="F243" s="293"/>
      <c r="G243" s="294"/>
    </row>
    <row r="244" spans="2:7" ht="15" customHeight="1">
      <c r="B244" s="300" t="s">
        <v>10</v>
      </c>
      <c r="C244" s="301"/>
      <c r="D244" s="302" t="s">
        <v>11</v>
      </c>
      <c r="E244" s="302"/>
      <c r="F244" s="302"/>
      <c r="G244" s="301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515</v>
      </c>
      <c r="D246" s="57">
        <v>12.46</v>
      </c>
      <c r="E246" s="58"/>
      <c r="F246" s="58"/>
      <c r="G246" s="33" t="s">
        <v>523</v>
      </c>
    </row>
    <row r="247" spans="2:7" ht="15" customHeight="1">
      <c r="B247" s="55">
        <v>566.59</v>
      </c>
      <c r="C247" s="33" t="s">
        <v>514</v>
      </c>
      <c r="D247" s="57">
        <f>34.65-D286-D147</f>
        <v>23.169999999999998</v>
      </c>
      <c r="E247" s="58"/>
      <c r="F247" s="58"/>
      <c r="G247" s="33" t="s">
        <v>535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99" t="str">
        <f>'2018'!A33</f>
        <v>Formación</v>
      </c>
      <c r="C262" s="290"/>
      <c r="D262" s="290"/>
      <c r="E262" s="290"/>
      <c r="F262" s="290"/>
      <c r="G262" s="291"/>
    </row>
    <row r="263" spans="2:7" ht="15" customHeight="1" thickBot="1">
      <c r="B263" s="292"/>
      <c r="C263" s="293"/>
      <c r="D263" s="293"/>
      <c r="E263" s="293"/>
      <c r="F263" s="293"/>
      <c r="G263" s="294"/>
    </row>
    <row r="264" spans="2:7">
      <c r="B264" s="300" t="s">
        <v>10</v>
      </c>
      <c r="C264" s="301"/>
      <c r="D264" s="302" t="s">
        <v>11</v>
      </c>
      <c r="E264" s="302"/>
      <c r="F264" s="302"/>
      <c r="G264" s="301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515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99" t="str">
        <f>'2018'!A34</f>
        <v>Regalos</v>
      </c>
      <c r="C282" s="290"/>
      <c r="D282" s="290"/>
      <c r="E282" s="290"/>
      <c r="F282" s="290"/>
      <c r="G282" s="291"/>
    </row>
    <row r="283" spans="2:7" ht="15" customHeight="1" thickBot="1">
      <c r="B283" s="292"/>
      <c r="C283" s="293"/>
      <c r="D283" s="293"/>
      <c r="E283" s="293"/>
      <c r="F283" s="293"/>
      <c r="G283" s="294"/>
    </row>
    <row r="284" spans="2:7">
      <c r="B284" s="300" t="s">
        <v>10</v>
      </c>
      <c r="C284" s="301"/>
      <c r="D284" s="302" t="s">
        <v>11</v>
      </c>
      <c r="E284" s="302"/>
      <c r="F284" s="302"/>
      <c r="G284" s="301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537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99" t="str">
        <f>'2018'!A35</f>
        <v>Salud</v>
      </c>
      <c r="C302" s="290"/>
      <c r="D302" s="290"/>
      <c r="E302" s="290"/>
      <c r="F302" s="290"/>
      <c r="G302" s="291"/>
    </row>
    <row r="303" spans="2:7" ht="15" customHeight="1" thickBot="1">
      <c r="B303" s="292"/>
      <c r="C303" s="293"/>
      <c r="D303" s="293"/>
      <c r="E303" s="293"/>
      <c r="F303" s="293"/>
      <c r="G303" s="294"/>
    </row>
    <row r="304" spans="2:7">
      <c r="B304" s="300" t="s">
        <v>10</v>
      </c>
      <c r="C304" s="301"/>
      <c r="D304" s="302" t="s">
        <v>11</v>
      </c>
      <c r="E304" s="302"/>
      <c r="F304" s="302"/>
      <c r="G304" s="301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473</v>
      </c>
      <c r="D306" s="57">
        <v>125</v>
      </c>
      <c r="E306" s="58"/>
      <c r="F306" s="58"/>
      <c r="G306" s="33" t="s">
        <v>563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299" t="str">
        <f>'2018'!A36</f>
        <v>Martina</v>
      </c>
      <c r="C322" s="290"/>
      <c r="D322" s="290"/>
      <c r="E322" s="290"/>
      <c r="F322" s="290"/>
      <c r="G322" s="291"/>
    </row>
    <row r="323" spans="2:7" ht="15" customHeight="1" thickBot="1">
      <c r="B323" s="292"/>
      <c r="C323" s="293"/>
      <c r="D323" s="293"/>
      <c r="E323" s="293"/>
      <c r="F323" s="293"/>
      <c r="G323" s="294"/>
    </row>
    <row r="324" spans="2:7">
      <c r="B324" s="300" t="s">
        <v>10</v>
      </c>
      <c r="C324" s="301"/>
      <c r="D324" s="302" t="s">
        <v>11</v>
      </c>
      <c r="E324" s="302"/>
      <c r="F324" s="302"/>
      <c r="G324" s="301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515</v>
      </c>
      <c r="D326" s="57">
        <v>4.3499999999999996</v>
      </c>
      <c r="E326" s="58"/>
      <c r="F326" s="58"/>
      <c r="G326" s="33" t="s">
        <v>558</v>
      </c>
    </row>
    <row r="327" spans="2:7">
      <c r="B327" s="55">
        <v>0.02</v>
      </c>
      <c r="C327" s="33" t="s">
        <v>516</v>
      </c>
      <c r="D327" s="57"/>
      <c r="E327" s="58"/>
      <c r="F327" s="58"/>
      <c r="G327" s="33"/>
    </row>
    <row r="328" spans="2:7">
      <c r="B328" s="55">
        <v>241.71</v>
      </c>
      <c r="C328" s="33" t="s">
        <v>514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99" t="str">
        <f>'2018'!A37</f>
        <v>Impuestos</v>
      </c>
      <c r="C342" s="290"/>
      <c r="D342" s="290"/>
      <c r="E342" s="290"/>
      <c r="F342" s="290"/>
      <c r="G342" s="291"/>
    </row>
    <row r="343" spans="2:7" ht="15" customHeight="1" thickBot="1">
      <c r="B343" s="292"/>
      <c r="C343" s="293"/>
      <c r="D343" s="293"/>
      <c r="E343" s="293"/>
      <c r="F343" s="293"/>
      <c r="G343" s="294"/>
    </row>
    <row r="344" spans="2:7">
      <c r="B344" s="300" t="s">
        <v>10</v>
      </c>
      <c r="C344" s="301"/>
      <c r="D344" s="302" t="s">
        <v>11</v>
      </c>
      <c r="E344" s="302"/>
      <c r="F344" s="302"/>
      <c r="G344" s="301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475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99" t="str">
        <f>'2018'!A38</f>
        <v>Gastos Curros</v>
      </c>
      <c r="C362" s="290"/>
      <c r="D362" s="290"/>
      <c r="E362" s="290"/>
      <c r="F362" s="290"/>
      <c r="G362" s="291"/>
    </row>
    <row r="363" spans="2:7" ht="15" customHeight="1" thickBot="1">
      <c r="B363" s="292"/>
      <c r="C363" s="293"/>
      <c r="D363" s="293"/>
      <c r="E363" s="293"/>
      <c r="F363" s="293"/>
      <c r="G363" s="294"/>
    </row>
    <row r="364" spans="2:7">
      <c r="B364" s="300" t="s">
        <v>10</v>
      </c>
      <c r="C364" s="301"/>
      <c r="D364" s="302" t="s">
        <v>11</v>
      </c>
      <c r="E364" s="302"/>
      <c r="F364" s="302"/>
      <c r="G364" s="301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512</v>
      </c>
      <c r="D367" s="57">
        <v>40.49</v>
      </c>
      <c r="E367" s="58"/>
      <c r="F367" s="58"/>
      <c r="G367" s="70" t="s">
        <v>540</v>
      </c>
    </row>
    <row r="368" spans="2:7">
      <c r="B368" s="55"/>
      <c r="C368" s="33"/>
      <c r="D368" s="57"/>
      <c r="E368" s="58">
        <v>57.65</v>
      </c>
      <c r="F368" s="58"/>
      <c r="G368" s="33" t="s">
        <v>542</v>
      </c>
    </row>
    <row r="369" spans="2:7">
      <c r="B369" s="55"/>
      <c r="C369" s="33"/>
      <c r="D369" s="57"/>
      <c r="E369" s="58"/>
      <c r="F369" s="58">
        <v>2.85</v>
      </c>
      <c r="G369" s="33" t="s">
        <v>554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99" t="str">
        <f>'2018'!A39</f>
        <v>Dreamed Holidays</v>
      </c>
      <c r="C382" s="290"/>
      <c r="D382" s="290"/>
      <c r="E382" s="290"/>
      <c r="F382" s="290"/>
      <c r="G382" s="291"/>
    </row>
    <row r="383" spans="2:7" ht="15" customHeight="1" thickBot="1">
      <c r="B383" s="292"/>
      <c r="C383" s="293"/>
      <c r="D383" s="293"/>
      <c r="E383" s="293"/>
      <c r="F383" s="293"/>
      <c r="G383" s="294"/>
    </row>
    <row r="384" spans="2:7">
      <c r="B384" s="300" t="s">
        <v>10</v>
      </c>
      <c r="C384" s="301"/>
      <c r="D384" s="302" t="s">
        <v>11</v>
      </c>
      <c r="E384" s="302"/>
      <c r="F384" s="302"/>
      <c r="G384" s="301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99" t="str">
        <f>'2018'!A40</f>
        <v>Financieros</v>
      </c>
      <c r="C402" s="290"/>
      <c r="D402" s="290"/>
      <c r="E402" s="290"/>
      <c r="F402" s="290"/>
      <c r="G402" s="291"/>
    </row>
    <row r="403" spans="2:7" ht="15" customHeight="1" thickBot="1">
      <c r="B403" s="292"/>
      <c r="C403" s="293"/>
      <c r="D403" s="293"/>
      <c r="E403" s="293"/>
      <c r="F403" s="293"/>
      <c r="G403" s="294"/>
    </row>
    <row r="404" spans="2:7">
      <c r="B404" s="300" t="s">
        <v>10</v>
      </c>
      <c r="C404" s="301"/>
      <c r="D404" s="302" t="s">
        <v>11</v>
      </c>
      <c r="E404" s="302"/>
      <c r="F404" s="302"/>
      <c r="G404" s="301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99" t="str">
        <f>'2018'!A41</f>
        <v>Ahorros Colchón</v>
      </c>
      <c r="C422" s="305"/>
      <c r="D422" s="305"/>
      <c r="E422" s="305"/>
      <c r="F422" s="305"/>
      <c r="G422" s="306"/>
    </row>
    <row r="423" spans="2:7" ht="15" customHeight="1" thickBot="1">
      <c r="B423" s="307"/>
      <c r="C423" s="308"/>
      <c r="D423" s="308"/>
      <c r="E423" s="308"/>
      <c r="F423" s="308"/>
      <c r="G423" s="309"/>
    </row>
    <row r="424" spans="2:7">
      <c r="B424" s="300" t="s">
        <v>10</v>
      </c>
      <c r="C424" s="301"/>
      <c r="D424" s="302" t="s">
        <v>11</v>
      </c>
      <c r="E424" s="302"/>
      <c r="F424" s="302"/>
      <c r="G424" s="301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528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99" t="str">
        <f>'2018'!A42</f>
        <v>Dinero Bloqueado</v>
      </c>
      <c r="C442" s="305"/>
      <c r="D442" s="305"/>
      <c r="E442" s="305"/>
      <c r="F442" s="305"/>
      <c r="G442" s="306"/>
    </row>
    <row r="443" spans="2:7" ht="15" customHeight="1" thickBot="1">
      <c r="B443" s="307"/>
      <c r="C443" s="308"/>
      <c r="D443" s="308"/>
      <c r="E443" s="308"/>
      <c r="F443" s="308"/>
      <c r="G443" s="309"/>
    </row>
    <row r="444" spans="2:7">
      <c r="B444" s="300" t="s">
        <v>10</v>
      </c>
      <c r="C444" s="301"/>
      <c r="D444" s="302" t="s">
        <v>11</v>
      </c>
      <c r="E444" s="302"/>
      <c r="F444" s="302"/>
      <c r="G444" s="301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99" t="str">
        <f>'2018'!A43</f>
        <v>Cartama Finanazas</v>
      </c>
      <c r="C462" s="305"/>
      <c r="D462" s="305"/>
      <c r="E462" s="305"/>
      <c r="F462" s="305"/>
      <c r="G462" s="306"/>
    </row>
    <row r="463" spans="2:7" ht="15" customHeight="1" thickBot="1">
      <c r="B463" s="307"/>
      <c r="C463" s="308"/>
      <c r="D463" s="308"/>
      <c r="E463" s="308"/>
      <c r="F463" s="308"/>
      <c r="G463" s="309"/>
    </row>
    <row r="464" spans="2:7">
      <c r="B464" s="300" t="s">
        <v>10</v>
      </c>
      <c r="C464" s="301"/>
      <c r="D464" s="302" t="s">
        <v>11</v>
      </c>
      <c r="E464" s="302"/>
      <c r="F464" s="302"/>
      <c r="G464" s="301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485</v>
      </c>
      <c r="D466" s="57"/>
      <c r="E466" s="58"/>
      <c r="F466" s="58"/>
      <c r="G466" s="33"/>
    </row>
    <row r="467" spans="2:7">
      <c r="B467" s="55">
        <v>285</v>
      </c>
      <c r="C467" s="33" t="s">
        <v>468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299" t="str">
        <f>'2018'!A44</f>
        <v>NULO</v>
      </c>
      <c r="C482" s="305"/>
      <c r="D482" s="305"/>
      <c r="E482" s="305"/>
      <c r="F482" s="305"/>
      <c r="G482" s="306"/>
    </row>
    <row r="483" spans="2:7" ht="15" customHeight="1" thickBot="1">
      <c r="B483" s="307"/>
      <c r="C483" s="308"/>
      <c r="D483" s="308"/>
      <c r="E483" s="308"/>
      <c r="F483" s="308"/>
      <c r="G483" s="309"/>
    </row>
    <row r="484" spans="2:7">
      <c r="B484" s="300" t="s">
        <v>10</v>
      </c>
      <c r="C484" s="301"/>
      <c r="D484" s="302" t="s">
        <v>11</v>
      </c>
      <c r="E484" s="302"/>
      <c r="F484" s="302"/>
      <c r="G484" s="301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99" t="str">
        <f>'2018'!A45</f>
        <v>OTROS</v>
      </c>
      <c r="C502" s="305"/>
      <c r="D502" s="305"/>
      <c r="E502" s="305"/>
      <c r="F502" s="305"/>
      <c r="G502" s="306"/>
    </row>
    <row r="503" spans="2:7" ht="15" customHeight="1" thickBot="1">
      <c r="B503" s="307"/>
      <c r="C503" s="308"/>
      <c r="D503" s="308"/>
      <c r="E503" s="308"/>
      <c r="F503" s="308"/>
      <c r="G503" s="309"/>
    </row>
    <row r="504" spans="2:7">
      <c r="B504" s="300" t="s">
        <v>10</v>
      </c>
      <c r="C504" s="301"/>
      <c r="D504" s="302" t="s">
        <v>11</v>
      </c>
      <c r="E504" s="302"/>
      <c r="F504" s="302"/>
      <c r="G504" s="301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2018-10-17T15:44:44Z</dcterms:modified>
</cp:coreProperties>
</file>