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0E298CF2-362D-4843-8D09-2FE71FECF6F3}" xr6:coauthVersionLast="41" xr6:coauthVersionMax="41" xr10:uidLastSave="{00000000-0000-0000-0000-000000000000}"/>
  <bookViews>
    <workbookView xWindow="-108" yWindow="12852" windowWidth="22164" windowHeight="13176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7" i="13" l="1"/>
  <c r="I127" i="12"/>
  <c r="I127" i="11"/>
  <c r="I127" i="10"/>
  <c r="I127" i="9"/>
  <c r="I127" i="8"/>
  <c r="I127" i="7"/>
  <c r="I127" i="6"/>
  <c r="I127" i="5"/>
  <c r="I127" i="4"/>
  <c r="I127" i="3"/>
  <c r="I127" i="2"/>
  <c r="F366" i="11"/>
  <c r="K12" i="12" l="1"/>
  <c r="B3" i="19"/>
  <c r="B12" i="19"/>
  <c r="G62" i="17"/>
  <c r="A109" i="11"/>
  <c r="A467" i="11" l="1"/>
  <c r="A466" i="11"/>
  <c r="Q20" i="18"/>
  <c r="Q25" i="18"/>
  <c r="Q29" i="18"/>
  <c r="Q30" i="18"/>
  <c r="Q33" i="18"/>
  <c r="Q34" i="18"/>
  <c r="Q35" i="18"/>
  <c r="Q19" i="18"/>
  <c r="Q13" i="18"/>
  <c r="Q9" i="18"/>
  <c r="Q6" i="18"/>
  <c r="Q7" i="18"/>
  <c r="Q8" i="18"/>
  <c r="Q4" i="18"/>
  <c r="Q3" i="18"/>
  <c r="L32" i="11" l="1"/>
  <c r="D247" i="11"/>
  <c r="D366" i="11"/>
  <c r="D306" i="11" l="1"/>
  <c r="A286" i="11"/>
  <c r="D186" i="11" l="1"/>
  <c r="H62" i="17" l="1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359" i="11"/>
  <c r="A358" i="11"/>
  <c r="A346" i="11"/>
  <c r="A299" i="11"/>
  <c r="A256" i="11"/>
  <c r="H257" i="11"/>
  <c r="A108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U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A359" i="9"/>
  <c r="A358" i="9"/>
  <c r="A346" i="9"/>
  <c r="B359" i="8"/>
  <c r="K11" i="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N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N25" i="18" s="1"/>
  <c r="R24" i="18"/>
  <c r="R21" i="18"/>
  <c r="H19" i="18"/>
  <c r="M19" i="18" s="1"/>
  <c r="N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T19" i="18" l="1"/>
  <c r="I4" i="18"/>
  <c r="J4" i="18" s="1"/>
  <c r="I25" i="18"/>
  <c r="J25" i="18" s="1"/>
  <c r="M3" i="18"/>
  <c r="N3" i="18" s="1"/>
  <c r="O3" i="18" s="1"/>
  <c r="P20" i="18"/>
  <c r="R20" i="18" s="1"/>
  <c r="D35" i="18"/>
  <c r="X35" i="18" s="1"/>
  <c r="D28" i="18"/>
  <c r="X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Q28" i="18" s="1"/>
  <c r="N5" i="18"/>
  <c r="Q5" i="18" s="1"/>
  <c r="O25" i="18"/>
  <c r="N33" i="18"/>
  <c r="N4" i="18"/>
  <c r="I5" i="18"/>
  <c r="E13" i="18"/>
  <c r="Y13" i="18" s="1"/>
  <c r="P3" i="18"/>
  <c r="E3" i="18"/>
  <c r="E25" i="18"/>
  <c r="Y25" i="18" s="1"/>
  <c r="B46" i="7"/>
  <c r="P25" i="18" l="1"/>
  <c r="R25" i="18" s="1"/>
  <c r="J33" i="18"/>
  <c r="O33" i="18" s="1"/>
  <c r="R3" i="18"/>
  <c r="O28" i="18"/>
  <c r="O42" i="18" s="1"/>
  <c r="X42" i="18"/>
  <c r="D42" i="18"/>
  <c r="N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Y35" i="18" l="1"/>
  <c r="E33" i="18"/>
  <c r="J42" i="18"/>
  <c r="R35" i="18"/>
  <c r="E42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<sst xmlns="http://schemas.openxmlformats.org/spreadsheetml/2006/main" count="5774" uniqueCount="879">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</sst>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9" zoomScaleNormal="100" workbookViewId="0">
      <pane xSplit="1" topLeftCell="C1" activePane="topRight" state="frozen"/>
      <selection pane="topRight" activeCell="C26" sqref="C26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71</v>
      </c>
      <c r="T4" s="382"/>
      <c r="U4" s="382"/>
      <c r="V4" s="383"/>
      <c r="W4" s="381" t="s">
        <v>70</v>
      </c>
      <c r="X4" s="382"/>
      <c r="Y4" s="382"/>
      <c r="Z4" s="383"/>
      <c r="AA4" s="381" t="s">
        <v>72</v>
      </c>
      <c r="AB4" s="382"/>
      <c r="AC4" s="382"/>
      <c r="AD4" s="383"/>
      <c r="AE4" s="381" t="s">
        <v>73</v>
      </c>
      <c r="AF4" s="382"/>
      <c r="AG4" s="382"/>
      <c r="AH4" s="383"/>
      <c r="AI4" s="381" t="s">
        <v>75</v>
      </c>
      <c r="AJ4" s="382"/>
      <c r="AK4" s="382"/>
      <c r="AL4" s="383"/>
      <c r="AM4" s="381" t="s">
        <v>77</v>
      </c>
      <c r="AN4" s="382"/>
      <c r="AO4" s="382"/>
      <c r="AP4" s="383"/>
      <c r="AQ4" s="381" t="s">
        <v>79</v>
      </c>
      <c r="AR4" s="382"/>
      <c r="AS4" s="382"/>
      <c r="AT4" s="383"/>
      <c r="AU4" s="381" t="s">
        <v>84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26383.54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13819.86</v>
      </c>
      <c r="AR5" s="388"/>
      <c r="AS5" s="388"/>
      <c r="AT5" s="389"/>
      <c r="AU5" s="387">
        <f>'12'!K19</f>
        <v>15101.890000000001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4" t="s">
        <v>230</v>
      </c>
      <c r="D7" s="385"/>
      <c r="E7" s="385"/>
      <c r="F7" s="386"/>
      <c r="G7" s="384" t="s">
        <v>230</v>
      </c>
      <c r="H7" s="385"/>
      <c r="I7" s="385"/>
      <c r="J7" s="386"/>
      <c r="K7" s="384" t="s">
        <v>230</v>
      </c>
      <c r="L7" s="385"/>
      <c r="M7" s="385"/>
      <c r="N7" s="386"/>
      <c r="O7" s="384" t="s">
        <v>230</v>
      </c>
      <c r="P7" s="385"/>
      <c r="Q7" s="385"/>
      <c r="R7" s="386"/>
      <c r="S7" s="384" t="s">
        <v>230</v>
      </c>
      <c r="T7" s="385"/>
      <c r="U7" s="385"/>
      <c r="V7" s="386"/>
      <c r="W7" s="384" t="s">
        <v>230</v>
      </c>
      <c r="X7" s="385"/>
      <c r="Y7" s="385"/>
      <c r="Z7" s="386"/>
      <c r="AA7" s="384" t="s">
        <v>230</v>
      </c>
      <c r="AB7" s="385"/>
      <c r="AC7" s="385"/>
      <c r="AD7" s="386"/>
      <c r="AE7" s="384" t="s">
        <v>230</v>
      </c>
      <c r="AF7" s="385"/>
      <c r="AG7" s="385"/>
      <c r="AH7" s="386"/>
      <c r="AI7" s="384" t="s">
        <v>230</v>
      </c>
      <c r="AJ7" s="385"/>
      <c r="AK7" s="385"/>
      <c r="AL7" s="386"/>
      <c r="AM7" s="384" t="s">
        <v>230</v>
      </c>
      <c r="AN7" s="385"/>
      <c r="AO7" s="385"/>
      <c r="AP7" s="386"/>
      <c r="AQ7" s="384" t="s">
        <v>230</v>
      </c>
      <c r="AR7" s="385"/>
      <c r="AS7" s="385"/>
      <c r="AT7" s="386"/>
      <c r="AU7" s="384" t="s">
        <v>230</v>
      </c>
      <c r="AV7" s="385"/>
      <c r="AW7" s="385"/>
      <c r="AX7" s="386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1">
        <f>SUM('01'!L25:'01'!L29)</f>
        <v>2593.46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0</v>
      </c>
      <c r="AN8" s="392"/>
      <c r="AO8" s="392"/>
      <c r="AP8" s="393"/>
      <c r="AQ8" s="391">
        <f>SUM('11'!L25:'11'!L29)</f>
        <v>0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8">
        <f>SUM('01'!L30:'01'!L34)</f>
        <v>655.59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415.45</v>
      </c>
      <c r="AN9" s="379"/>
      <c r="AO9" s="379"/>
      <c r="AP9" s="380"/>
      <c r="AQ9" s="378">
        <f>SUM('11'!L30:'11'!L34)</f>
        <v>0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78">
        <f>SUM('01'!L35:'01'!L39)</f>
        <v>120.85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8">
        <f>SUM('01'!L40:'01'!L44)</f>
        <v>3.87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0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460.30999999999995</v>
      </c>
      <c r="BA11" s="112">
        <f t="shared" ca="1" si="0"/>
        <v>46.030999999999992</v>
      </c>
      <c r="BB11" s="1"/>
      <c r="BC11" s="1"/>
    </row>
    <row r="12" spans="1:55" ht="15.75">
      <c r="A12" s="190" t="s">
        <v>23</v>
      </c>
      <c r="B12" s="194">
        <v>3325.31</v>
      </c>
      <c r="C12" s="378">
        <f>SUM('01'!L45:'01'!L49)</f>
        <v>137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8">
        <f>SUM('01'!L50:'01'!L54)</f>
        <v>95.8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0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0</v>
      </c>
      <c r="AN14" s="395"/>
      <c r="AO14" s="395"/>
      <c r="AP14" s="396"/>
      <c r="AQ14" s="394">
        <f>SUM('11'!L55:'11'!L59)</f>
        <v>0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0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8">
        <f>SUM('01'!L65:'01'!L69)</f>
        <v>85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3691.57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1114.2199999999998</v>
      </c>
      <c r="AN17" s="375"/>
      <c r="AO17" s="375"/>
      <c r="AP17" s="376"/>
      <c r="AQ17" s="374">
        <f>SUM(AQ8:AQ16)</f>
        <v>0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46292.13</v>
      </c>
      <c r="BA17" s="112">
        <f ca="1">AZ17/BC$17</f>
        <v>4629.2129999999997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173</v>
      </c>
      <c r="AV18" s="377"/>
      <c r="AW18" s="377"/>
      <c r="AX18" s="377"/>
      <c r="AZ18" s="131">
        <f>(2500*13)+(600*12)+(550*12)+(95*12)</f>
        <v>47440</v>
      </c>
      <c r="BA18" s="131">
        <f ca="1">12*BA17</f>
        <v>55550.555999999997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0.1178024338386294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0.12586286895854337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1103.94</v>
      </c>
      <c r="AP21" s="151">
        <f t="shared" si="11"/>
        <v>408.13999999999919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1556.1399999999992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2684.1399999999994</v>
      </c>
      <c r="AZ21" s="152">
        <f t="shared" si="14"/>
        <v>11749.720000000001</v>
      </c>
      <c r="BA21" s="21">
        <f t="shared" si="15"/>
        <v>0.26644419369117683</v>
      </c>
      <c r="BB21" s="22">
        <f t="shared" ref="BB21:BB45" si="20">_xlfn.RANK.EQ(BA21,$BA$20:$BA$45,)</f>
        <v>1</v>
      </c>
      <c r="BC21" s="22">
        <f t="shared" ca="1" si="16"/>
        <v>1174.9720000000002</v>
      </c>
      <c r="BE21" s="224">
        <f t="shared" ca="1" si="17"/>
        <v>11505</v>
      </c>
      <c r="BF21" s="21">
        <f t="shared" ca="1" si="18"/>
        <v>0.2485303782001492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-244.72000000000048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327.21000000000004</v>
      </c>
      <c r="AP22" s="156">
        <f t="shared" si="11"/>
        <v>477.77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777.77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1267.77</v>
      </c>
      <c r="AZ22" s="157">
        <f t="shared" si="14"/>
        <v>2954.5299999999997</v>
      </c>
      <c r="BA22" s="21">
        <f t="shared" si="15"/>
        <v>6.6998819000486182E-2</v>
      </c>
      <c r="BB22" s="22">
        <f t="shared" si="20"/>
        <v>6</v>
      </c>
      <c r="BC22" s="22">
        <f t="shared" ca="1" si="16"/>
        <v>295.45299999999997</v>
      </c>
      <c r="BE22" s="225">
        <f t="shared" ca="1" si="17"/>
        <v>3186.23</v>
      </c>
      <c r="BF22" s="21">
        <f t="shared" ca="1" si="18"/>
        <v>6.8828765487410806E-2</v>
      </c>
      <c r="BG22" s="22">
        <f t="shared" ca="1" si="21"/>
        <v>6</v>
      </c>
      <c r="BH22" s="22">
        <f t="shared" ca="1" si="19"/>
        <v>318.62299999999999</v>
      </c>
      <c r="BJ22" s="225">
        <f t="shared" ca="1" si="22"/>
        <v>231.69999999999982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3.9087727764191948E-2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4.1259715111889174E-2</v>
      </c>
      <c r="BG23" s="22">
        <f t="shared" ca="1" si="21"/>
        <v>8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153.76999999999998</v>
      </c>
      <c r="AP24" s="156">
        <f t="shared" si="11"/>
        <v>202.65999999999997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352.65999999999997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512.66</v>
      </c>
      <c r="AZ24" s="157">
        <f t="shared" si="14"/>
        <v>1407.3400000000001</v>
      </c>
      <c r="BA24" s="21">
        <f t="shared" si="15"/>
        <v>3.1913745310470448E-2</v>
      </c>
      <c r="BB24" s="22">
        <f t="shared" si="20"/>
        <v>10</v>
      </c>
      <c r="BC24" s="22">
        <f t="shared" ca="1" si="16"/>
        <v>140.73400000000001</v>
      </c>
      <c r="BE24" s="225">
        <f t="shared" ca="1" si="17"/>
        <v>1610</v>
      </c>
      <c r="BF24" s="21">
        <f t="shared" ca="1" si="18"/>
        <v>3.4779131586461558E-2</v>
      </c>
      <c r="BG24" s="22">
        <f t="shared" ca="1" si="21"/>
        <v>10</v>
      </c>
      <c r="BH24" s="22">
        <f t="shared" ca="1" si="19"/>
        <v>161</v>
      </c>
      <c r="BJ24" s="225">
        <f t="shared" ca="1" si="22"/>
        <v>202.65999999999997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4966.9015974244958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5371.9015974244958</v>
      </c>
      <c r="AZ25" s="152">
        <f t="shared" si="14"/>
        <v>3337.8000000000006</v>
      </c>
      <c r="BA25" s="21">
        <f t="shared" si="15"/>
        <v>7.5690095568439933E-2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4684.6815974244982</v>
      </c>
      <c r="BF25" s="21">
        <f t="shared" ca="1" si="18"/>
        <v>0.10119823460714382</v>
      </c>
      <c r="BG25" s="22">
        <f t="shared" ca="1" si="21"/>
        <v>3</v>
      </c>
      <c r="BH25" s="22">
        <f t="shared" ca="1" si="19"/>
        <v>468.46815974244981</v>
      </c>
      <c r="BJ25" s="224">
        <f t="shared" ca="1" si="22"/>
        <v>1346.8815974244972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1.0826282409456706E-2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1.1350742044786475E-2</v>
      </c>
      <c r="BG26" s="22">
        <f t="shared" ca="1" si="21"/>
        <v>17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9.0357347594824649E-3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9.5048558372938415E-3</v>
      </c>
      <c r="BG27" s="22">
        <f t="shared" ca="1" si="21"/>
        <v>19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7.7102623596769407E-2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7.9496021989715518E-2</v>
      </c>
      <c r="BG28" s="22">
        <f t="shared" ca="1" si="21"/>
        <v>5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2.0736201716893918E-2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2.032008566342915E-2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5.5047548382883308E-3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8.4247585830559048E-3</v>
      </c>
      <c r="BG30" s="22">
        <f t="shared" ca="1" si="21"/>
        <v>20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4.519908277518558E-3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4.3203890169517464E-3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65.239999999999995</v>
      </c>
      <c r="AP32" s="161">
        <f t="shared" si="11"/>
        <v>504.53999999999974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599.53999999999974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649.53999999999974</v>
      </c>
      <c r="AZ32" s="157">
        <f t="shared" si="23"/>
        <v>1718.5400000000002</v>
      </c>
      <c r="BA32" s="21">
        <f t="shared" si="15"/>
        <v>3.8970716291625247E-2</v>
      </c>
      <c r="BB32" s="22">
        <f t="shared" si="20"/>
        <v>8</v>
      </c>
      <c r="BC32" s="22">
        <f t="shared" ca="1" si="16"/>
        <v>171.85400000000001</v>
      </c>
      <c r="BE32" s="225">
        <f t="shared" ca="1" si="17"/>
        <v>2237.33</v>
      </c>
      <c r="BF32" s="21">
        <f t="shared" ca="1" si="18"/>
        <v>4.8330679796483249E-2</v>
      </c>
      <c r="BG32" s="22">
        <f t="shared" ca="1" si="21"/>
        <v>7</v>
      </c>
      <c r="BH32" s="22">
        <f t="shared" ca="1" si="19"/>
        <v>223.733</v>
      </c>
      <c r="BJ32" s="225">
        <f t="shared" ca="1" si="22"/>
        <v>518.78999999999974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0.10167866109849283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9.8762796810811848E-2</v>
      </c>
      <c r="BG33" s="22">
        <f t="shared" ca="1" si="21"/>
        <v>4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2.8983016102229933E-2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2.8609832089705307E-2</v>
      </c>
      <c r="BG34" s="22">
        <f t="shared" ca="1" si="21"/>
        <v>12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290.69000000000005</v>
      </c>
      <c r="AP35" s="187">
        <f t="shared" si="11"/>
        <v>1589.5900000000004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1719.5900000000004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1834.5900000000004</v>
      </c>
      <c r="AZ35" s="188">
        <f t="shared" si="23"/>
        <v>1569.44</v>
      </c>
      <c r="BA35" s="21">
        <f t="shared" si="15"/>
        <v>3.5589628973854745E-2</v>
      </c>
      <c r="BB35" s="22">
        <f t="shared" si="20"/>
        <v>9</v>
      </c>
      <c r="BC35" s="22">
        <f t="shared" ca="1" si="16"/>
        <v>156.94400000000002</v>
      </c>
      <c r="BE35" s="224">
        <f t="shared" ca="1" si="17"/>
        <v>1669.43</v>
      </c>
      <c r="BF35" s="21">
        <f t="shared" ca="1" si="18"/>
        <v>3.6062935182848768E-2</v>
      </c>
      <c r="BG35" s="22">
        <f t="shared" ca="1" si="21"/>
        <v>9</v>
      </c>
      <c r="BH35" s="22">
        <f t="shared" ca="1" si="19"/>
        <v>166.94300000000001</v>
      </c>
      <c r="BJ35" s="224">
        <f t="shared" ca="1" si="22"/>
        <v>99.990000000000009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2.8560550262323393E-2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3.3676784328786319E-2</v>
      </c>
      <c r="BG36" s="22">
        <f t="shared" ca="1" si="21"/>
        <v>11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9.795175499067537E-3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1.1325899807939001E-2</v>
      </c>
      <c r="BG37" s="22">
        <f t="shared" ca="1" si="21"/>
        <v>18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231.23000000000008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301.23000000000008</v>
      </c>
      <c r="AZ38" s="157">
        <f t="shared" si="23"/>
        <v>592.97</v>
      </c>
      <c r="BA38" s="21">
        <f t="shared" si="15"/>
        <v>1.3446568389123921E-2</v>
      </c>
      <c r="BB38" s="22">
        <f t="shared" si="20"/>
        <v>14</v>
      </c>
      <c r="BC38" s="22">
        <f t="shared" ca="1" si="16"/>
        <v>59.297000000000004</v>
      </c>
      <c r="BE38" s="225">
        <f t="shared" ca="1" si="17"/>
        <v>720</v>
      </c>
      <c r="BF38" s="21">
        <f t="shared" ca="1" si="18"/>
        <v>1.5553400461026287E-2</v>
      </c>
      <c r="BG38" s="22">
        <f t="shared" ca="1" si="21"/>
        <v>16</v>
      </c>
      <c r="BH38" s="22">
        <f t="shared" ca="1" si="19"/>
        <v>72</v>
      </c>
      <c r="BJ38" s="225">
        <f t="shared" ca="1" si="22"/>
        <v>127.03000000000004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1494.2807879809902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279.28078798099023</v>
      </c>
      <c r="BF39" s="21">
        <f t="shared" ca="1" si="18"/>
        <v>6.0330082451934969E-3</v>
      </c>
      <c r="BG39" s="22">
        <f t="shared" ca="1" si="21"/>
        <v>21</v>
      </c>
      <c r="BH39" s="22">
        <f t="shared" ca="1" si="19"/>
        <v>27.928078798099023</v>
      </c>
      <c r="BJ39" s="224">
        <f t="shared" ca="1" si="22"/>
        <v>279.28078798099023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1432.7761040380199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1452.7761040380199</v>
      </c>
      <c r="AZ40" s="157">
        <f t="shared" si="23"/>
        <v>170.47000000000003</v>
      </c>
      <c r="BA40" s="21">
        <f t="shared" si="15"/>
        <v>3.8656871566756412E-3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748.73610403801922</v>
      </c>
      <c r="BF40" s="21">
        <f t="shared" ca="1" si="18"/>
        <v>1.617415620240549E-2</v>
      </c>
      <c r="BG40" s="22">
        <f t="shared" ca="1" si="21"/>
        <v>15</v>
      </c>
      <c r="BH40" s="22">
        <f t="shared" ca="1" si="19"/>
        <v>74.873610403801919</v>
      </c>
      <c r="BJ40" s="225">
        <f t="shared" ca="1" si="22"/>
        <v>578.26610403801942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-6.9642726778204447E-2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4.2771851267822679E-5</v>
      </c>
      <c r="BG42" s="22">
        <f t="shared" ca="1" si="21"/>
        <v>24</v>
      </c>
      <c r="BH42" s="22">
        <f t="shared" ca="1" si="19"/>
        <v>0.19800000000000181</v>
      </c>
      <c r="BJ42" s="225">
        <f t="shared" ca="1" si="22"/>
        <v>1.9800000000004729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1560.4891905564923</v>
      </c>
      <c r="AZ43" s="152">
        <f t="shared" si="23"/>
        <v>500</v>
      </c>
      <c r="BA43" s="21">
        <f t="shared" si="15"/>
        <v>1.1338320985145893E-2</v>
      </c>
      <c r="BB43" s="22">
        <f t="shared" si="20"/>
        <v>15</v>
      </c>
      <c r="BC43" s="22">
        <f t="shared" ca="1" si="16"/>
        <v>50</v>
      </c>
      <c r="BE43" s="224">
        <f t="shared" ca="1" si="17"/>
        <v>961.13919055649239</v>
      </c>
      <c r="BF43" s="21">
        <f t="shared" ca="1" si="18"/>
        <v>2.0762476013210806E-2</v>
      </c>
      <c r="BG43" s="22">
        <f t="shared" ca="1" si="21"/>
        <v>13</v>
      </c>
      <c r="BH43" s="22">
        <f t="shared" ca="1" si="19"/>
        <v>96.113919055649234</v>
      </c>
      <c r="BJ43" s="224">
        <f t="shared" ca="1" si="22"/>
        <v>461.13919055649239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2.1091544696568388E-3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4.3203890169517462E-4</v>
      </c>
      <c r="BG45" s="22">
        <f t="shared" ca="1" si="21"/>
        <v>23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1114.2176799999997</v>
      </c>
      <c r="AO46" s="219">
        <f>SUM(AO20:AO45)</f>
        <v>2626.2599999999998</v>
      </c>
      <c r="AP46" s="220">
        <f>SUM(AP20:AP45)</f>
        <v>28577.427679999993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28577.427679999993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28577.427680000001</v>
      </c>
      <c r="AZ46" s="227">
        <f>SUM(AZ20:AZ45)</f>
        <v>44098.239999999998</v>
      </c>
      <c r="BA46" s="1"/>
      <c r="BB46" s="1"/>
      <c r="BC46" s="124">
        <f ca="1">SUM(BC20:BC45)</f>
        <v>4409.8240000000005</v>
      </c>
      <c r="BE46" s="227">
        <f ca="1">SUM(BE20:BE45)</f>
        <v>46292.12768000002</v>
      </c>
      <c r="BF46" s="1"/>
      <c r="BG46" s="1"/>
      <c r="BH46" s="124">
        <f ca="1">SUM(BH20:BH45)</f>
        <v>4629.2127680000012</v>
      </c>
      <c r="BJ46" s="227">
        <f ca="1">SUM(BJ20:BJ45)</f>
        <v>2193.8876800000025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2.3200000000542786E-3</v>
      </c>
      <c r="AO47" s="125">
        <f>AM17-AO46</f>
        <v>-1512.04</v>
      </c>
      <c r="AP47" s="125"/>
      <c r="AQ47" s="125">
        <f>AQ5-AP46</f>
        <v>-14757.567679999993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-13475.537679999992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52917.888000000006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327.21000000000004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149</v>
      </c>
      <c r="D52" s="347"/>
      <c r="E52" s="347"/>
      <c r="F52" s="348"/>
      <c r="G52" s="346" t="s">
        <v>149</v>
      </c>
      <c r="H52" s="347"/>
      <c r="I52" s="347"/>
      <c r="J52" s="348"/>
      <c r="K52" s="346" t="s">
        <v>149</v>
      </c>
      <c r="L52" s="347"/>
      <c r="M52" s="347"/>
      <c r="N52" s="348"/>
      <c r="O52" s="346" t="s">
        <v>149</v>
      </c>
      <c r="P52" s="347"/>
      <c r="Q52" s="347"/>
      <c r="R52" s="348"/>
      <c r="S52" s="346" t="s">
        <v>149</v>
      </c>
      <c r="T52" s="347"/>
      <c r="U52" s="347"/>
      <c r="V52" s="348"/>
      <c r="W52" s="346" t="s">
        <v>149</v>
      </c>
      <c r="X52" s="347"/>
      <c r="Y52" s="347"/>
      <c r="Z52" s="348"/>
      <c r="AA52" s="346" t="s">
        <v>149</v>
      </c>
      <c r="AB52" s="347"/>
      <c r="AC52" s="347"/>
      <c r="AD52" s="348"/>
      <c r="AE52" s="346" t="s">
        <v>149</v>
      </c>
      <c r="AF52" s="347"/>
      <c r="AG52" s="347"/>
      <c r="AH52" s="348"/>
      <c r="AI52" s="346" t="s">
        <v>149</v>
      </c>
      <c r="AJ52" s="347"/>
      <c r="AK52" s="347"/>
      <c r="AL52" s="348"/>
      <c r="AM52" s="346" t="s">
        <v>149</v>
      </c>
      <c r="AN52" s="347"/>
      <c r="AO52" s="347"/>
      <c r="AP52" s="348"/>
      <c r="AQ52" s="346" t="s">
        <v>149</v>
      </c>
      <c r="AR52" s="347"/>
      <c r="AS52" s="347"/>
      <c r="AT52" s="348"/>
      <c r="AU52" s="346" t="s">
        <v>149</v>
      </c>
      <c r="AV52" s="347"/>
      <c r="AW52" s="347"/>
      <c r="AX52" s="348"/>
    </row>
    <row r="53" spans="1:62" ht="15.75" thickBot="1">
      <c r="C53" s="93" t="s">
        <v>150</v>
      </c>
      <c r="D53" s="349" t="s">
        <v>31</v>
      </c>
      <c r="E53" s="350"/>
      <c r="F53" s="94" t="s">
        <v>88</v>
      </c>
      <c r="G53" s="93" t="s">
        <v>150</v>
      </c>
      <c r="H53" s="349" t="s">
        <v>31</v>
      </c>
      <c r="I53" s="350"/>
      <c r="J53" s="94" t="s">
        <v>88</v>
      </c>
      <c r="K53" s="93" t="s">
        <v>150</v>
      </c>
      <c r="L53" s="349" t="s">
        <v>31</v>
      </c>
      <c r="M53" s="350"/>
      <c r="N53" s="94" t="s">
        <v>88</v>
      </c>
      <c r="O53" s="93" t="s">
        <v>150</v>
      </c>
      <c r="P53" s="349" t="s">
        <v>31</v>
      </c>
      <c r="Q53" s="350"/>
      <c r="R53" s="94" t="s">
        <v>88</v>
      </c>
      <c r="S53" s="93" t="s">
        <v>150</v>
      </c>
      <c r="T53" s="349" t="s">
        <v>31</v>
      </c>
      <c r="U53" s="350"/>
      <c r="V53" s="94" t="s">
        <v>88</v>
      </c>
      <c r="W53" s="93" t="s">
        <v>150</v>
      </c>
      <c r="X53" s="349" t="s">
        <v>31</v>
      </c>
      <c r="Y53" s="350"/>
      <c r="Z53" s="94" t="s">
        <v>88</v>
      </c>
      <c r="AA53" s="93" t="s">
        <v>150</v>
      </c>
      <c r="AB53" s="349" t="s">
        <v>31</v>
      </c>
      <c r="AC53" s="350"/>
      <c r="AD53" s="94" t="s">
        <v>88</v>
      </c>
      <c r="AE53" s="93" t="s">
        <v>150</v>
      </c>
      <c r="AF53" s="349" t="s">
        <v>31</v>
      </c>
      <c r="AG53" s="350"/>
      <c r="AH53" s="94" t="s">
        <v>88</v>
      </c>
      <c r="AI53" s="93" t="s">
        <v>150</v>
      </c>
      <c r="AJ53" s="349" t="s">
        <v>31</v>
      </c>
      <c r="AK53" s="350"/>
      <c r="AL53" s="94" t="s">
        <v>88</v>
      </c>
      <c r="AM53" s="93" t="s">
        <v>150</v>
      </c>
      <c r="AN53" s="349" t="s">
        <v>31</v>
      </c>
      <c r="AO53" s="350"/>
      <c r="AP53" s="94" t="s">
        <v>88</v>
      </c>
      <c r="AQ53" s="93" t="s">
        <v>150</v>
      </c>
      <c r="AR53" s="349" t="s">
        <v>31</v>
      </c>
      <c r="AS53" s="350"/>
      <c r="AT53" s="94" t="s">
        <v>88</v>
      </c>
      <c r="AU53" s="93" t="s">
        <v>150</v>
      </c>
      <c r="AV53" s="349" t="s">
        <v>31</v>
      </c>
      <c r="AW53" s="350"/>
      <c r="AX53" s="94" t="s">
        <v>88</v>
      </c>
    </row>
    <row r="54" spans="1:62">
      <c r="C54" s="95">
        <v>43495</v>
      </c>
      <c r="D54" s="351" t="s">
        <v>235</v>
      </c>
      <c r="E54" s="352"/>
      <c r="F54" s="98"/>
      <c r="G54" s="95">
        <v>43497</v>
      </c>
      <c r="H54" s="351" t="s">
        <v>270</v>
      </c>
      <c r="I54" s="352"/>
      <c r="J54" s="100">
        <v>500</v>
      </c>
      <c r="K54" s="95">
        <v>43539</v>
      </c>
      <c r="L54" s="369" t="s">
        <v>257</v>
      </c>
      <c r="M54" s="370"/>
      <c r="N54" s="100">
        <v>70</v>
      </c>
      <c r="O54" s="95"/>
      <c r="P54" s="357"/>
      <c r="Q54" s="358"/>
      <c r="R54" s="102"/>
      <c r="S54" s="95">
        <v>43594</v>
      </c>
      <c r="T54" s="369" t="s">
        <v>243</v>
      </c>
      <c r="U54" s="370"/>
      <c r="V54" s="103"/>
      <c r="W54" s="95">
        <v>43624</v>
      </c>
      <c r="X54" s="369" t="s">
        <v>153</v>
      </c>
      <c r="Y54" s="370"/>
      <c r="Z54" s="104">
        <v>10</v>
      </c>
      <c r="AA54" s="95"/>
      <c r="AB54" s="361" t="s">
        <v>476</v>
      </c>
      <c r="AC54" s="362"/>
      <c r="AD54" s="239">
        <v>15</v>
      </c>
      <c r="AE54" s="95"/>
      <c r="AF54" s="361" t="s">
        <v>476</v>
      </c>
      <c r="AG54" s="362"/>
      <c r="AH54" s="239">
        <v>14</v>
      </c>
      <c r="AI54" s="95"/>
      <c r="AJ54" s="361" t="s">
        <v>476</v>
      </c>
      <c r="AK54" s="362"/>
      <c r="AL54" s="239">
        <v>15</v>
      </c>
      <c r="AM54" s="95"/>
      <c r="AN54" s="361" t="s">
        <v>476</v>
      </c>
      <c r="AO54" s="362"/>
      <c r="AP54" s="239">
        <v>14</v>
      </c>
      <c r="AQ54" s="95"/>
      <c r="AR54" s="357"/>
      <c r="AS54" s="358"/>
      <c r="AT54" s="100"/>
      <c r="AU54" s="95"/>
      <c r="AV54" s="351"/>
      <c r="AW54" s="352"/>
      <c r="AX54" s="100"/>
    </row>
    <row r="55" spans="1:62">
      <c r="C55" s="96"/>
      <c r="D55" s="342" t="s">
        <v>236</v>
      </c>
      <c r="E55" s="343"/>
      <c r="F55" s="98">
        <v>121.4</v>
      </c>
      <c r="G55" s="96">
        <v>43516</v>
      </c>
      <c r="H55" s="342" t="s">
        <v>311</v>
      </c>
      <c r="I55" s="343"/>
      <c r="J55" s="100"/>
      <c r="K55" s="96">
        <v>43553</v>
      </c>
      <c r="L55" s="342" t="s">
        <v>297</v>
      </c>
      <c r="M55" s="343"/>
      <c r="N55" s="100">
        <v>4421.9399999999996</v>
      </c>
      <c r="O55" s="96">
        <v>43565</v>
      </c>
      <c r="P55" s="342" t="s">
        <v>323</v>
      </c>
      <c r="Q55" s="343"/>
      <c r="R55" s="100">
        <v>10</v>
      </c>
      <c r="S55" s="96">
        <v>43607</v>
      </c>
      <c r="T55" s="342" t="s">
        <v>311</v>
      </c>
      <c r="U55" s="343"/>
      <c r="V55" s="100"/>
      <c r="W55" s="96">
        <v>43637</v>
      </c>
      <c r="X55" s="342" t="s">
        <v>151</v>
      </c>
      <c r="Y55" s="343"/>
      <c r="Z55" s="100">
        <v>10</v>
      </c>
      <c r="AA55" s="96">
        <v>43666</v>
      </c>
      <c r="AB55" s="342" t="s">
        <v>235</v>
      </c>
      <c r="AC55" s="343"/>
      <c r="AD55" s="100"/>
      <c r="AE55" s="96">
        <v>43682</v>
      </c>
      <c r="AF55" s="342" t="s">
        <v>323</v>
      </c>
      <c r="AG55" s="343"/>
      <c r="AH55" s="100">
        <v>10</v>
      </c>
      <c r="AI55" s="96">
        <v>43711</v>
      </c>
      <c r="AJ55" s="342" t="s">
        <v>323</v>
      </c>
      <c r="AK55" s="343"/>
      <c r="AL55" s="100" t="s">
        <v>780</v>
      </c>
      <c r="AM55" s="96">
        <v>43740</v>
      </c>
      <c r="AN55" s="363" t="s">
        <v>153</v>
      </c>
      <c r="AO55" s="364"/>
      <c r="AP55" s="100">
        <v>10</v>
      </c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>
        <v>43472</v>
      </c>
      <c r="D56" s="342" t="s">
        <v>151</v>
      </c>
      <c r="E56" s="343"/>
      <c r="F56" s="98">
        <v>15</v>
      </c>
      <c r="G56" s="96">
        <v>43507</v>
      </c>
      <c r="H56" s="342" t="s">
        <v>323</v>
      </c>
      <c r="I56" s="343"/>
      <c r="J56" s="100">
        <v>10</v>
      </c>
      <c r="K56" s="96">
        <v>43529</v>
      </c>
      <c r="L56" s="342" t="s">
        <v>325</v>
      </c>
      <c r="M56" s="343"/>
      <c r="N56" s="100">
        <v>3362.6</v>
      </c>
      <c r="O56" s="96">
        <v>43576</v>
      </c>
      <c r="P56" s="361" t="s">
        <v>235</v>
      </c>
      <c r="Q56" s="362"/>
      <c r="R56" s="102"/>
      <c r="S56" s="96">
        <v>43615</v>
      </c>
      <c r="T56" s="342" t="s">
        <v>235</v>
      </c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>
        <v>43703</v>
      </c>
      <c r="AF56" s="342" t="s">
        <v>151</v>
      </c>
      <c r="AG56" s="343"/>
      <c r="AH56" s="100">
        <v>10</v>
      </c>
      <c r="AI56" s="96">
        <v>43498</v>
      </c>
      <c r="AJ56" s="363" t="s">
        <v>235</v>
      </c>
      <c r="AK56" s="364"/>
      <c r="AL56" s="100"/>
      <c r="AM56" s="96">
        <v>43769</v>
      </c>
      <c r="AN56" s="363" t="s">
        <v>153</v>
      </c>
      <c r="AO56" s="364"/>
      <c r="AP56" s="100" t="s">
        <v>780</v>
      </c>
      <c r="AQ56" s="96"/>
      <c r="AR56" s="359"/>
      <c r="AS56" s="360"/>
      <c r="AT56" s="100"/>
      <c r="AU56" s="96"/>
      <c r="AV56" s="342"/>
      <c r="AW56" s="343"/>
      <c r="AX56" s="100"/>
    </row>
    <row r="57" spans="1:62">
      <c r="C57" s="96">
        <v>43476</v>
      </c>
      <c r="D57" s="342" t="s">
        <v>153</v>
      </c>
      <c r="E57" s="343"/>
      <c r="F57" s="98">
        <v>10</v>
      </c>
      <c r="G57" s="96">
        <v>43516</v>
      </c>
      <c r="H57" s="342" t="s">
        <v>352</v>
      </c>
      <c r="I57" s="343"/>
      <c r="J57" s="100"/>
      <c r="K57" s="96">
        <v>43533</v>
      </c>
      <c r="L57" s="342" t="s">
        <v>235</v>
      </c>
      <c r="M57" s="343"/>
      <c r="N57" s="100"/>
      <c r="O57" s="96">
        <v>43578</v>
      </c>
      <c r="P57" s="371" t="s">
        <v>389</v>
      </c>
      <c r="Q57" s="372"/>
      <c r="R57" s="100">
        <v>10</v>
      </c>
      <c r="S57" s="96"/>
      <c r="T57" s="342"/>
      <c r="U57" s="343"/>
      <c r="V57" s="100"/>
      <c r="W57" s="96"/>
      <c r="X57" s="342"/>
      <c r="Y57" s="343"/>
      <c r="Z57" s="100"/>
      <c r="AA57" s="96"/>
      <c r="AB57" s="359"/>
      <c r="AC57" s="360"/>
      <c r="AD57" s="100"/>
      <c r="AE57" s="96"/>
      <c r="AF57" s="342"/>
      <c r="AG57" s="343"/>
      <c r="AH57" s="100"/>
      <c r="AI57" s="96">
        <v>43733</v>
      </c>
      <c r="AJ57" s="363" t="s">
        <v>151</v>
      </c>
      <c r="AK57" s="364"/>
      <c r="AL57" s="100">
        <v>10</v>
      </c>
      <c r="AM57" s="96">
        <v>43762</v>
      </c>
      <c r="AN57" s="363" t="s">
        <v>151</v>
      </c>
      <c r="AO57" s="364"/>
      <c r="AP57" s="100" t="s">
        <v>780</v>
      </c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>
        <v>43478</v>
      </c>
      <c r="D58" s="342" t="s">
        <v>243</v>
      </c>
      <c r="E58" s="343"/>
      <c r="F58" s="98"/>
      <c r="G58" s="96"/>
      <c r="H58" s="342"/>
      <c r="I58" s="343"/>
      <c r="J58" s="100"/>
      <c r="K58" s="96">
        <v>43536</v>
      </c>
      <c r="L58" s="342" t="s">
        <v>243</v>
      </c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59"/>
      <c r="AC58" s="360"/>
      <c r="AD58" s="100"/>
      <c r="AE58" s="96"/>
      <c r="AF58" s="342"/>
      <c r="AG58" s="343"/>
      <c r="AH58" s="100"/>
      <c r="AI58" s="96"/>
      <c r="AJ58" s="353"/>
      <c r="AK58" s="354"/>
      <c r="AL58" s="100"/>
      <c r="AM58" s="96">
        <v>43749</v>
      </c>
      <c r="AN58" s="363" t="s">
        <v>235</v>
      </c>
      <c r="AO58" s="364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>
        <v>43481</v>
      </c>
      <c r="D59" s="342" t="s">
        <v>271</v>
      </c>
      <c r="E59" s="343"/>
      <c r="F59" s="98">
        <v>50</v>
      </c>
      <c r="G59" s="96"/>
      <c r="H59" s="342"/>
      <c r="I59" s="343"/>
      <c r="J59" s="100"/>
      <c r="K59" s="96"/>
      <c r="L59" s="342" t="s">
        <v>385</v>
      </c>
      <c r="M59" s="343"/>
      <c r="N59" s="100">
        <f>3.1+10.5</f>
        <v>13.6</v>
      </c>
      <c r="O59" s="96"/>
      <c r="P59" s="342"/>
      <c r="Q59" s="343"/>
      <c r="R59" s="100"/>
      <c r="S59" s="96"/>
      <c r="T59" s="363"/>
      <c r="U59" s="364"/>
      <c r="V59" s="100"/>
      <c r="W59" s="96"/>
      <c r="X59" s="363"/>
      <c r="Y59" s="364"/>
      <c r="Z59" s="100"/>
      <c r="AA59" s="96"/>
      <c r="AB59" s="363"/>
      <c r="AC59" s="364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5" t="s">
        <v>876</v>
      </c>
      <c r="AO59" s="366"/>
      <c r="AP59" s="100">
        <v>3352.93</v>
      </c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>
        <v>43488</v>
      </c>
      <c r="D60" s="342" t="s">
        <v>290</v>
      </c>
      <c r="E60" s="343"/>
      <c r="F60" s="98"/>
      <c r="G60" s="96"/>
      <c r="H60" s="342"/>
      <c r="I60" s="343"/>
      <c r="J60" s="100"/>
      <c r="K60" s="235">
        <v>43549</v>
      </c>
      <c r="L60" s="371" t="s">
        <v>389</v>
      </c>
      <c r="M60" s="372"/>
      <c r="N60" s="236">
        <v>15</v>
      </c>
      <c r="O60" s="96"/>
      <c r="P60" s="342"/>
      <c r="Q60" s="343"/>
      <c r="R60" s="100"/>
      <c r="S60" s="96"/>
      <c r="T60" s="363"/>
      <c r="U60" s="364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63"/>
      <c r="AG60" s="364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>
        <v>43490</v>
      </c>
      <c r="D61" s="342" t="s">
        <v>292</v>
      </c>
      <c r="E61" s="343"/>
      <c r="F61" s="98">
        <v>40</v>
      </c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63"/>
      <c r="U61" s="364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63"/>
      <c r="U62" s="364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63"/>
      <c r="U63" s="364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63"/>
      <c r="U64" s="364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63"/>
      <c r="U65" s="364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 t="s">
        <v>565</v>
      </c>
      <c r="U70" s="343"/>
      <c r="V70" s="100">
        <v>3742.92</v>
      </c>
      <c r="W70" s="96"/>
      <c r="X70" s="342" t="s">
        <v>563</v>
      </c>
      <c r="Y70" s="343"/>
      <c r="Z70" s="100">
        <f>3289.11+270.87</f>
        <v>3559.98</v>
      </c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7" t="s">
        <v>566</v>
      </c>
      <c r="U71" s="368"/>
      <c r="V71" s="101">
        <v>1872.17</v>
      </c>
      <c r="W71" s="97"/>
      <c r="X71" s="367" t="s">
        <v>564</v>
      </c>
      <c r="Y71" s="368"/>
      <c r="Z71" s="101">
        <f>Z70-1484.91-429.89</f>
        <v>1645.1799999999998</v>
      </c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56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22</v>
      </c>
      <c r="D75">
        <f>C75*D74</f>
        <v>70.967741935483872</v>
      </c>
      <c r="Z75" s="111"/>
    </row>
    <row r="76" spans="1:50">
      <c r="D76">
        <f>D75-D73</f>
        <v>14.967741935483872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09" workbookViewId="0">
      <selection activeCell="I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3839.35</v>
      </c>
      <c r="L5" s="424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7236.18</v>
      </c>
      <c r="L7" s="426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105+50</f>
        <v>155</v>
      </c>
      <c r="L11" s="42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800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790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3"/>
      <c r="J46" s="407" t="s">
        <v>832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2" t="str">
        <f>AÑO!A13</f>
        <v>Gubernamental</v>
      </c>
      <c r="J50" s="405" t="s">
        <v>798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799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9" ht="15" customHeight="1" thickBot="1">
      <c r="B243" s="418"/>
      <c r="C243" s="419"/>
      <c r="D243" s="419"/>
      <c r="E243" s="419"/>
      <c r="F243" s="419"/>
      <c r="G243" s="420"/>
    </row>
    <row r="244" spans="1:9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9" ht="15" customHeight="1" thickBot="1">
      <c r="B323" s="435"/>
      <c r="C323" s="436"/>
      <c r="D323" s="436"/>
      <c r="E323" s="436"/>
      <c r="F323" s="436"/>
      <c r="G323" s="437"/>
    </row>
    <row r="324" spans="2:9">
      <c r="B324" s="428" t="s">
        <v>8</v>
      </c>
      <c r="C324" s="429"/>
      <c r="D324" s="428" t="s">
        <v>9</v>
      </c>
      <c r="E324" s="430"/>
      <c r="F324" s="430"/>
      <c r="G324" s="429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119" workbookViewId="0">
      <selection activeCell="J122" sqref="J12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5">
        <v>3984.38</v>
      </c>
      <c r="L5" s="426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8003.5599999999995</v>
      </c>
      <c r="L7" s="426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157.43</v>
      </c>
      <c r="L9" s="426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60+20</f>
        <v>80</v>
      </c>
      <c r="L11" s="426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30089.47</v>
      </c>
      <c r="L19" s="441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46.069999999999936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1.6800000000000068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861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408.13999999999993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864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02" t="str">
        <f>AÑO!A13</f>
        <v>Gubernamental</v>
      </c>
      <c r="J50" s="405" t="s">
        <v>798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862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870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871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868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869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872</v>
      </c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151.76999999999998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864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-15.239999999999995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514.54000000000008</v>
      </c>
      <c r="B260" s="135">
        <f>SUM(B246:B259)</f>
        <v>95</v>
      </c>
      <c r="C260" s="17" t="s">
        <v>53</v>
      </c>
      <c r="D260" s="135">
        <f>SUM(D246:D259)</f>
        <v>65.239999999999995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9" ht="15" customHeight="1" thickBot="1">
      <c r="B263" s="418"/>
      <c r="C263" s="419"/>
      <c r="D263" s="419"/>
      <c r="E263" s="419"/>
      <c r="F263" s="419"/>
      <c r="G263" s="420"/>
    </row>
    <row r="264" spans="1:9">
      <c r="B264" s="428" t="s">
        <v>8</v>
      </c>
      <c r="C264" s="429"/>
      <c r="D264" s="428" t="s">
        <v>9</v>
      </c>
      <c r="E264" s="430"/>
      <c r="F264" s="430"/>
      <c r="G264" s="429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>
        <v>16.21</v>
      </c>
      <c r="E309" s="138"/>
      <c r="F309" s="138"/>
      <c r="G309" s="16" t="s">
        <v>874</v>
      </c>
    </row>
    <row r="310" spans="2:7">
      <c r="B310" s="134"/>
      <c r="C310" s="16"/>
      <c r="D310" s="137"/>
      <c r="E310" s="138"/>
      <c r="F310" s="138">
        <v>50</v>
      </c>
      <c r="G310" s="16" t="s">
        <v>873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875</v>
      </c>
    </row>
    <row r="312" spans="2:7">
      <c r="B312" s="134"/>
      <c r="C312" s="16"/>
      <c r="D312" s="137"/>
      <c r="E312" s="138"/>
      <c r="F312" s="138">
        <v>60</v>
      </c>
      <c r="G312" s="16" t="s">
        <v>877</v>
      </c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130.19000000000003</v>
      </c>
      <c r="E320" s="135">
        <f>SUM(E306:E319)</f>
        <v>0</v>
      </c>
      <c r="F320" s="135">
        <f>SUM(F306:F319)</f>
        <v>160.5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4+4.5+4.5</f>
        <v>13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412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864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1244.26</v>
      </c>
      <c r="C409" s="16" t="s">
        <v>412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864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AÑO!AM17</f>
        <v>1114.2199999999998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1100</v>
      </c>
      <c r="C469" s="16" t="s">
        <v>412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864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17" workbookViewId="0">
      <selection activeCell="I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/>
      <c r="L5" s="424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620.14</v>
      </c>
      <c r="L6" s="426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/>
      <c r="L7" s="426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/>
      <c r="L9" s="426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/>
      <c r="L11" s="426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</f>
        <v>5092.08</v>
      </c>
      <c r="L12" s="426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13819.86</v>
      </c>
      <c r="L19" s="441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236.06999999999994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19.680000000000007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1556.1399999999999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D127+D128+'10'!I127</f>
        <v>150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34.760000000000005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866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609.54000000000008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865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Q4:AT5" display="SALDO REAL" xr:uid="{67663154-8883-4CD6-99B0-96CDA3F4AFBE}"/>
    <hyperlink ref="I22" location="Trimestre!C39:F40" display="TELÉFONO" xr:uid="{65DF38AD-AFDF-4177-8AED-F148F1D8E79F}"/>
    <hyperlink ref="I22:L23" location="AÑO!AQ7:AT17" display="INGRESOS" xr:uid="{776E9E2B-67B9-4B3B-BF53-7B4E6AFD52DE}"/>
    <hyperlink ref="B2" location="Trimestre!C25:F26" display="HIPOTECA" xr:uid="{F3200F12-27B8-4617-9F2C-A27417C78B0C}"/>
    <hyperlink ref="B2:G3" location="AÑO!AQ20:AT20" display="AÑO!AQ20:AT20" xr:uid="{A07041F4-B51E-4DBB-AA6A-BC5F67EE1743}"/>
    <hyperlink ref="B22" location="Trimestre!C25:F26" display="HIPOTECA" xr:uid="{B80047E2-2998-4813-B3A3-C265D56FA156}"/>
    <hyperlink ref="B22:G23" location="AÑO!AQ21:AT21" display="AÑO!AQ21:AT21" xr:uid="{995496F7-9D63-4469-A461-2CEBAC8CBAA0}"/>
    <hyperlink ref="B42" location="Trimestre!C25:F26" display="HIPOTECA" xr:uid="{D50471EB-054C-47C6-885C-AD47C3A16101}"/>
    <hyperlink ref="B42:G43" location="AÑO!AQ22:AT22" display="AÑO!AQ22:AT22" xr:uid="{2B1BC879-CC4A-44D6-9302-136D8C1BA801}"/>
    <hyperlink ref="B62" location="Trimestre!C25:F26" display="HIPOTECA" xr:uid="{54B09B22-1DA5-4D79-A837-834B7F8904E4}"/>
    <hyperlink ref="B62:G63" location="AÑO!AQ23:AT23" display="AÑO!AQ23:AT23" xr:uid="{999A8347-A4E9-42C8-9005-84DAE4CF446A}"/>
    <hyperlink ref="B82" location="Trimestre!C25:F26" display="HIPOTECA" xr:uid="{E136B093-8453-4A01-A18A-EA188F3C6E64}"/>
    <hyperlink ref="B82:G83" location="AÑO!AQ24:AT24" display="AÑO!AQ24:AT24" xr:uid="{BBD7A0D1-C277-4899-8F5A-BE8AF4CE1F53}"/>
    <hyperlink ref="B102" location="Trimestre!C25:F26" display="HIPOTECA" xr:uid="{00F4F7FE-4D2F-4F38-94FC-E8EE2794815C}"/>
    <hyperlink ref="B102:G103" location="AÑO!AQ25:AT25" display="AÑO!AQ25:AT25" xr:uid="{647CB64A-81C6-4034-A1B7-4D9CA020EE81}"/>
    <hyperlink ref="B122" location="Trimestre!C25:F26" display="HIPOTECA" xr:uid="{FA5DC8C0-87A6-457F-A900-510CBB9A7706}"/>
    <hyperlink ref="B122:G123" location="AÑO!AQ26:AT26" display="AÑO!AQ26:AT26" xr:uid="{BB8BDFB1-7C93-4BF0-89D8-A071412C0BF0}"/>
    <hyperlink ref="B142" location="Trimestre!C25:F26" display="HIPOTECA" xr:uid="{8F1D821B-C0A2-4AE9-8C64-CF9C7C0E0FE1}"/>
    <hyperlink ref="B142:G143" location="AÑO!AQ27:AT27" display="AÑO!AQ27:AT27" xr:uid="{B7ED6F3F-ED36-4536-A329-1703C2615BD6}"/>
    <hyperlink ref="B162" location="Trimestre!C25:F26" display="HIPOTECA" xr:uid="{9DF9EEAA-7238-438F-BA74-A360AE8E4304}"/>
    <hyperlink ref="B162:G163" location="AÑO!AQ28:AT28" display="AÑO!AQ28:AT28" xr:uid="{19846715-197F-4A08-A2E3-D409E520D163}"/>
    <hyperlink ref="B182" location="Trimestre!C25:F26" display="HIPOTECA" xr:uid="{DE1E8F93-EC5D-4EBF-9D10-7E3A1C7F9A37}"/>
    <hyperlink ref="B182:G183" location="AÑO!AQ29:AT29" display="AÑO!AQ29:AT29" xr:uid="{CBCA1303-500C-4F16-B069-496413185D7F}"/>
    <hyperlink ref="B202" location="Trimestre!C25:F26" display="HIPOTECA" xr:uid="{5D9D2B18-91C1-4D4F-9C54-283285DF8BD9}"/>
    <hyperlink ref="B202:G203" location="AÑO!AQ30:AT30" display="AÑO!AQ30:AT30" xr:uid="{971575E1-A18D-4637-86E8-FE1B7B328C38}"/>
    <hyperlink ref="B222" location="Trimestre!C25:F26" display="HIPOTECA" xr:uid="{5F6ABED3-5ED3-42E7-BEC6-4C1F75D52427}"/>
    <hyperlink ref="B222:G223" location="AÑO!AQ31:AT31" display="AÑO!AQ31:AT31" xr:uid="{AC850999-5F9C-4A4A-B556-3EF59CCBB5BC}"/>
    <hyperlink ref="B242" location="Trimestre!C25:F26" display="HIPOTECA" xr:uid="{34C61E4B-A1A8-4819-94A7-CE66432DA0D8}"/>
    <hyperlink ref="B242:G243" location="AÑO!AQ32:AT32" display="AÑO!AQ32:AT32" xr:uid="{D14CF57D-5044-4168-908F-1E036C353ABF}"/>
    <hyperlink ref="B262" location="Trimestre!C25:F26" display="HIPOTECA" xr:uid="{D9D8C852-F2A3-4CBF-A213-D122D187D962}"/>
    <hyperlink ref="B262:G263" location="AÑO!AQ33:AT33" display="AÑO!AQ33:AT33" xr:uid="{930303BF-AE4F-4159-A4E0-60DFE2E141DF}"/>
    <hyperlink ref="B282" location="Trimestre!C25:F26" display="HIPOTECA" xr:uid="{8B03EC08-6750-4491-8FD8-51256A1B2A0E}"/>
    <hyperlink ref="B282:G283" location="AÑO!AQ34:AT34" display="AÑO!AQ34:AT34" xr:uid="{41E90A66-BB27-4035-9A2C-9A92BEC3212C}"/>
    <hyperlink ref="B302" location="Trimestre!C25:F26" display="HIPOTECA" xr:uid="{994D9667-3AC7-4A8D-A98E-3661D5367EFB}"/>
    <hyperlink ref="B302:G303" location="AÑO!AQ35:AT35" display="AÑO!AQ35:AT35" xr:uid="{9B608A28-2D0E-4C82-9025-0B34DFF4C0F9}"/>
    <hyperlink ref="B322" location="Trimestre!C25:F26" display="HIPOTECA" xr:uid="{0FBA6483-9390-40AF-884E-A656039A1C1C}"/>
    <hyperlink ref="B322:G323" location="AÑO!AQ36:AT36" display="AÑO!AQ36:AT36" xr:uid="{A384F56F-294C-4072-BF95-FF5D66E8C14B}"/>
    <hyperlink ref="B342" location="Trimestre!C25:F26" display="HIPOTECA" xr:uid="{4A5D31A1-F8F7-4C2B-9C72-CD4706CF87F4}"/>
    <hyperlink ref="B342:G343" location="AÑO!AQ37:AT37" display="AÑO!AQ37:AT37" xr:uid="{8ECB7349-7BFD-4119-B1C9-899F31E32D09}"/>
    <hyperlink ref="B362" location="Trimestre!C25:F26" display="HIPOTECA" xr:uid="{313FC2A2-3450-4EB7-A41A-D9E490074848}"/>
    <hyperlink ref="B362:G363" location="AÑO!AQ38:AT38" display="AÑO!AQ38:AT38" xr:uid="{724F7B41-C341-4955-99A7-DB437441631A}"/>
    <hyperlink ref="B382" location="Trimestre!C25:F26" display="HIPOTECA" xr:uid="{A5CDD109-C0E7-4B66-A658-4155734EB793}"/>
    <hyperlink ref="B382:G383" location="AÑO!AQ39:AT39" display="AÑO!AQ39:AT39" xr:uid="{7738F217-B795-4A62-A2D0-E18807EEE108}"/>
    <hyperlink ref="B402" location="Trimestre!C25:F26" display="HIPOTECA" xr:uid="{D455B32B-941F-4031-874B-70C5B20B987F}"/>
    <hyperlink ref="B402:G403" location="AÑO!AQ40:AT40" display="AÑO!AQ40:AT40" xr:uid="{C183AFEB-6767-4F32-BDCA-71E754842579}"/>
    <hyperlink ref="B422" location="Trimestre!C25:F26" display="HIPOTECA" xr:uid="{7B9FB7B9-0933-4EC8-883B-C0D50CED0660}"/>
    <hyperlink ref="B422:G423" location="AÑO!AQ41:AT41" display="AÑO!AQ41:AT41" xr:uid="{F09E8179-2E13-4C38-AAB9-F7EA0BF8694C}"/>
    <hyperlink ref="B442" location="Trimestre!C25:F26" display="HIPOTECA" xr:uid="{C60C7495-8ECD-48A0-8730-1ED4FAA5D199}"/>
    <hyperlink ref="B442:G443" location="AÑO!AQ42:AT42" display="AÑO!AQ42:AT42" xr:uid="{28B3AE42-D3D6-4386-9261-D0271837D5E3}"/>
    <hyperlink ref="B462" location="Trimestre!C25:F26" display="HIPOTECA" xr:uid="{CE363160-8406-4B69-A668-D576F413D943}"/>
    <hyperlink ref="B462:G463" location="AÑO!AQ43:AT43" display="AÑO!AQ43:AT43" xr:uid="{E1EACFD0-A527-44AB-A2CE-E6383C59D73B}"/>
    <hyperlink ref="B482" location="Trimestre!C25:F26" display="HIPOTECA" xr:uid="{7B22BD40-41C0-4E4C-AF25-5310C389F0E5}"/>
    <hyperlink ref="B482:G483" location="AÑO!AQ44:AT44" display="AÑO!AQ44:AT44" xr:uid="{3E6B0112-666C-44E0-8408-25B8832C4859}"/>
    <hyperlink ref="B502" location="Trimestre!C25:F26" display="HIPOTECA" xr:uid="{A8AA32B2-FDB1-4954-88D4-FCC16BF10E9B}"/>
    <hyperlink ref="B502:G503" location="AÑO!AQ45:AT45" display="AÑO!AQ45:AT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12" workbookViewId="0">
      <selection activeCell="I128" sqref="I128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/>
      <c r="L5" s="424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5">
        <v>550</v>
      </c>
      <c r="L6" s="426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/>
      <c r="L7" s="426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659.77</v>
      </c>
      <c r="L9" s="426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5"/>
      <c r="L11" s="426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15101.890000000001</v>
      </c>
      <c r="L19" s="432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/>
      <c r="K25" s="406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'11'!A27+(B27-SUM(D27:F27))</f>
        <v>406.06999999999994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'11'!A29+(B29-SUM(D29:F29))</f>
        <v>37.680000000000007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/>
      <c r="K30" s="406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2684.1399999999994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/>
      <c r="K50" s="406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3779.5715974244995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D127+D128+'11'!I127</f>
        <v>150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575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752.08919055649233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1560.4891905564923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9" workbookViewId="0">
      <selection activeCell="H65" sqref="H65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topLeftCell="A12" workbookViewId="0">
      <selection activeCell="C32" sqref="C3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3" workbookViewId="0">
      <selection activeCell="B26" sqref="B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C78"/>
  <sheetViews>
    <sheetView topLeftCell="J19" workbookViewId="0">
      <selection activeCell="L6" sqref="L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863</v>
      </c>
      <c r="R2" s="259" t="s">
        <v>95</v>
      </c>
      <c r="S2" s="260" t="s">
        <v>513</v>
      </c>
      <c r="T2" s="261"/>
    </row>
    <row r="3" spans="1:27">
      <c r="A3" s="262" t="s">
        <v>514</v>
      </c>
      <c r="B3" s="262" t="s">
        <v>515</v>
      </c>
      <c r="C3" s="263">
        <v>5600</v>
      </c>
      <c r="D3" s="322">
        <f ca="1">_xlfn.DAYS(K3,F3)</f>
        <v>1552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43761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535</v>
      </c>
    </row>
    <row r="4" spans="1:27">
      <c r="A4" s="262" t="s">
        <v>516</v>
      </c>
      <c r="B4" s="262" t="s">
        <v>412</v>
      </c>
      <c r="C4" s="263">
        <v>4090</v>
      </c>
      <c r="D4" s="322">
        <f ca="1">_xlfn.DAYS(K4,F4)</f>
        <v>156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43761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535</v>
      </c>
      <c r="T4" s="340"/>
    </row>
    <row r="5" spans="1:27">
      <c r="A5" s="262" t="s">
        <v>516</v>
      </c>
      <c r="B5" s="262" t="s">
        <v>517</v>
      </c>
      <c r="C5" s="263">
        <v>5100</v>
      </c>
      <c r="D5" s="322">
        <f ca="1">_xlfn.DAYS(K5,F5)</f>
        <v>607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43761</v>
      </c>
      <c r="L5" s="302">
        <v>29.75</v>
      </c>
      <c r="M5" s="264">
        <f>(H5*L5)</f>
        <v>5831</v>
      </c>
      <c r="N5" s="264">
        <f>-(IF((M5*0.0075)&lt;30,30,(M5*0.0075)) + (M5*0.0035))</f>
        <v>-64.141000000000005</v>
      </c>
      <c r="O5" s="272">
        <f>J5+N5</f>
        <v>-120.15388</v>
      </c>
      <c r="P5" s="273">
        <f>M5-E5+N5</f>
        <v>618.76611999999989</v>
      </c>
      <c r="Q5" s="273">
        <f t="shared" ref="Q5:Q9" si="0">M5+N5</f>
        <v>5766.8590000000004</v>
      </c>
      <c r="R5" s="274">
        <f>P5/E5</f>
        <v>0.12019327048349598</v>
      </c>
      <c r="S5" s="275" t="s">
        <v>535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4"/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</row>
    <row r="11" spans="1:27">
      <c r="A11" s="446" t="s">
        <v>518</v>
      </c>
      <c r="B11" s="447"/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</row>
    <row r="12" spans="1:27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863</v>
      </c>
      <c r="R12" s="297" t="s">
        <v>95</v>
      </c>
      <c r="S12" s="298" t="s">
        <v>513</v>
      </c>
      <c r="T12" s="339" t="s">
        <v>604</v>
      </c>
      <c r="U12" s="339" t="s">
        <v>781</v>
      </c>
      <c r="X12" s="330" t="s">
        <v>531</v>
      </c>
      <c r="Y12" s="330" t="s">
        <v>532</v>
      </c>
      <c r="Z12" s="330" t="s">
        <v>533</v>
      </c>
      <c r="AA12" s="330" t="s">
        <v>534</v>
      </c>
    </row>
    <row r="13" spans="1:27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519</v>
      </c>
      <c r="T13" s="59">
        <f>R13+R14</f>
        <v>-4.7120556421087471E-2</v>
      </c>
      <c r="X13" s="39">
        <f t="shared" ref="X13:X41" ca="1" si="1">D13/D$43</f>
        <v>3.6751630112625965E-2</v>
      </c>
      <c r="Y13" s="119">
        <f ca="1">X13*E13</f>
        <v>147.71468577356254</v>
      </c>
      <c r="Z13" s="38"/>
    </row>
    <row r="14" spans="1:27">
      <c r="A14" s="262" t="s">
        <v>514</v>
      </c>
      <c r="B14" s="262" t="s">
        <v>519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520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514</v>
      </c>
      <c r="B15" s="262" t="s">
        <v>521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521</v>
      </c>
      <c r="X15" s="39">
        <f t="shared" ca="1" si="1"/>
        <v>3.260225251926497E-2</v>
      </c>
      <c r="Y15" s="119">
        <f t="shared" ca="1" si="3"/>
        <v>0</v>
      </c>
    </row>
    <row r="16" spans="1:27">
      <c r="A16" s="262" t="s">
        <v>514</v>
      </c>
      <c r="B16" s="262" t="s">
        <v>522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522</v>
      </c>
      <c r="X16" s="39">
        <f t="shared" ca="1" si="1"/>
        <v>8.2987551867219917E-3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523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524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514</v>
      </c>
      <c r="B19" s="262" t="s">
        <v>522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522</v>
      </c>
      <c r="T19" s="59">
        <f>R19+R21+R24</f>
        <v>0.24013324659263452</v>
      </c>
      <c r="X19" s="39">
        <f t="shared" ca="1" si="1"/>
        <v>0.51511558980438643</v>
      </c>
      <c r="Y19" s="119">
        <f t="shared" ca="1" si="3"/>
        <v>2278.562258731476</v>
      </c>
    </row>
    <row r="20" spans="1:25">
      <c r="A20" s="262" t="s">
        <v>514</v>
      </c>
      <c r="B20" s="262" t="s">
        <v>522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562</v>
      </c>
      <c r="X20" s="39">
        <f t="shared" ca="1" si="1"/>
        <v>0.37462951985773563</v>
      </c>
      <c r="Y20" s="119">
        <f t="shared" ca="1" si="3"/>
        <v>225.00248962655601</v>
      </c>
    </row>
    <row r="21" spans="1:25">
      <c r="A21" s="262" t="s">
        <v>514</v>
      </c>
      <c r="B21" s="262" t="s">
        <v>522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525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523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526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514</v>
      </c>
      <c r="B24" s="262" t="s">
        <v>522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527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514</v>
      </c>
      <c r="B25" s="262" t="s">
        <v>522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522</v>
      </c>
      <c r="X25" s="39">
        <f t="shared" ca="1" si="1"/>
        <v>0.17071724955542383</v>
      </c>
      <c r="Y25" s="119">
        <f t="shared" ca="1" si="3"/>
        <v>103.78980977356254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528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528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516</v>
      </c>
      <c r="B28" s="262" t="s">
        <v>517</v>
      </c>
      <c r="C28" s="263">
        <v>5100</v>
      </c>
      <c r="D28" s="322">
        <f t="shared" ca="1" si="2"/>
        <v>607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43761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517</v>
      </c>
      <c r="T28" s="59">
        <f ca="1">R28+R29+R30+R34</f>
        <v>0.11635825808954711</v>
      </c>
      <c r="U28" s="59">
        <f>(L28/L5)-1</f>
        <v>-2.5210084033613467E-2</v>
      </c>
      <c r="X28" s="39">
        <f t="shared" ca="1" si="1"/>
        <v>0.35981031416716064</v>
      </c>
      <c r="Y28" s="119">
        <f t="shared" ca="1" si="3"/>
        <v>1852.336916514523</v>
      </c>
    </row>
    <row r="29" spans="1:25">
      <c r="A29" s="262" t="s">
        <v>516</v>
      </c>
      <c r="B29" s="262" t="s">
        <v>517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472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516</v>
      </c>
      <c r="B30" s="262" t="s">
        <v>517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472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516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529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516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530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516</v>
      </c>
      <c r="B33" s="262" t="s">
        <v>412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412</v>
      </c>
      <c r="X33" s="39">
        <f t="shared" ca="1" si="1"/>
        <v>1.3040901007705987E-2</v>
      </c>
      <c r="Y33" s="119">
        <f t="shared" ca="1" si="3"/>
        <v>53.847526022525187</v>
      </c>
    </row>
    <row r="34" spans="1:27">
      <c r="A34" s="262" t="s">
        <v>516</v>
      </c>
      <c r="B34" s="262" t="s">
        <v>517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472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516</v>
      </c>
      <c r="B35" s="262" t="s">
        <v>412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412</v>
      </c>
      <c r="U35" s="59"/>
      <c r="X35" s="39">
        <f t="shared" ca="1" si="1"/>
        <v>8.8322465915826917E-2</v>
      </c>
      <c r="Y35" s="119">
        <f t="shared" ca="1" si="3"/>
        <v>361.12820518079434</v>
      </c>
    </row>
    <row r="36" spans="1:27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3"/>
      <c r="R36" s="274"/>
      <c r="S36" s="275"/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2698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-379.16071900000003</v>
      </c>
      <c r="O42" s="315">
        <f>SUM(O13:O41)</f>
        <v>-565.35885699999994</v>
      </c>
      <c r="P42" s="315">
        <f ca="1">SUM(P13:P41)</f>
        <v>4170.9095230000003</v>
      </c>
      <c r="Q42" s="315"/>
      <c r="R42" s="326">
        <f ca="1">SUM(R13:R41)</f>
        <v>4.0280507502359661</v>
      </c>
      <c r="S42" s="317"/>
      <c r="X42" s="327">
        <f ca="1">SUM(X13:X41)</f>
        <v>1.5992886781268523</v>
      </c>
      <c r="Y42" s="328">
        <f ca="1">SUM(Y13:Y41)</f>
        <v>5022.3818916229993</v>
      </c>
      <c r="Z42" s="329">
        <f ca="1">P42/Y42</f>
        <v>0.83046443161894989</v>
      </c>
      <c r="AA42" s="329">
        <f ca="1">Z42/(D$43/365)</f>
        <v>0.17967961917066785</v>
      </c>
    </row>
    <row r="43" spans="1:27">
      <c r="C43" s="119" t="s">
        <v>568</v>
      </c>
      <c r="D43" s="46">
        <f ca="1">_xlfn.DAYS(TODAY(),F13)</f>
        <v>1687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536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539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540</v>
      </c>
      <c r="U62" s="41" t="s">
        <v>541</v>
      </c>
      <c r="V62" s="38"/>
    </row>
    <row r="63" spans="3:29" ht="15.75">
      <c r="G63" s="38"/>
      <c r="S63" t="s">
        <v>542</v>
      </c>
      <c r="T63" s="309" t="s">
        <v>543</v>
      </c>
      <c r="U63" s="310"/>
      <c r="V63" s="38"/>
    </row>
    <row r="64" spans="3:29">
      <c r="F64" s="38"/>
      <c r="G64" s="38"/>
      <c r="S64" t="s">
        <v>544</v>
      </c>
      <c r="T64" s="309" t="s">
        <v>545</v>
      </c>
      <c r="U64" t="s">
        <v>546</v>
      </c>
    </row>
    <row r="65" spans="6:22">
      <c r="F65" s="38"/>
      <c r="G65" s="38"/>
      <c r="H65" s="38"/>
      <c r="K65" t="s">
        <v>547</v>
      </c>
      <c r="T65" s="38"/>
      <c r="U65" t="s">
        <v>548</v>
      </c>
      <c r="V65" s="38"/>
    </row>
    <row r="66" spans="6:22">
      <c r="K66" s="311">
        <v>43587</v>
      </c>
      <c r="T66" s="306"/>
    </row>
    <row r="67" spans="6:22">
      <c r="K67" t="s">
        <v>549</v>
      </c>
      <c r="T67" s="312"/>
    </row>
    <row r="68" spans="6:22">
      <c r="K68" t="s">
        <v>550</v>
      </c>
      <c r="M68" t="s">
        <v>148</v>
      </c>
      <c r="T68" s="309"/>
      <c r="U68">
        <f>5000/12</f>
        <v>416.66666666666669</v>
      </c>
    </row>
    <row r="69" spans="6:22">
      <c r="K69" t="s">
        <v>551</v>
      </c>
      <c r="U69">
        <f>2.2/U68</f>
        <v>5.28E-3</v>
      </c>
    </row>
    <row r="70" spans="6:22">
      <c r="K70" t="s">
        <v>552</v>
      </c>
      <c r="U70">
        <f>100*U69</f>
        <v>0.52800000000000002</v>
      </c>
    </row>
    <row r="71" spans="6:22">
      <c r="K71" t="s">
        <v>553</v>
      </c>
      <c r="U71">
        <f>2.2*12</f>
        <v>26.400000000000002</v>
      </c>
    </row>
    <row r="72" spans="6:22">
      <c r="K72" t="s">
        <v>554</v>
      </c>
    </row>
    <row r="73" spans="6:22">
      <c r="K73" t="s">
        <v>555</v>
      </c>
    </row>
    <row r="74" spans="6:22">
      <c r="K74" t="s">
        <v>556</v>
      </c>
    </row>
    <row r="75" spans="6:22">
      <c r="K75" t="s">
        <v>557</v>
      </c>
    </row>
    <row r="76" spans="6:22">
      <c r="K76" t="s">
        <v>558</v>
      </c>
    </row>
    <row r="77" spans="6:22">
      <c r="K77" t="s">
        <v>559</v>
      </c>
    </row>
    <row r="78" spans="6:22">
      <c r="K78" t="s">
        <v>560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F29" sqref="F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8" t="s">
        <v>574</v>
      </c>
      <c r="B1" s="448"/>
      <c r="C1" s="448"/>
      <c r="D1" s="448"/>
      <c r="E1" s="448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26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171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50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573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155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6" t="s">
        <v>603</v>
      </c>
      <c r="B15" s="446"/>
      <c r="C15" s="446"/>
      <c r="D15" s="446"/>
      <c r="E15" s="446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22" workbookViewId="0">
      <selection activeCell="I15" sqref="I1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22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>
        <v>2018</v>
      </c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3">
        <v>2901.68</v>
      </c>
      <c r="L5" s="424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5">
        <v>620.05999999999995</v>
      </c>
      <c r="L6" s="42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5">
        <v>8035.29</v>
      </c>
      <c r="L7" s="42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5">
        <v>7000</v>
      </c>
      <c r="L8" s="42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5">
        <v>659.39</v>
      </c>
      <c r="L9" s="42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5">
        <v>1800.04</v>
      </c>
      <c r="L10" s="42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5">
        <f>240+35</f>
        <v>275</v>
      </c>
      <c r="L11" s="42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1">
        <f>SUM(K5:K18)</f>
        <v>26383.54</v>
      </c>
      <c r="L19" s="432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12"/>
      <c r="I22" s="415" t="s">
        <v>6</v>
      </c>
      <c r="J22" s="416"/>
      <c r="K22" s="416"/>
      <c r="L22" s="417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12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12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2" t="str">
        <f>AÑO!A8</f>
        <v>Manolo Salario</v>
      </c>
      <c r="J25" s="405" t="s">
        <v>291</v>
      </c>
      <c r="K25" s="406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2" t="str">
        <f>AÑO!A9</f>
        <v>Rocío Salario</v>
      </c>
      <c r="J30" s="405" t="s">
        <v>238</v>
      </c>
      <c r="K30" s="406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3"/>
      <c r="J31" s="407" t="s">
        <v>256</v>
      </c>
      <c r="K31" s="408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14" t="s">
        <v>267</v>
      </c>
      <c r="K32" s="408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218</v>
      </c>
      <c r="J35" s="405" t="s">
        <v>306</v>
      </c>
      <c r="K35" s="406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2" t="str">
        <f>AÑO!A11</f>
        <v>Finanazas</v>
      </c>
      <c r="J40" s="405" t="s">
        <v>239</v>
      </c>
      <c r="K40" s="406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 t="s">
        <v>240</v>
      </c>
      <c r="K41" s="408"/>
      <c r="L41" s="229">
        <v>1.87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12"/>
      <c r="I42" s="403"/>
      <c r="J42" s="407" t="s">
        <v>269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2" t="str">
        <f>AÑO!A12</f>
        <v>Regalos</v>
      </c>
      <c r="J45" s="405" t="s">
        <v>299</v>
      </c>
      <c r="K45" s="406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2" t="str">
        <f>AÑO!A13</f>
        <v>Gubernamental</v>
      </c>
      <c r="J50" s="405" t="s">
        <v>259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2" t="str">
        <f>AÑO!A15</f>
        <v>Alquiler Cartama</v>
      </c>
      <c r="J60" s="405"/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2" t="str">
        <f>AÑO!A16</f>
        <v>Otros</v>
      </c>
      <c r="J65" s="405" t="s">
        <v>296</v>
      </c>
      <c r="K65" s="406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12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12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12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12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12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12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12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12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  <c r="H202" s="112"/>
    </row>
    <row r="203" spans="2:12" ht="15" customHeight="1" thickBot="1">
      <c r="B203" s="418"/>
      <c r="C203" s="419"/>
      <c r="D203" s="419"/>
      <c r="E203" s="419"/>
      <c r="F203" s="419"/>
      <c r="G203" s="420"/>
      <c r="H203" s="112"/>
    </row>
    <row r="204" spans="2:12" ht="15.75">
      <c r="B204" s="428" t="s">
        <v>8</v>
      </c>
      <c r="C204" s="429"/>
      <c r="D204" s="430" t="s">
        <v>9</v>
      </c>
      <c r="E204" s="430"/>
      <c r="F204" s="430"/>
      <c r="G204" s="429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7" t="str">
        <f>AÑO!A31</f>
        <v>Deportes</v>
      </c>
      <c r="C222" s="416"/>
      <c r="D222" s="416"/>
      <c r="E222" s="416"/>
      <c r="F222" s="416"/>
      <c r="G222" s="417"/>
      <c r="H222" s="112"/>
    </row>
    <row r="223" spans="2:8" ht="15" customHeight="1" thickBot="1">
      <c r="B223" s="418"/>
      <c r="C223" s="419"/>
      <c r="D223" s="419"/>
      <c r="E223" s="419"/>
      <c r="F223" s="419"/>
      <c r="G223" s="420"/>
      <c r="H223" s="112"/>
    </row>
    <row r="224" spans="2:8" ht="15.75">
      <c r="B224" s="428" t="s">
        <v>8</v>
      </c>
      <c r="C224" s="429"/>
      <c r="D224" s="430" t="s">
        <v>9</v>
      </c>
      <c r="E224" s="430"/>
      <c r="F224" s="430"/>
      <c r="G224" s="429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7" t="str">
        <f>AÑO!A32</f>
        <v>Hogar</v>
      </c>
      <c r="C242" s="416"/>
      <c r="D242" s="416"/>
      <c r="E242" s="416"/>
      <c r="F242" s="416"/>
      <c r="G242" s="417"/>
      <c r="H242" s="112"/>
    </row>
    <row r="243" spans="2:8" ht="15" customHeight="1" thickBot="1">
      <c r="B243" s="418"/>
      <c r="C243" s="419"/>
      <c r="D243" s="419"/>
      <c r="E243" s="419"/>
      <c r="F243" s="419"/>
      <c r="G243" s="420"/>
      <c r="H243" s="112"/>
    </row>
    <row r="244" spans="2:8" ht="15" customHeight="1">
      <c r="B244" s="428" t="s">
        <v>8</v>
      </c>
      <c r="C244" s="429"/>
      <c r="D244" s="430" t="s">
        <v>9</v>
      </c>
      <c r="E244" s="430"/>
      <c r="F244" s="430"/>
      <c r="G244" s="429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7" t="str">
        <f>AÑO!A33</f>
        <v>Formación</v>
      </c>
      <c r="C262" s="416"/>
      <c r="D262" s="416"/>
      <c r="E262" s="416"/>
      <c r="F262" s="416"/>
      <c r="G262" s="417"/>
      <c r="H262" s="112"/>
    </row>
    <row r="263" spans="2:8" ht="15" customHeight="1" thickBot="1">
      <c r="B263" s="418"/>
      <c r="C263" s="419"/>
      <c r="D263" s="419"/>
      <c r="E263" s="419"/>
      <c r="F263" s="419"/>
      <c r="G263" s="420"/>
      <c r="H263" s="112"/>
    </row>
    <row r="264" spans="2:8" ht="15.75">
      <c r="B264" s="428" t="s">
        <v>8</v>
      </c>
      <c r="C264" s="429"/>
      <c r="D264" s="430" t="s">
        <v>9</v>
      </c>
      <c r="E264" s="430"/>
      <c r="F264" s="430"/>
      <c r="G264" s="429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  <c r="H282" s="112"/>
    </row>
    <row r="283" spans="2:8" ht="15" customHeight="1" thickBot="1">
      <c r="B283" s="418"/>
      <c r="C283" s="419"/>
      <c r="D283" s="419"/>
      <c r="E283" s="419"/>
      <c r="F283" s="419"/>
      <c r="G283" s="420"/>
      <c r="H283" s="112"/>
    </row>
    <row r="284" spans="2:8" ht="15.75">
      <c r="B284" s="428" t="s">
        <v>8</v>
      </c>
      <c r="C284" s="429"/>
      <c r="D284" s="430" t="s">
        <v>9</v>
      </c>
      <c r="E284" s="430"/>
      <c r="F284" s="430"/>
      <c r="G284" s="429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  <c r="H302" s="112"/>
    </row>
    <row r="303" spans="2:8" ht="15" customHeight="1" thickBot="1">
      <c r="B303" s="418"/>
      <c r="C303" s="419"/>
      <c r="D303" s="419"/>
      <c r="E303" s="419"/>
      <c r="F303" s="419"/>
      <c r="G303" s="420"/>
      <c r="H303" s="112"/>
    </row>
    <row r="304" spans="2:8" ht="15.75">
      <c r="B304" s="428" t="s">
        <v>8</v>
      </c>
      <c r="C304" s="429"/>
      <c r="D304" s="430" t="s">
        <v>9</v>
      </c>
      <c r="E304" s="430"/>
      <c r="F304" s="430"/>
      <c r="G304" s="429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7" t="str">
        <f>AÑO!A36</f>
        <v>Nenas</v>
      </c>
      <c r="C322" s="416"/>
      <c r="D322" s="416"/>
      <c r="E322" s="416"/>
      <c r="F322" s="416"/>
      <c r="G322" s="417"/>
      <c r="H322" s="112"/>
    </row>
    <row r="323" spans="2:8" ht="15" customHeight="1" thickBot="1">
      <c r="B323" s="418"/>
      <c r="C323" s="419"/>
      <c r="D323" s="419"/>
      <c r="E323" s="419"/>
      <c r="F323" s="419"/>
      <c r="G323" s="420"/>
      <c r="H323" s="112"/>
    </row>
    <row r="324" spans="2:8" ht="15.75">
      <c r="B324" s="428" t="s">
        <v>8</v>
      </c>
      <c r="C324" s="429"/>
      <c r="D324" s="430" t="s">
        <v>9</v>
      </c>
      <c r="E324" s="430"/>
      <c r="F324" s="430"/>
      <c r="G324" s="429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7" t="str">
        <f>AÑO!A37</f>
        <v>Impuestos</v>
      </c>
      <c r="C342" s="416"/>
      <c r="D342" s="416"/>
      <c r="E342" s="416"/>
      <c r="F342" s="416"/>
      <c r="G342" s="417"/>
      <c r="H342" s="112"/>
    </row>
    <row r="343" spans="2:8" ht="15" customHeight="1" thickBot="1">
      <c r="B343" s="418"/>
      <c r="C343" s="419"/>
      <c r="D343" s="419"/>
      <c r="E343" s="419"/>
      <c r="F343" s="419"/>
      <c r="G343" s="420"/>
      <c r="H343" s="112"/>
    </row>
    <row r="344" spans="2:8" ht="15.75">
      <c r="B344" s="428" t="s">
        <v>8</v>
      </c>
      <c r="C344" s="429"/>
      <c r="D344" s="430" t="s">
        <v>9</v>
      </c>
      <c r="E344" s="430"/>
      <c r="F344" s="430"/>
      <c r="G344" s="429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7" t="str">
        <f>AÑO!A38</f>
        <v>Gastos Curros</v>
      </c>
      <c r="C362" s="416"/>
      <c r="D362" s="416"/>
      <c r="E362" s="416"/>
      <c r="F362" s="416"/>
      <c r="G362" s="417"/>
      <c r="H362" s="112"/>
    </row>
    <row r="363" spans="2:8" ht="15" customHeight="1" thickBot="1">
      <c r="B363" s="418"/>
      <c r="C363" s="419"/>
      <c r="D363" s="419"/>
      <c r="E363" s="419"/>
      <c r="F363" s="419"/>
      <c r="G363" s="420"/>
      <c r="H363" s="112"/>
    </row>
    <row r="364" spans="2:8" ht="15.75">
      <c r="B364" s="428" t="s">
        <v>8</v>
      </c>
      <c r="C364" s="429"/>
      <c r="D364" s="430" t="s">
        <v>9</v>
      </c>
      <c r="E364" s="430"/>
      <c r="F364" s="430"/>
      <c r="G364" s="429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7" t="str">
        <f>AÑO!A39</f>
        <v>Dreamed Holidays</v>
      </c>
      <c r="C382" s="416"/>
      <c r="D382" s="416"/>
      <c r="E382" s="416"/>
      <c r="F382" s="416"/>
      <c r="G382" s="417"/>
      <c r="H382" s="112"/>
    </row>
    <row r="383" spans="2:8" ht="15" customHeight="1" thickBot="1">
      <c r="B383" s="418"/>
      <c r="C383" s="419"/>
      <c r="D383" s="419"/>
      <c r="E383" s="419"/>
      <c r="F383" s="419"/>
      <c r="G383" s="420"/>
      <c r="H383" s="112"/>
    </row>
    <row r="384" spans="2:8" ht="15.75">
      <c r="B384" s="428" t="s">
        <v>8</v>
      </c>
      <c r="C384" s="429"/>
      <c r="D384" s="430" t="s">
        <v>9</v>
      </c>
      <c r="E384" s="430"/>
      <c r="F384" s="430"/>
      <c r="G384" s="429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7" t="str">
        <f>AÑO!A40</f>
        <v>Financieros</v>
      </c>
      <c r="C402" s="416"/>
      <c r="D402" s="416"/>
      <c r="E402" s="416"/>
      <c r="F402" s="416"/>
      <c r="G402" s="417"/>
      <c r="H402" s="112"/>
    </row>
    <row r="403" spans="2:8" ht="15" customHeight="1" thickBot="1">
      <c r="B403" s="418"/>
      <c r="C403" s="419"/>
      <c r="D403" s="419"/>
      <c r="E403" s="419"/>
      <c r="F403" s="419"/>
      <c r="G403" s="420"/>
      <c r="H403" s="112"/>
    </row>
    <row r="404" spans="2:8" ht="15.75">
      <c r="B404" s="428" t="s">
        <v>8</v>
      </c>
      <c r="C404" s="429"/>
      <c r="D404" s="430" t="s">
        <v>9</v>
      </c>
      <c r="E404" s="430"/>
      <c r="F404" s="430"/>
      <c r="G404" s="429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  <c r="H422" s="112"/>
    </row>
    <row r="423" spans="1:8" ht="15" customHeight="1" thickBot="1">
      <c r="B423" s="435"/>
      <c r="C423" s="436"/>
      <c r="D423" s="436"/>
      <c r="E423" s="436"/>
      <c r="F423" s="436"/>
      <c r="G423" s="437"/>
      <c r="H423" s="112"/>
    </row>
    <row r="424" spans="1:8" ht="15.75">
      <c r="B424" s="428" t="s">
        <v>8</v>
      </c>
      <c r="C424" s="429"/>
      <c r="D424" s="430" t="s">
        <v>9</v>
      </c>
      <c r="E424" s="430"/>
      <c r="F424" s="430"/>
      <c r="G424" s="429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7" t="str">
        <f>AÑO!A42</f>
        <v>Dinero Bloqueado</v>
      </c>
      <c r="C442" s="433"/>
      <c r="D442" s="433"/>
      <c r="E442" s="433"/>
      <c r="F442" s="433"/>
      <c r="G442" s="434"/>
      <c r="H442" s="112"/>
    </row>
    <row r="443" spans="2:8" ht="15" customHeight="1" thickBot="1">
      <c r="B443" s="435"/>
      <c r="C443" s="436"/>
      <c r="D443" s="436"/>
      <c r="E443" s="436"/>
      <c r="F443" s="436"/>
      <c r="G443" s="437"/>
      <c r="H443" s="112"/>
    </row>
    <row r="444" spans="2:8" ht="15.75">
      <c r="B444" s="428" t="s">
        <v>8</v>
      </c>
      <c r="C444" s="429"/>
      <c r="D444" s="430" t="s">
        <v>9</v>
      </c>
      <c r="E444" s="430"/>
      <c r="F444" s="430"/>
      <c r="G444" s="429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7" t="str">
        <f>AÑO!A43</f>
        <v>Cartama Finanazas</v>
      </c>
      <c r="C462" s="433"/>
      <c r="D462" s="433"/>
      <c r="E462" s="433"/>
      <c r="F462" s="433"/>
      <c r="G462" s="434"/>
      <c r="H462" s="112"/>
    </row>
    <row r="463" spans="2:8" ht="15" customHeight="1" thickBot="1">
      <c r="B463" s="435"/>
      <c r="C463" s="436"/>
      <c r="D463" s="436"/>
      <c r="E463" s="436"/>
      <c r="F463" s="436"/>
      <c r="G463" s="437"/>
      <c r="H463" s="112"/>
    </row>
    <row r="464" spans="2:8" ht="15.75">
      <c r="B464" s="428" t="s">
        <v>8</v>
      </c>
      <c r="C464" s="429"/>
      <c r="D464" s="430" t="s">
        <v>9</v>
      </c>
      <c r="E464" s="430"/>
      <c r="F464" s="430"/>
      <c r="G464" s="429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7" t="str">
        <f>AÑO!A44</f>
        <v>NULO</v>
      </c>
      <c r="C482" s="433"/>
      <c r="D482" s="433"/>
      <c r="E482" s="433"/>
      <c r="F482" s="433"/>
      <c r="G482" s="434"/>
      <c r="H482" s="112"/>
    </row>
    <row r="483" spans="2:8" ht="15" customHeight="1" thickBot="1">
      <c r="B483" s="435"/>
      <c r="C483" s="436"/>
      <c r="D483" s="436"/>
      <c r="E483" s="436"/>
      <c r="F483" s="436"/>
      <c r="G483" s="437"/>
      <c r="H483" s="112"/>
    </row>
    <row r="484" spans="2:8" ht="15.75">
      <c r="B484" s="428" t="s">
        <v>8</v>
      </c>
      <c r="C484" s="429"/>
      <c r="D484" s="430" t="s">
        <v>9</v>
      </c>
      <c r="E484" s="430"/>
      <c r="F484" s="430"/>
      <c r="G484" s="429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7" t="str">
        <f>AÑO!A45</f>
        <v>OTROS</v>
      </c>
      <c r="C502" s="433"/>
      <c r="D502" s="433"/>
      <c r="E502" s="433"/>
      <c r="F502" s="433"/>
      <c r="G502" s="434"/>
      <c r="H502" s="112"/>
    </row>
    <row r="503" spans="2:8" ht="15" customHeight="1" thickBot="1">
      <c r="B503" s="435"/>
      <c r="C503" s="436"/>
      <c r="D503" s="436"/>
      <c r="E503" s="436"/>
      <c r="F503" s="436"/>
      <c r="G503" s="437"/>
      <c r="H503" s="112"/>
    </row>
    <row r="504" spans="2:8" ht="15.75">
      <c r="B504" s="428" t="s">
        <v>8</v>
      </c>
      <c r="C504" s="429"/>
      <c r="D504" s="430" t="s">
        <v>9</v>
      </c>
      <c r="E504" s="430"/>
      <c r="F504" s="430"/>
      <c r="G504" s="429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2397.48-4.45</f>
        <v>2393.0300000000002</v>
      </c>
      <c r="L5" s="424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5">
        <f>7340.23-4.45</f>
        <v>7335.78</v>
      </c>
      <c r="L7" s="42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7001.87</v>
      </c>
      <c r="L8" s="42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5">
        <v>669.52</v>
      </c>
      <c r="L9" s="42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160+155</f>
        <v>315</v>
      </c>
      <c r="L11" s="42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25229.379999999997</v>
      </c>
      <c r="L19" s="432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314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319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314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2" t="str">
        <f>AÑO!A15</f>
        <v>Alquiler Cartama</v>
      </c>
      <c r="J60" s="405" t="s">
        <v>315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2:7" ht="15" customHeight="1" thickBot="1">
      <c r="B243" s="418"/>
      <c r="C243" s="419"/>
      <c r="D243" s="419"/>
      <c r="E243" s="419"/>
      <c r="F243" s="419"/>
      <c r="G243" s="420"/>
    </row>
    <row r="244" spans="2:7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2:7" ht="15" customHeight="1" thickBot="1">
      <c r="B263" s="418"/>
      <c r="C263" s="419"/>
      <c r="D263" s="419"/>
      <c r="E263" s="419"/>
      <c r="F263" s="419"/>
      <c r="G263" s="420"/>
    </row>
    <row r="264" spans="2:7">
      <c r="B264" s="428" t="s">
        <v>8</v>
      </c>
      <c r="C264" s="429"/>
      <c r="D264" s="430" t="s">
        <v>9</v>
      </c>
      <c r="E264" s="430"/>
      <c r="F264" s="430"/>
      <c r="G264" s="429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30" t="s">
        <v>9</v>
      </c>
      <c r="E424" s="430"/>
      <c r="F424" s="430"/>
      <c r="G424" s="429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30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1559.34</v>
      </c>
      <c r="L5" s="424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5">
        <v>8577.0300000000007</v>
      </c>
      <c r="L7" s="42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5">
        <v>4167.34</v>
      </c>
      <c r="L9" s="42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255</v>
      </c>
      <c r="L11" s="42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1">
        <f>SUM(K5:K18)</f>
        <v>25574.760000000002</v>
      </c>
      <c r="L19" s="432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30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238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8" t="s">
        <v>8</v>
      </c>
      <c r="C44" s="429"/>
      <c r="D44" s="430" t="s">
        <v>9</v>
      </c>
      <c r="E44" s="430"/>
      <c r="F44" s="430"/>
      <c r="G44" s="429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379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3"/>
      <c r="J46" s="407" t="s">
        <v>160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2" t="str">
        <f>AÑO!A13</f>
        <v>Gubernamental</v>
      </c>
      <c r="J50" s="405" t="s">
        <v>259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3"/>
      <c r="J51" s="407" t="s">
        <v>417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2" t="str">
        <f>AÑO!A14</f>
        <v>Mutualite/DKV</v>
      </c>
      <c r="J55" s="438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366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8" t="s">
        <v>8</v>
      </c>
      <c r="C64" s="429"/>
      <c r="D64" s="430" t="s">
        <v>9</v>
      </c>
      <c r="E64" s="430"/>
      <c r="F64" s="430"/>
      <c r="G64" s="429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30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30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30" t="s">
        <v>9</v>
      </c>
      <c r="E124" s="430"/>
      <c r="F124" s="430"/>
      <c r="G124" s="429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12" t="s">
        <v>878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30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30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30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30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30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8" ht="15" customHeight="1" thickBot="1">
      <c r="B243" s="418"/>
      <c r="C243" s="419"/>
      <c r="D243" s="419"/>
      <c r="E243" s="419"/>
      <c r="F243" s="419"/>
      <c r="G243" s="420"/>
    </row>
    <row r="244" spans="1:8" ht="15" customHeight="1">
      <c r="B244" s="428" t="s">
        <v>8</v>
      </c>
      <c r="C244" s="429"/>
      <c r="D244" s="430" t="s">
        <v>9</v>
      </c>
      <c r="E244" s="430"/>
      <c r="F244" s="430"/>
      <c r="G244" s="429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30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30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30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16"/>
      <c r="D322" s="416"/>
      <c r="E322" s="416"/>
      <c r="F322" s="416"/>
      <c r="G322" s="417"/>
    </row>
    <row r="323" spans="2:7" ht="15" customHeight="1" thickBot="1">
      <c r="B323" s="418"/>
      <c r="C323" s="419"/>
      <c r="D323" s="419"/>
      <c r="E323" s="419"/>
      <c r="F323" s="419"/>
      <c r="G323" s="420"/>
    </row>
    <row r="324" spans="2:7">
      <c r="B324" s="428" t="s">
        <v>8</v>
      </c>
      <c r="C324" s="429"/>
      <c r="D324" s="430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30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30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16"/>
      <c r="D382" s="416"/>
      <c r="E382" s="416"/>
      <c r="F382" s="416"/>
      <c r="G382" s="417"/>
    </row>
    <row r="383" spans="2:7" ht="15" customHeight="1" thickBot="1">
      <c r="B383" s="418"/>
      <c r="C383" s="419"/>
      <c r="D383" s="419"/>
      <c r="E383" s="419"/>
      <c r="F383" s="419"/>
      <c r="G383" s="420"/>
    </row>
    <row r="384" spans="2:7">
      <c r="B384" s="428" t="s">
        <v>8</v>
      </c>
      <c r="C384" s="429"/>
      <c r="D384" s="430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30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30" t="s">
        <v>9</v>
      </c>
      <c r="E424" s="430"/>
      <c r="F424" s="430"/>
      <c r="G424" s="429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30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861.84</v>
      </c>
      <c r="L5" s="424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620.08000000000004</v>
      </c>
      <c r="L6" s="42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10075.709999999999</v>
      </c>
      <c r="L7" s="42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3501.87</v>
      </c>
      <c r="L8" s="42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35.96</v>
      </c>
      <c r="L9" s="42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370</v>
      </c>
      <c r="L11" s="42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5092.08+4084.2</f>
        <v>9176.2799999999988</v>
      </c>
      <c r="L12" s="42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362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424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444</v>
      </c>
      <c r="K41" s="408"/>
      <c r="L41" s="229">
        <v>352.82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 t="s">
        <v>60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433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8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9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448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7" ht="15" customHeight="1" thickBot="1">
      <c r="B263" s="418"/>
      <c r="C263" s="419"/>
      <c r="D263" s="419"/>
      <c r="E263" s="419"/>
      <c r="F263" s="419"/>
      <c r="G263" s="420"/>
    </row>
    <row r="264" spans="1:7">
      <c r="B264" s="428" t="s">
        <v>8</v>
      </c>
      <c r="C264" s="429"/>
      <c r="D264" s="428" t="s">
        <v>9</v>
      </c>
      <c r="E264" s="430"/>
      <c r="F264" s="430"/>
      <c r="G264" s="429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1773.93</v>
      </c>
      <c r="L5" s="424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7144.52</v>
      </c>
      <c r="L7" s="42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10005.620000000001</v>
      </c>
      <c r="L8" s="42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514.82000000000005</v>
      </c>
      <c r="L9" s="42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210</f>
        <v>210</v>
      </c>
      <c r="L11" s="42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v>5092.08</v>
      </c>
      <c r="L12" s="42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362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472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2" t="str">
        <f>AÑO!A13</f>
        <v>Gubernamental</v>
      </c>
      <c r="J50" s="405" t="s">
        <v>483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2" t="str">
        <f>AÑO!A14</f>
        <v>Mutualite/DKV</v>
      </c>
      <c r="J55" s="405" t="s">
        <v>477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12" t="s">
        <v>878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2:7" ht="15" customHeight="1" thickBot="1">
      <c r="B343" s="418"/>
      <c r="C343" s="419"/>
      <c r="D343" s="419"/>
      <c r="E343" s="419"/>
      <c r="F343" s="419"/>
      <c r="G343" s="420"/>
    </row>
    <row r="344" spans="2:7">
      <c r="B344" s="428" t="s">
        <v>8</v>
      </c>
      <c r="C344" s="429"/>
      <c r="D344" s="428" t="s">
        <v>9</v>
      </c>
      <c r="E344" s="430"/>
      <c r="F344" s="430"/>
      <c r="G344" s="429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2:7" ht="15" customHeight="1" thickBot="1">
      <c r="B363" s="418"/>
      <c r="C363" s="419"/>
      <c r="D363" s="419"/>
      <c r="E363" s="419"/>
      <c r="F363" s="419"/>
      <c r="G363" s="420"/>
    </row>
    <row r="364" spans="2:7">
      <c r="B364" s="428" t="s">
        <v>8</v>
      </c>
      <c r="C364" s="429"/>
      <c r="D364" s="428" t="s">
        <v>9</v>
      </c>
      <c r="E364" s="430"/>
      <c r="F364" s="430"/>
      <c r="G364" s="429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8" ht="15" customHeight="1" thickBot="1">
      <c r="B423" s="435"/>
      <c r="C423" s="436"/>
      <c r="D423" s="436"/>
      <c r="E423" s="436"/>
      <c r="F423" s="436"/>
      <c r="G423" s="437"/>
    </row>
    <row r="424" spans="1:8">
      <c r="B424" s="428" t="s">
        <v>8</v>
      </c>
      <c r="C424" s="429"/>
      <c r="D424" s="428" t="s">
        <v>9</v>
      </c>
      <c r="E424" s="430"/>
      <c r="F424" s="430"/>
      <c r="G424" s="429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M5+2156.93</f>
        <v>1614.1099999999997</v>
      </c>
      <c r="L5" s="424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f>9234.42-58.2</f>
        <v>9176.2199999999993</v>
      </c>
      <c r="L7" s="42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190</v>
      </c>
      <c r="L11" s="42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626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430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328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359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160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627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9" ht="15" customHeight="1" thickBot="1">
      <c r="B283" s="418"/>
      <c r="C283" s="419"/>
      <c r="D283" s="419"/>
      <c r="E283" s="419"/>
      <c r="F283" s="419"/>
      <c r="G283" s="420"/>
    </row>
    <row r="284" spans="2:9">
      <c r="B284" s="428" t="s">
        <v>8</v>
      </c>
      <c r="C284" s="429"/>
      <c r="D284" s="428" t="s">
        <v>9</v>
      </c>
      <c r="E284" s="430"/>
      <c r="F284" s="430"/>
      <c r="G284" s="429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f>2939.95</f>
        <v>2939.95</v>
      </c>
      <c r="L5" s="424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</v>
      </c>
      <c r="L6" s="42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8049.26</v>
      </c>
      <c r="L7" s="42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169.67</v>
      </c>
      <c r="L9" s="42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v>260</v>
      </c>
      <c r="L11" s="42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430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626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688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 t="s">
        <v>675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60</v>
      </c>
      <c r="K41" s="408"/>
      <c r="L41" s="229">
        <v>0.02</v>
      </c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2" t="str">
        <f>AÑO!A13</f>
        <v>Gubernamental</v>
      </c>
      <c r="J50" s="405" t="s">
        <v>639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689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689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689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704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2:8" ht="15" customHeight="1" thickBot="1">
      <c r="B283" s="418"/>
      <c r="C283" s="419"/>
      <c r="D283" s="419"/>
      <c r="E283" s="419"/>
      <c r="F283" s="419"/>
      <c r="G283" s="420"/>
    </row>
    <row r="284" spans="2:8">
      <c r="B284" s="428" t="s">
        <v>8</v>
      </c>
      <c r="C284" s="429"/>
      <c r="D284" s="428" t="s">
        <v>9</v>
      </c>
      <c r="E284" s="430"/>
      <c r="F284" s="430"/>
      <c r="G284" s="429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2:8" ht="15" customHeight="1" thickBot="1">
      <c r="B303" s="418"/>
      <c r="C303" s="419"/>
      <c r="D303" s="419"/>
      <c r="E303" s="419"/>
      <c r="F303" s="419"/>
      <c r="G303" s="420"/>
    </row>
    <row r="304" spans="2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7" t="str">
        <f>AÑO!A20</f>
        <v>Cártama Gastos</v>
      </c>
      <c r="C2" s="416"/>
      <c r="D2" s="416"/>
      <c r="E2" s="416"/>
      <c r="F2" s="416"/>
      <c r="G2" s="417"/>
      <c r="H2" s="222"/>
      <c r="I2" s="415" t="s">
        <v>4</v>
      </c>
      <c r="J2" s="416"/>
      <c r="K2" s="416"/>
      <c r="L2" s="417"/>
      <c r="M2" s="1"/>
      <c r="N2" s="1"/>
      <c r="R2" s="3"/>
    </row>
    <row r="3" spans="1:22" ht="16.5" thickBot="1">
      <c r="A3" s="1"/>
      <c r="B3" s="418"/>
      <c r="C3" s="419"/>
      <c r="D3" s="419"/>
      <c r="E3" s="419"/>
      <c r="F3" s="419"/>
      <c r="G3" s="420"/>
      <c r="H3" s="1"/>
      <c r="I3" s="418"/>
      <c r="J3" s="419"/>
      <c r="K3" s="419"/>
      <c r="L3" s="420"/>
      <c r="M3" s="1"/>
      <c r="N3" s="1"/>
      <c r="R3" s="3"/>
    </row>
    <row r="4" spans="1:22" ht="15.75">
      <c r="A4" s="1"/>
      <c r="B4" s="428" t="s">
        <v>8</v>
      </c>
      <c r="C4" s="429"/>
      <c r="D4" s="428" t="s">
        <v>9</v>
      </c>
      <c r="E4" s="430"/>
      <c r="F4" s="430"/>
      <c r="G4" s="429"/>
      <c r="H4" s="222"/>
      <c r="I4" s="40" t="s">
        <v>57</v>
      </c>
      <c r="J4" s="105" t="s">
        <v>58</v>
      </c>
      <c r="K4" s="421" t="s">
        <v>59</v>
      </c>
      <c r="L4" s="422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3">
        <v>3508.76</v>
      </c>
      <c r="L5" s="424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5">
        <v>620.12</v>
      </c>
      <c r="L6" s="42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5">
        <v>7490.36</v>
      </c>
      <c r="L7" s="42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5">
        <v>6305.62</v>
      </c>
      <c r="L8" s="42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5">
        <v>163.63</v>
      </c>
      <c r="L9" s="42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5">
        <v>1802.02</v>
      </c>
      <c r="L10" s="42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5">
        <f>20+120</f>
        <v>140</v>
      </c>
      <c r="L11" s="42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5">
        <f>5092.08+4044.26</f>
        <v>9136.34</v>
      </c>
      <c r="L12" s="42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5"/>
      <c r="L13" s="42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5"/>
      <c r="L14" s="42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5"/>
      <c r="L15" s="42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5"/>
      <c r="L16" s="42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5"/>
      <c r="L17" s="42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1"/>
      <c r="L18" s="432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7" t="str">
        <f>AÑO!A21</f>
        <v>Waterloo</v>
      </c>
      <c r="C22" s="416"/>
      <c r="D22" s="416"/>
      <c r="E22" s="416"/>
      <c r="F22" s="416"/>
      <c r="G22" s="417"/>
      <c r="H22" s="1"/>
      <c r="I22" s="415" t="s">
        <v>6</v>
      </c>
      <c r="J22" s="416"/>
      <c r="K22" s="416"/>
      <c r="L22" s="417"/>
      <c r="M22" s="1"/>
      <c r="R22" s="3"/>
    </row>
    <row r="23" spans="1:18" ht="16.149999999999999" customHeight="1" thickBot="1">
      <c r="A23" s="1"/>
      <c r="B23" s="418"/>
      <c r="C23" s="419"/>
      <c r="D23" s="419"/>
      <c r="E23" s="419"/>
      <c r="F23" s="419"/>
      <c r="G23" s="420"/>
      <c r="H23" s="1"/>
      <c r="I23" s="418"/>
      <c r="J23" s="419"/>
      <c r="K23" s="419"/>
      <c r="L23" s="420"/>
      <c r="M23" s="1"/>
      <c r="R23" s="3"/>
    </row>
    <row r="24" spans="1:18" ht="15.75">
      <c r="A24" s="1"/>
      <c r="B24" s="428" t="s">
        <v>8</v>
      </c>
      <c r="C24" s="429"/>
      <c r="D24" s="428" t="s">
        <v>9</v>
      </c>
      <c r="E24" s="430"/>
      <c r="F24" s="430"/>
      <c r="G24" s="429"/>
      <c r="H24" s="1"/>
      <c r="I24" s="40" t="s">
        <v>31</v>
      </c>
      <c r="J24" s="400" t="s">
        <v>87</v>
      </c>
      <c r="K24" s="401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2" t="str">
        <f>AÑO!A8</f>
        <v>Manolo Salario</v>
      </c>
      <c r="J25" s="405" t="s">
        <v>401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328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218</v>
      </c>
      <c r="J35" s="405" t="s">
        <v>397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7" t="str">
        <f>AÑO!A22</f>
        <v>Comida+Limpieza</v>
      </c>
      <c r="C42" s="416"/>
      <c r="D42" s="416"/>
      <c r="E42" s="416"/>
      <c r="F42" s="416"/>
      <c r="G42" s="417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8"/>
      <c r="C43" s="419"/>
      <c r="D43" s="419"/>
      <c r="E43" s="419"/>
      <c r="F43" s="419"/>
      <c r="G43" s="420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8" t="s">
        <v>8</v>
      </c>
      <c r="C44" s="429"/>
      <c r="D44" s="428" t="s">
        <v>9</v>
      </c>
      <c r="E44" s="430"/>
      <c r="F44" s="430"/>
      <c r="G44" s="429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2" t="str">
        <f>AÑO!A12</f>
        <v>Regalos</v>
      </c>
      <c r="J45" s="405" t="s">
        <v>776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3"/>
      <c r="J46" s="407" t="s">
        <v>777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2" t="str">
        <f>AÑO!A13</f>
        <v>Gubernamental</v>
      </c>
      <c r="J50" s="405" t="s">
        <v>639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2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3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2" t="str">
        <f>AÑO!A15</f>
        <v>Alquiler Cartama</v>
      </c>
      <c r="J60" s="405" t="s">
        <v>39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7" t="str">
        <f>AÑO!A23</f>
        <v>Ocio</v>
      </c>
      <c r="C62" s="416"/>
      <c r="D62" s="416"/>
      <c r="E62" s="416"/>
      <c r="F62" s="416"/>
      <c r="G62" s="417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8"/>
      <c r="C63" s="419"/>
      <c r="D63" s="419"/>
      <c r="E63" s="419"/>
      <c r="F63" s="419"/>
      <c r="G63" s="420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8" t="s">
        <v>8</v>
      </c>
      <c r="C64" s="429"/>
      <c r="D64" s="428" t="s">
        <v>9</v>
      </c>
      <c r="E64" s="430"/>
      <c r="F64" s="430"/>
      <c r="G64" s="429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7" t="str">
        <f>AÑO!A24</f>
        <v>Transportes</v>
      </c>
      <c r="C82" s="416"/>
      <c r="D82" s="416"/>
      <c r="E82" s="416"/>
      <c r="F82" s="416"/>
      <c r="G82" s="417"/>
      <c r="H82" s="1"/>
      <c r="M82" s="1"/>
      <c r="R82" s="3"/>
    </row>
    <row r="83" spans="1:18" ht="16.149999999999999" customHeight="1" thickBot="1">
      <c r="A83" s="1"/>
      <c r="B83" s="418"/>
      <c r="C83" s="419"/>
      <c r="D83" s="419"/>
      <c r="E83" s="419"/>
      <c r="F83" s="419"/>
      <c r="G83" s="420"/>
      <c r="H83" s="1"/>
      <c r="M83" s="1"/>
      <c r="R83" s="3"/>
    </row>
    <row r="84" spans="1:18" ht="15.75">
      <c r="A84" s="1"/>
      <c r="B84" s="428" t="s">
        <v>8</v>
      </c>
      <c r="C84" s="429"/>
      <c r="D84" s="428" t="s">
        <v>9</v>
      </c>
      <c r="E84" s="430"/>
      <c r="F84" s="430"/>
      <c r="G84" s="429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7" t="str">
        <f>AÑO!A25</f>
        <v>Coche</v>
      </c>
      <c r="C102" s="416"/>
      <c r="D102" s="416"/>
      <c r="E102" s="416"/>
      <c r="F102" s="416"/>
      <c r="G102" s="417"/>
      <c r="H102" s="1"/>
      <c r="M102" s="1"/>
      <c r="R102" s="3"/>
    </row>
    <row r="103" spans="1:18" ht="16.149999999999999" customHeight="1" thickBot="1">
      <c r="A103" s="1"/>
      <c r="B103" s="418"/>
      <c r="C103" s="419"/>
      <c r="D103" s="419"/>
      <c r="E103" s="419"/>
      <c r="F103" s="419"/>
      <c r="G103" s="420"/>
      <c r="H103" s="1"/>
      <c r="M103" s="1"/>
      <c r="R103" s="3"/>
    </row>
    <row r="104" spans="1:18" ht="15.75">
      <c r="A104" s="1"/>
      <c r="B104" s="428" t="s">
        <v>8</v>
      </c>
      <c r="C104" s="429"/>
      <c r="D104" s="428" t="s">
        <v>9</v>
      </c>
      <c r="E104" s="430"/>
      <c r="F104" s="430"/>
      <c r="G104" s="429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7" t="str">
        <f>AÑO!A26</f>
        <v>Teléfono</v>
      </c>
      <c r="C122" s="416"/>
      <c r="D122" s="416"/>
      <c r="E122" s="416"/>
      <c r="F122" s="416"/>
      <c r="G122" s="417"/>
      <c r="H122" s="1"/>
      <c r="M122" s="1"/>
      <c r="R122" s="3"/>
    </row>
    <row r="123" spans="1:18" ht="16.149999999999999" customHeight="1" thickBot="1">
      <c r="A123" s="1"/>
      <c r="B123" s="418"/>
      <c r="C123" s="419"/>
      <c r="D123" s="419"/>
      <c r="E123" s="419"/>
      <c r="F123" s="419"/>
      <c r="G123" s="420"/>
      <c r="H123" s="1"/>
      <c r="M123" s="1"/>
      <c r="R123" s="3"/>
    </row>
    <row r="124" spans="1:18" ht="15.75">
      <c r="A124" s="1"/>
      <c r="B124" s="428" t="s">
        <v>8</v>
      </c>
      <c r="C124" s="429"/>
      <c r="D124" s="428" t="s">
        <v>9</v>
      </c>
      <c r="E124" s="430"/>
      <c r="F124" s="430"/>
      <c r="G124" s="429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12" t="s">
        <v>878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7" t="str">
        <f>AÑO!A27</f>
        <v>Gatos</v>
      </c>
      <c r="C142" s="416"/>
      <c r="D142" s="416"/>
      <c r="E142" s="416"/>
      <c r="F142" s="416"/>
      <c r="G142" s="417"/>
      <c r="H142" s="1"/>
      <c r="M142" s="1"/>
      <c r="R142" s="3"/>
    </row>
    <row r="143" spans="1:18" ht="16.149999999999999" customHeight="1" thickBot="1">
      <c r="A143" s="1"/>
      <c r="B143" s="418"/>
      <c r="C143" s="419"/>
      <c r="D143" s="419"/>
      <c r="E143" s="419"/>
      <c r="F143" s="419"/>
      <c r="G143" s="420"/>
      <c r="H143" s="1"/>
      <c r="M143" s="1"/>
      <c r="R143" s="3"/>
    </row>
    <row r="144" spans="1:18" ht="15.75">
      <c r="A144" s="1"/>
      <c r="B144" s="428" t="s">
        <v>8</v>
      </c>
      <c r="C144" s="429"/>
      <c r="D144" s="428" t="s">
        <v>9</v>
      </c>
      <c r="E144" s="430"/>
      <c r="F144" s="430"/>
      <c r="G144" s="429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7" t="str">
        <f>AÑO!A28</f>
        <v>Vacaciones</v>
      </c>
      <c r="C162" s="416"/>
      <c r="D162" s="416"/>
      <c r="E162" s="416"/>
      <c r="F162" s="416"/>
      <c r="G162" s="417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8"/>
      <c r="C163" s="419"/>
      <c r="D163" s="419"/>
      <c r="E163" s="419"/>
      <c r="F163" s="419"/>
      <c r="G163" s="420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8" t="s">
        <v>8</v>
      </c>
      <c r="C164" s="429"/>
      <c r="D164" s="428" t="s">
        <v>9</v>
      </c>
      <c r="E164" s="430"/>
      <c r="F164" s="430"/>
      <c r="G164" s="429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7" t="str">
        <f>AÑO!A29</f>
        <v>Ropa</v>
      </c>
      <c r="C182" s="416"/>
      <c r="D182" s="416"/>
      <c r="E182" s="416"/>
      <c r="F182" s="416"/>
      <c r="G182" s="41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8"/>
      <c r="C183" s="419"/>
      <c r="D183" s="419"/>
      <c r="E183" s="419"/>
      <c r="F183" s="419"/>
      <c r="G183" s="42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8" t="s">
        <v>8</v>
      </c>
      <c r="C184" s="429"/>
      <c r="D184" s="428" t="s">
        <v>9</v>
      </c>
      <c r="E184" s="430"/>
      <c r="F184" s="430"/>
      <c r="G184" s="42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7" t="str">
        <f>AÑO!A30</f>
        <v>Belleza</v>
      </c>
      <c r="C202" s="416"/>
      <c r="D202" s="416"/>
      <c r="E202" s="416"/>
      <c r="F202" s="416"/>
      <c r="G202" s="417"/>
    </row>
    <row r="203" spans="2:12" ht="15" customHeight="1" thickBot="1">
      <c r="B203" s="418"/>
      <c r="C203" s="419"/>
      <c r="D203" s="419"/>
      <c r="E203" s="419"/>
      <c r="F203" s="419"/>
      <c r="G203" s="420"/>
    </row>
    <row r="204" spans="2:12">
      <c r="B204" s="428" t="s">
        <v>8</v>
      </c>
      <c r="C204" s="429"/>
      <c r="D204" s="428" t="s">
        <v>9</v>
      </c>
      <c r="E204" s="430"/>
      <c r="F204" s="430"/>
      <c r="G204" s="429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7" t="str">
        <f>AÑO!A31</f>
        <v>Deportes</v>
      </c>
      <c r="C222" s="416"/>
      <c r="D222" s="416"/>
      <c r="E222" s="416"/>
      <c r="F222" s="416"/>
      <c r="G222" s="417"/>
    </row>
    <row r="223" spans="2:7" ht="15" customHeight="1" thickBot="1">
      <c r="B223" s="418"/>
      <c r="C223" s="419"/>
      <c r="D223" s="419"/>
      <c r="E223" s="419"/>
      <c r="F223" s="419"/>
      <c r="G223" s="420"/>
    </row>
    <row r="224" spans="2:7">
      <c r="B224" s="428" t="s">
        <v>8</v>
      </c>
      <c r="C224" s="429"/>
      <c r="D224" s="428" t="s">
        <v>9</v>
      </c>
      <c r="E224" s="430"/>
      <c r="F224" s="430"/>
      <c r="G224" s="429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7" t="str">
        <f>AÑO!A32</f>
        <v>Hogar</v>
      </c>
      <c r="C242" s="416"/>
      <c r="D242" s="416"/>
      <c r="E242" s="416"/>
      <c r="F242" s="416"/>
      <c r="G242" s="417"/>
    </row>
    <row r="243" spans="1:7" ht="15" customHeight="1" thickBot="1">
      <c r="B243" s="418"/>
      <c r="C243" s="419"/>
      <c r="D243" s="419"/>
      <c r="E243" s="419"/>
      <c r="F243" s="419"/>
      <c r="G243" s="420"/>
    </row>
    <row r="244" spans="1:7" ht="15" customHeight="1">
      <c r="B244" s="428" t="s">
        <v>8</v>
      </c>
      <c r="C244" s="429"/>
      <c r="D244" s="428" t="s">
        <v>9</v>
      </c>
      <c r="E244" s="430"/>
      <c r="F244" s="430"/>
      <c r="G244" s="429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7" t="str">
        <f>AÑO!A33</f>
        <v>Formación</v>
      </c>
      <c r="C262" s="416"/>
      <c r="D262" s="416"/>
      <c r="E262" s="416"/>
      <c r="F262" s="416"/>
      <c r="G262" s="417"/>
    </row>
    <row r="263" spans="1:8" ht="15" customHeight="1" thickBot="1">
      <c r="B263" s="418"/>
      <c r="C263" s="419"/>
      <c r="D263" s="419"/>
      <c r="E263" s="419"/>
      <c r="F263" s="419"/>
      <c r="G263" s="420"/>
    </row>
    <row r="264" spans="1:8">
      <c r="B264" s="428" t="s">
        <v>8</v>
      </c>
      <c r="C264" s="429"/>
      <c r="D264" s="428" t="s">
        <v>9</v>
      </c>
      <c r="E264" s="430"/>
      <c r="F264" s="430"/>
      <c r="G264" s="429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7" t="str">
        <f>AÑO!A34</f>
        <v>Regalos</v>
      </c>
      <c r="C282" s="416"/>
      <c r="D282" s="416"/>
      <c r="E282" s="416"/>
      <c r="F282" s="416"/>
      <c r="G282" s="417"/>
    </row>
    <row r="283" spans="1:8" ht="15" customHeight="1" thickBot="1">
      <c r="B283" s="418"/>
      <c r="C283" s="419"/>
      <c r="D283" s="419"/>
      <c r="E283" s="419"/>
      <c r="F283" s="419"/>
      <c r="G283" s="420"/>
    </row>
    <row r="284" spans="1:8">
      <c r="B284" s="428" t="s">
        <v>8</v>
      </c>
      <c r="C284" s="429"/>
      <c r="D284" s="428" t="s">
        <v>9</v>
      </c>
      <c r="E284" s="430"/>
      <c r="F284" s="430"/>
      <c r="G284" s="429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7" t="str">
        <f>AÑO!A35</f>
        <v>Salud</v>
      </c>
      <c r="C302" s="416"/>
      <c r="D302" s="416"/>
      <c r="E302" s="416"/>
      <c r="F302" s="416"/>
      <c r="G302" s="417"/>
    </row>
    <row r="303" spans="1:8" ht="15" customHeight="1" thickBot="1">
      <c r="B303" s="418"/>
      <c r="C303" s="419"/>
      <c r="D303" s="419"/>
      <c r="E303" s="419"/>
      <c r="F303" s="419"/>
      <c r="G303" s="420"/>
    </row>
    <row r="304" spans="1:8">
      <c r="B304" s="428" t="s">
        <v>8</v>
      </c>
      <c r="C304" s="429"/>
      <c r="D304" s="428" t="s">
        <v>9</v>
      </c>
      <c r="E304" s="430"/>
      <c r="F304" s="430"/>
      <c r="G304" s="429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7" t="str">
        <f>AÑO!A36</f>
        <v>Nenas</v>
      </c>
      <c r="C322" s="433"/>
      <c r="D322" s="433"/>
      <c r="E322" s="433"/>
      <c r="F322" s="433"/>
      <c r="G322" s="434"/>
    </row>
    <row r="323" spans="2:7" ht="15" customHeight="1" thickBot="1">
      <c r="B323" s="435"/>
      <c r="C323" s="436"/>
      <c r="D323" s="436"/>
      <c r="E323" s="436"/>
      <c r="F323" s="436"/>
      <c r="G323" s="437"/>
    </row>
    <row r="324" spans="2:7">
      <c r="B324" s="428" t="s">
        <v>8</v>
      </c>
      <c r="C324" s="429"/>
      <c r="D324" s="428" t="s">
        <v>9</v>
      </c>
      <c r="E324" s="430"/>
      <c r="F324" s="430"/>
      <c r="G324" s="429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7" t="str">
        <f>AÑO!A37</f>
        <v>Impuestos</v>
      </c>
      <c r="C342" s="416"/>
      <c r="D342" s="416"/>
      <c r="E342" s="416"/>
      <c r="F342" s="416"/>
      <c r="G342" s="417"/>
    </row>
    <row r="343" spans="1:7" ht="15" customHeight="1" thickBot="1">
      <c r="B343" s="418"/>
      <c r="C343" s="419"/>
      <c r="D343" s="419"/>
      <c r="E343" s="419"/>
      <c r="F343" s="419"/>
      <c r="G343" s="420"/>
    </row>
    <row r="344" spans="1:7">
      <c r="B344" s="428" t="s">
        <v>8</v>
      </c>
      <c r="C344" s="429"/>
      <c r="D344" s="428" t="s">
        <v>9</v>
      </c>
      <c r="E344" s="430"/>
      <c r="F344" s="430"/>
      <c r="G344" s="429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7" t="str">
        <f>AÑO!A38</f>
        <v>Gastos Curros</v>
      </c>
      <c r="C362" s="416"/>
      <c r="D362" s="416"/>
      <c r="E362" s="416"/>
      <c r="F362" s="416"/>
      <c r="G362" s="417"/>
    </row>
    <row r="363" spans="1:7" ht="15" customHeight="1" thickBot="1">
      <c r="B363" s="418"/>
      <c r="C363" s="419"/>
      <c r="D363" s="419"/>
      <c r="E363" s="419"/>
      <c r="F363" s="419"/>
      <c r="G363" s="420"/>
    </row>
    <row r="364" spans="1:7">
      <c r="B364" s="428" t="s">
        <v>8</v>
      </c>
      <c r="C364" s="429"/>
      <c r="D364" s="428" t="s">
        <v>9</v>
      </c>
      <c r="E364" s="430"/>
      <c r="F364" s="430"/>
      <c r="G364" s="429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7" t="str">
        <f>AÑO!A39</f>
        <v>Dreamed Holidays</v>
      </c>
      <c r="C382" s="433"/>
      <c r="D382" s="433"/>
      <c r="E382" s="433"/>
      <c r="F382" s="433"/>
      <c r="G382" s="434"/>
    </row>
    <row r="383" spans="2:7" ht="15" customHeight="1" thickBot="1">
      <c r="B383" s="435"/>
      <c r="C383" s="436"/>
      <c r="D383" s="436"/>
      <c r="E383" s="436"/>
      <c r="F383" s="436"/>
      <c r="G383" s="437"/>
    </row>
    <row r="384" spans="2:7">
      <c r="B384" s="428" t="s">
        <v>8</v>
      </c>
      <c r="C384" s="429"/>
      <c r="D384" s="428" t="s">
        <v>9</v>
      </c>
      <c r="E384" s="430"/>
      <c r="F384" s="430"/>
      <c r="G384" s="429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7" t="str">
        <f>AÑO!A40</f>
        <v>Financieros</v>
      </c>
      <c r="C402" s="416"/>
      <c r="D402" s="416"/>
      <c r="E402" s="416"/>
      <c r="F402" s="416"/>
      <c r="G402" s="417"/>
    </row>
    <row r="403" spans="2:7" ht="15" customHeight="1" thickBot="1">
      <c r="B403" s="418"/>
      <c r="C403" s="419"/>
      <c r="D403" s="419"/>
      <c r="E403" s="419"/>
      <c r="F403" s="419"/>
      <c r="G403" s="420"/>
    </row>
    <row r="404" spans="2:7">
      <c r="B404" s="428" t="s">
        <v>8</v>
      </c>
      <c r="C404" s="429"/>
      <c r="D404" s="428" t="s">
        <v>9</v>
      </c>
      <c r="E404" s="430"/>
      <c r="F404" s="430"/>
      <c r="G404" s="429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7" t="str">
        <f>AÑO!A41</f>
        <v>Ahorros Colchón</v>
      </c>
      <c r="C422" s="433"/>
      <c r="D422" s="433"/>
      <c r="E422" s="433"/>
      <c r="F422" s="433"/>
      <c r="G422" s="434"/>
    </row>
    <row r="423" spans="1:7" ht="15" customHeight="1" thickBot="1">
      <c r="B423" s="435"/>
      <c r="C423" s="436"/>
      <c r="D423" s="436"/>
      <c r="E423" s="436"/>
      <c r="F423" s="436"/>
      <c r="G423" s="437"/>
    </row>
    <row r="424" spans="1:7">
      <c r="B424" s="428" t="s">
        <v>8</v>
      </c>
      <c r="C424" s="429"/>
      <c r="D424" s="428" t="s">
        <v>9</v>
      </c>
      <c r="E424" s="430"/>
      <c r="F424" s="430"/>
      <c r="G424" s="429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7" t="str">
        <f>AÑO!A42</f>
        <v>Dinero Bloqueado</v>
      </c>
      <c r="C442" s="433"/>
      <c r="D442" s="433"/>
      <c r="E442" s="433"/>
      <c r="F442" s="433"/>
      <c r="G442" s="434"/>
    </row>
    <row r="443" spans="2:7" ht="15" customHeight="1" thickBot="1">
      <c r="B443" s="435"/>
      <c r="C443" s="436"/>
      <c r="D443" s="436"/>
      <c r="E443" s="436"/>
      <c r="F443" s="436"/>
      <c r="G443" s="437"/>
    </row>
    <row r="444" spans="2:7">
      <c r="B444" s="428" t="s">
        <v>8</v>
      </c>
      <c r="C444" s="429"/>
      <c r="D444" s="430" t="s">
        <v>9</v>
      </c>
      <c r="E444" s="430"/>
      <c r="F444" s="430"/>
      <c r="G444" s="429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7" t="str">
        <f>AÑO!A43</f>
        <v>Cartama Finanazas</v>
      </c>
      <c r="C462" s="433"/>
      <c r="D462" s="433"/>
      <c r="E462" s="433"/>
      <c r="F462" s="433"/>
      <c r="G462" s="434"/>
    </row>
    <row r="463" spans="2:7" ht="15" customHeight="1" thickBot="1">
      <c r="B463" s="435"/>
      <c r="C463" s="436"/>
      <c r="D463" s="436"/>
      <c r="E463" s="436"/>
      <c r="F463" s="436"/>
      <c r="G463" s="437"/>
    </row>
    <row r="464" spans="2:7">
      <c r="B464" s="428" t="s">
        <v>8</v>
      </c>
      <c r="C464" s="429"/>
      <c r="D464" s="430" t="s">
        <v>9</v>
      </c>
      <c r="E464" s="430"/>
      <c r="F464" s="430"/>
      <c r="G464" s="429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7" t="str">
        <f>AÑO!A44</f>
        <v>NULO</v>
      </c>
      <c r="C482" s="433"/>
      <c r="D482" s="433"/>
      <c r="E482" s="433"/>
      <c r="F482" s="433"/>
      <c r="G482" s="434"/>
    </row>
    <row r="483" spans="2:7" ht="15" customHeight="1" thickBot="1">
      <c r="B483" s="435"/>
      <c r="C483" s="436"/>
      <c r="D483" s="436"/>
      <c r="E483" s="436"/>
      <c r="F483" s="436"/>
      <c r="G483" s="437"/>
    </row>
    <row r="484" spans="2:7">
      <c r="B484" s="428" t="s">
        <v>8</v>
      </c>
      <c r="C484" s="429"/>
      <c r="D484" s="430" t="s">
        <v>9</v>
      </c>
      <c r="E484" s="430"/>
      <c r="F484" s="430"/>
      <c r="G484" s="429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7" t="str">
        <f>AÑO!A45</f>
        <v>OTROS</v>
      </c>
      <c r="C502" s="433"/>
      <c r="D502" s="433"/>
      <c r="E502" s="433"/>
      <c r="F502" s="433"/>
      <c r="G502" s="434"/>
    </row>
    <row r="503" spans="2:7" ht="15" customHeight="1" thickBot="1">
      <c r="B503" s="435"/>
      <c r="C503" s="436"/>
      <c r="D503" s="436"/>
      <c r="E503" s="436"/>
      <c r="F503" s="436"/>
      <c r="G503" s="437"/>
    </row>
    <row r="504" spans="2:7">
      <c r="B504" s="428" t="s">
        <v>8</v>
      </c>
      <c r="C504" s="429"/>
      <c r="D504" s="428" t="s">
        <v>9</v>
      </c>
      <c r="E504" s="430"/>
      <c r="F504" s="430"/>
      <c r="G504" s="429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2019-10-23T15:27:56Z</dcterms:modified>
</cp:coreProperties>
</file>