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A1ED7526-1EE1-4A02-AC40-F5F79E3531DD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9" l="1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<sst xmlns="http://schemas.openxmlformats.org/spreadsheetml/2006/main" count="5148" uniqueCount="541">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</sst>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34" zoomScaleNormal="100" workbookViewId="0">
      <pane xSplit="1" topLeftCell="AD1" activePane="topRight" state="frozen"/>
      <selection pane="topRight" activeCell="AJ51" sqref="AJ5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5" t="s">
        <v>0</v>
      </c>
      <c r="D4" s="216"/>
      <c r="E4" s="216"/>
      <c r="F4" s="217"/>
      <c r="G4" s="215" t="s">
        <v>1</v>
      </c>
      <c r="H4" s="216"/>
      <c r="I4" s="216"/>
      <c r="J4" s="217"/>
      <c r="K4" s="215" t="s">
        <v>2</v>
      </c>
      <c r="L4" s="216"/>
      <c r="M4" s="216"/>
      <c r="N4" s="217"/>
      <c r="O4" s="215" t="s">
        <v>3</v>
      </c>
      <c r="P4" s="216"/>
      <c r="Q4" s="216"/>
      <c r="R4" s="217"/>
      <c r="S4" s="215" t="s">
        <v>99</v>
      </c>
      <c r="T4" s="216"/>
      <c r="U4" s="216"/>
      <c r="V4" s="217"/>
      <c r="W4" s="215" t="s">
        <v>95</v>
      </c>
      <c r="X4" s="216"/>
      <c r="Y4" s="216"/>
      <c r="Z4" s="217"/>
      <c r="AA4" s="215" t="s">
        <v>103</v>
      </c>
      <c r="AB4" s="216"/>
      <c r="AC4" s="216"/>
      <c r="AD4" s="217"/>
      <c r="AE4" s="215" t="s">
        <v>104</v>
      </c>
      <c r="AF4" s="216"/>
      <c r="AG4" s="216"/>
      <c r="AH4" s="217"/>
      <c r="AI4" s="215" t="s">
        <v>107</v>
      </c>
      <c r="AJ4" s="216"/>
      <c r="AK4" s="216"/>
      <c r="AL4" s="217"/>
      <c r="AM4" s="215" t="s">
        <v>109</v>
      </c>
      <c r="AN4" s="216"/>
      <c r="AO4" s="216"/>
      <c r="AP4" s="217"/>
      <c r="AQ4" s="215" t="s">
        <v>113</v>
      </c>
      <c r="AR4" s="216"/>
      <c r="AS4" s="216"/>
      <c r="AT4" s="217"/>
      <c r="AU4" s="215" t="s">
        <v>118</v>
      </c>
      <c r="AV4" s="216"/>
      <c r="AW4" s="216"/>
      <c r="AX4" s="217"/>
      <c r="AY4" s="1"/>
      <c r="AZ4" s="1"/>
      <c r="BA4" s="1"/>
      <c r="BB4" s="1"/>
    </row>
    <row r="5" spans="1:54" ht="16.5" thickBot="1">
      <c r="A5" s="6" t="s">
        <v>5</v>
      </c>
      <c r="B5" s="78"/>
      <c r="C5" s="218">
        <f>'01'!K19</f>
        <v>17336.68</v>
      </c>
      <c r="D5" s="219"/>
      <c r="E5" s="219"/>
      <c r="F5" s="220"/>
      <c r="G5" s="218">
        <f>'02'!K19</f>
        <v>20217</v>
      </c>
      <c r="H5" s="219"/>
      <c r="I5" s="219"/>
      <c r="J5" s="220"/>
      <c r="K5" s="227">
        <f>'03'!K19</f>
        <v>21214.57</v>
      </c>
      <c r="L5" s="219"/>
      <c r="M5" s="219"/>
      <c r="N5" s="220"/>
      <c r="O5" s="227">
        <f>'04'!K19</f>
        <v>20719.909999999996</v>
      </c>
      <c r="P5" s="219"/>
      <c r="Q5" s="219"/>
      <c r="R5" s="220"/>
      <c r="S5" s="227">
        <f>'05'!K19</f>
        <v>22905.86</v>
      </c>
      <c r="T5" s="219"/>
      <c r="U5" s="219"/>
      <c r="V5" s="220"/>
      <c r="W5" s="227">
        <f>'06'!K19</f>
        <v>23622.14</v>
      </c>
      <c r="X5" s="219"/>
      <c r="Y5" s="219"/>
      <c r="Z5" s="220"/>
      <c r="AA5" s="227">
        <f>'07'!K19</f>
        <v>24911.559999999998</v>
      </c>
      <c r="AB5" s="219"/>
      <c r="AC5" s="219"/>
      <c r="AD5" s="220"/>
      <c r="AE5" s="227">
        <f>'08'!K19</f>
        <v>24488.75</v>
      </c>
      <c r="AF5" s="219"/>
      <c r="AG5" s="219"/>
      <c r="AH5" s="220"/>
      <c r="AI5" s="227">
        <f>'09'!K19</f>
        <v>14551.890000000001</v>
      </c>
      <c r="AJ5" s="219"/>
      <c r="AK5" s="219"/>
      <c r="AL5" s="220"/>
      <c r="AM5" s="227">
        <f>'10'!K19</f>
        <v>14551.890000000001</v>
      </c>
      <c r="AN5" s="219"/>
      <c r="AO5" s="219"/>
      <c r="AP5" s="220"/>
      <c r="AQ5" s="227">
        <f>'11'!K19</f>
        <v>13551.890000000001</v>
      </c>
      <c r="AR5" s="219"/>
      <c r="AS5" s="219"/>
      <c r="AT5" s="220"/>
      <c r="AU5" s="227">
        <f>'12'!K19</f>
        <v>13551.890000000001</v>
      </c>
      <c r="AV5" s="219"/>
      <c r="AW5" s="219"/>
      <c r="AX5" s="220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1" t="s">
        <v>7</v>
      </c>
      <c r="D7" s="222"/>
      <c r="E7" s="222"/>
      <c r="F7" s="223"/>
      <c r="G7" s="221" t="s">
        <v>7</v>
      </c>
      <c r="H7" s="222"/>
      <c r="I7" s="222"/>
      <c r="J7" s="223"/>
      <c r="K7" s="221" t="s">
        <v>7</v>
      </c>
      <c r="L7" s="222"/>
      <c r="M7" s="222"/>
      <c r="N7" s="223"/>
      <c r="O7" s="221" t="s">
        <v>7</v>
      </c>
      <c r="P7" s="222"/>
      <c r="Q7" s="222"/>
      <c r="R7" s="223"/>
      <c r="S7" s="221" t="s">
        <v>7</v>
      </c>
      <c r="T7" s="222"/>
      <c r="U7" s="222"/>
      <c r="V7" s="223"/>
      <c r="W7" s="221" t="s">
        <v>7</v>
      </c>
      <c r="X7" s="222"/>
      <c r="Y7" s="222"/>
      <c r="Z7" s="223"/>
      <c r="AA7" s="221" t="s">
        <v>7</v>
      </c>
      <c r="AB7" s="222"/>
      <c r="AC7" s="222"/>
      <c r="AD7" s="223"/>
      <c r="AE7" s="221" t="s">
        <v>7</v>
      </c>
      <c r="AF7" s="222"/>
      <c r="AG7" s="222"/>
      <c r="AH7" s="223"/>
      <c r="AI7" s="221" t="s">
        <v>7</v>
      </c>
      <c r="AJ7" s="222"/>
      <c r="AK7" s="222"/>
      <c r="AL7" s="223"/>
      <c r="AM7" s="221" t="s">
        <v>7</v>
      </c>
      <c r="AN7" s="222"/>
      <c r="AO7" s="222"/>
      <c r="AP7" s="223"/>
      <c r="AQ7" s="221" t="s">
        <v>7</v>
      </c>
      <c r="AR7" s="222"/>
      <c r="AS7" s="222"/>
      <c r="AT7" s="223"/>
      <c r="AU7" s="221" t="s">
        <v>7</v>
      </c>
      <c r="AV7" s="222"/>
      <c r="AW7" s="222"/>
      <c r="AX7" s="22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4">
        <v>2317.46</v>
      </c>
      <c r="D8" s="225"/>
      <c r="E8" s="225"/>
      <c r="F8" s="226"/>
      <c r="G8" s="224">
        <f>2317.46+1638.24</f>
        <v>3955.7</v>
      </c>
      <c r="H8" s="225"/>
      <c r="I8" s="225"/>
      <c r="J8" s="226"/>
      <c r="K8" s="224">
        <v>2320.84</v>
      </c>
      <c r="L8" s="225"/>
      <c r="M8" s="225"/>
      <c r="N8" s="226"/>
      <c r="O8" s="224">
        <v>2325.9</v>
      </c>
      <c r="P8" s="225"/>
      <c r="Q8" s="225"/>
      <c r="R8" s="226"/>
      <c r="S8" s="224">
        <v>2321.1799999999998</v>
      </c>
      <c r="T8" s="225"/>
      <c r="U8" s="225"/>
      <c r="V8" s="226"/>
      <c r="W8" s="224">
        <v>3973.79</v>
      </c>
      <c r="X8" s="225"/>
      <c r="Y8" s="225"/>
      <c r="Z8" s="226"/>
      <c r="AA8" s="224">
        <v>2328.91</v>
      </c>
      <c r="AB8" s="225"/>
      <c r="AC8" s="225"/>
      <c r="AD8" s="226"/>
      <c r="AE8" s="224"/>
      <c r="AF8" s="225"/>
      <c r="AG8" s="225"/>
      <c r="AH8" s="226"/>
      <c r="AI8" s="224"/>
      <c r="AJ8" s="225"/>
      <c r="AK8" s="225"/>
      <c r="AL8" s="226"/>
      <c r="AM8" s="224"/>
      <c r="AN8" s="225"/>
      <c r="AO8" s="225"/>
      <c r="AP8" s="226"/>
      <c r="AQ8" s="224"/>
      <c r="AR8" s="225"/>
      <c r="AS8" s="225"/>
      <c r="AT8" s="226"/>
      <c r="AU8" s="224"/>
      <c r="AV8" s="225"/>
      <c r="AW8" s="225"/>
      <c r="AX8" s="226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2">
        <f>72.66+314.12</f>
        <v>386.78</v>
      </c>
      <c r="D9" s="213"/>
      <c r="E9" s="213"/>
      <c r="F9" s="214"/>
      <c r="G9" s="212">
        <f>176.46</f>
        <v>176.46</v>
      </c>
      <c r="H9" s="213"/>
      <c r="I9" s="213"/>
      <c r="J9" s="214"/>
      <c r="K9" s="212">
        <f>259.63+176.46</f>
        <v>436.09000000000003</v>
      </c>
      <c r="L9" s="213"/>
      <c r="M9" s="213"/>
      <c r="N9" s="214"/>
      <c r="O9" s="212">
        <f>249.22+197.22+325.64</f>
        <v>772.07999999999993</v>
      </c>
      <c r="P9" s="213"/>
      <c r="Q9" s="213"/>
      <c r="R9" s="214"/>
      <c r="S9" s="212">
        <f>155.7+267.29</f>
        <v>422.99</v>
      </c>
      <c r="T9" s="213"/>
      <c r="U9" s="213"/>
      <c r="V9" s="214"/>
      <c r="W9" s="212">
        <f>197.22</f>
        <v>197.22</v>
      </c>
      <c r="X9" s="213"/>
      <c r="Y9" s="213"/>
      <c r="Z9" s="214"/>
      <c r="AA9" s="212">
        <f>786.42+134.94+83.04</f>
        <v>1004.3999999999999</v>
      </c>
      <c r="AB9" s="213"/>
      <c r="AC9" s="213"/>
      <c r="AD9" s="214"/>
      <c r="AE9" s="212">
        <f>269.88</f>
        <v>269.88</v>
      </c>
      <c r="AF9" s="213"/>
      <c r="AG9" s="213"/>
      <c r="AH9" s="214"/>
      <c r="AI9" s="212"/>
      <c r="AJ9" s="213"/>
      <c r="AK9" s="213"/>
      <c r="AL9" s="214"/>
      <c r="AM9" s="212"/>
      <c r="AN9" s="213"/>
      <c r="AO9" s="213"/>
      <c r="AP9" s="214"/>
      <c r="AQ9" s="212"/>
      <c r="AR9" s="213"/>
      <c r="AS9" s="213"/>
      <c r="AT9" s="214"/>
      <c r="AU9" s="212"/>
      <c r="AV9" s="213"/>
      <c r="AW9" s="213"/>
      <c r="AX9" s="214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9">
        <v>90.43</v>
      </c>
      <c r="D10" s="210"/>
      <c r="E10" s="210"/>
      <c r="F10" s="211"/>
      <c r="G10" s="209">
        <f>1117.39-956.06</f>
        <v>161.33000000000015</v>
      </c>
      <c r="H10" s="210"/>
      <c r="I10" s="210"/>
      <c r="J10" s="211"/>
      <c r="K10" s="209">
        <v>285.58</v>
      </c>
      <c r="L10" s="210"/>
      <c r="M10" s="210"/>
      <c r="N10" s="211"/>
      <c r="O10" s="209">
        <f>275.29+42.8</f>
        <v>318.09000000000003</v>
      </c>
      <c r="P10" s="210"/>
      <c r="Q10" s="210"/>
      <c r="R10" s="211"/>
      <c r="S10" s="209">
        <f>421.56</f>
        <v>421.56</v>
      </c>
      <c r="T10" s="210"/>
      <c r="U10" s="210"/>
      <c r="V10" s="211"/>
      <c r="W10" s="209">
        <v>341.74</v>
      </c>
      <c r="X10" s="210"/>
      <c r="Y10" s="210"/>
      <c r="Z10" s="211"/>
      <c r="AA10" s="209">
        <v>234.71</v>
      </c>
      <c r="AB10" s="210"/>
      <c r="AC10" s="210"/>
      <c r="AD10" s="211"/>
      <c r="AE10" s="209"/>
      <c r="AF10" s="210"/>
      <c r="AG10" s="210"/>
      <c r="AH10" s="211"/>
      <c r="AI10" s="209"/>
      <c r="AJ10" s="210"/>
      <c r="AK10" s="210"/>
      <c r="AL10" s="211"/>
      <c r="AM10" s="209"/>
      <c r="AN10" s="210"/>
      <c r="AO10" s="210"/>
      <c r="AP10" s="211"/>
      <c r="AQ10" s="209"/>
      <c r="AR10" s="210"/>
      <c r="AS10" s="210"/>
      <c r="AT10" s="211"/>
      <c r="AU10" s="209"/>
      <c r="AV10" s="210"/>
      <c r="AW10" s="210"/>
      <c r="AX10" s="211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2">
        <f>1.01+0.04+2831.41+0.05</f>
        <v>2832.51</v>
      </c>
      <c r="D11" s="213"/>
      <c r="E11" s="213"/>
      <c r="F11" s="214"/>
      <c r="G11" s="212"/>
      <c r="H11" s="213"/>
      <c r="I11" s="213"/>
      <c r="J11" s="214"/>
      <c r="K11" s="212"/>
      <c r="L11" s="213"/>
      <c r="M11" s="213"/>
      <c r="N11" s="214"/>
      <c r="O11" s="212">
        <v>0.03</v>
      </c>
      <c r="P11" s="213"/>
      <c r="Q11" s="213"/>
      <c r="R11" s="214"/>
      <c r="S11" s="212">
        <f>38.64</f>
        <v>38.64</v>
      </c>
      <c r="T11" s="213"/>
      <c r="U11" s="213"/>
      <c r="V11" s="214"/>
      <c r="W11" s="212"/>
      <c r="X11" s="213"/>
      <c r="Y11" s="213"/>
      <c r="Z11" s="214"/>
      <c r="AA11" s="212">
        <f>0.02</f>
        <v>0.02</v>
      </c>
      <c r="AB11" s="213"/>
      <c r="AC11" s="213"/>
      <c r="AD11" s="214"/>
      <c r="AE11" s="212"/>
      <c r="AF11" s="213"/>
      <c r="AG11" s="213"/>
      <c r="AH11" s="214"/>
      <c r="AI11" s="212"/>
      <c r="AJ11" s="213"/>
      <c r="AK11" s="213"/>
      <c r="AL11" s="214"/>
      <c r="AM11" s="212"/>
      <c r="AN11" s="213"/>
      <c r="AO11" s="213"/>
      <c r="AP11" s="214"/>
      <c r="AQ11" s="212"/>
      <c r="AR11" s="213"/>
      <c r="AS11" s="213"/>
      <c r="AT11" s="214"/>
      <c r="AU11" s="212"/>
      <c r="AV11" s="213"/>
      <c r="AW11" s="213"/>
      <c r="AX11" s="214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9">
        <f>700+50+449</f>
        <v>1199</v>
      </c>
      <c r="D12" s="210"/>
      <c r="E12" s="210"/>
      <c r="F12" s="211"/>
      <c r="G12" s="209">
        <v>447.43</v>
      </c>
      <c r="H12" s="210"/>
      <c r="I12" s="210"/>
      <c r="J12" s="211"/>
      <c r="K12" s="209"/>
      <c r="L12" s="210"/>
      <c r="M12" s="210"/>
      <c r="N12" s="211"/>
      <c r="O12" s="209">
        <f>80.1</f>
        <v>80.099999999999994</v>
      </c>
      <c r="P12" s="210"/>
      <c r="Q12" s="210"/>
      <c r="R12" s="211"/>
      <c r="S12" s="209"/>
      <c r="T12" s="210"/>
      <c r="U12" s="210"/>
      <c r="V12" s="211"/>
      <c r="W12" s="209">
        <f>200</f>
        <v>200</v>
      </c>
      <c r="X12" s="210"/>
      <c r="Y12" s="210"/>
      <c r="Z12" s="211"/>
      <c r="AA12" s="209">
        <f>106.3</f>
        <v>106.3</v>
      </c>
      <c r="AB12" s="210"/>
      <c r="AC12" s="210"/>
      <c r="AD12" s="211"/>
      <c r="AE12" s="209"/>
      <c r="AF12" s="210"/>
      <c r="AG12" s="210"/>
      <c r="AH12" s="211"/>
      <c r="AI12" s="209"/>
      <c r="AJ12" s="210"/>
      <c r="AK12" s="210"/>
      <c r="AL12" s="211"/>
      <c r="AM12" s="209"/>
      <c r="AN12" s="210"/>
      <c r="AO12" s="210"/>
      <c r="AP12" s="211"/>
      <c r="AQ12" s="209"/>
      <c r="AR12" s="210"/>
      <c r="AS12" s="210"/>
      <c r="AT12" s="211"/>
      <c r="AU12" s="209"/>
      <c r="AV12" s="210"/>
      <c r="AW12" s="210"/>
      <c r="AX12" s="211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2">
        <f>93.93</f>
        <v>93.93</v>
      </c>
      <c r="D13" s="213"/>
      <c r="E13" s="213"/>
      <c r="F13" s="214"/>
      <c r="G13" s="212">
        <f>93.93</f>
        <v>93.93</v>
      </c>
      <c r="H13" s="213"/>
      <c r="I13" s="213"/>
      <c r="J13" s="214"/>
      <c r="K13" s="212">
        <f>93.93</f>
        <v>93.93</v>
      </c>
      <c r="L13" s="213"/>
      <c r="M13" s="213"/>
      <c r="N13" s="214"/>
      <c r="O13" s="212">
        <f>93.93+2290.23</f>
        <v>2384.16</v>
      </c>
      <c r="P13" s="213"/>
      <c r="Q13" s="213"/>
      <c r="R13" s="214"/>
      <c r="S13" s="212">
        <f>93.93</f>
        <v>93.93</v>
      </c>
      <c r="T13" s="213"/>
      <c r="U13" s="213"/>
      <c r="V13" s="214"/>
      <c r="W13" s="212">
        <f>93.93</f>
        <v>93.93</v>
      </c>
      <c r="X13" s="213"/>
      <c r="Y13" s="213"/>
      <c r="Z13" s="214"/>
      <c r="AA13" s="212">
        <f>93.93</f>
        <v>93.93</v>
      </c>
      <c r="AB13" s="213"/>
      <c r="AC13" s="213"/>
      <c r="AD13" s="214"/>
      <c r="AE13" s="212">
        <v>114.74</v>
      </c>
      <c r="AF13" s="213"/>
      <c r="AG13" s="213"/>
      <c r="AH13" s="214"/>
      <c r="AI13" s="212"/>
      <c r="AJ13" s="213"/>
      <c r="AK13" s="213"/>
      <c r="AL13" s="214"/>
      <c r="AM13" s="212"/>
      <c r="AN13" s="213"/>
      <c r="AO13" s="213"/>
      <c r="AP13" s="214"/>
      <c r="AQ13" s="212"/>
      <c r="AR13" s="213"/>
      <c r="AS13" s="213"/>
      <c r="AT13" s="214"/>
      <c r="AU13" s="212"/>
      <c r="AV13" s="213"/>
      <c r="AW13" s="213"/>
      <c r="AX13" s="214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9"/>
      <c r="D14" s="210"/>
      <c r="E14" s="210"/>
      <c r="F14" s="211"/>
      <c r="G14" s="209">
        <f>27.27+13.86+8.75+34.09</f>
        <v>83.97</v>
      </c>
      <c r="H14" s="210"/>
      <c r="I14" s="210"/>
      <c r="J14" s="211"/>
      <c r="K14" s="209"/>
      <c r="L14" s="210"/>
      <c r="M14" s="210"/>
      <c r="N14" s="211"/>
      <c r="O14" s="209">
        <f>25+27.27+16.9+26.12</f>
        <v>95.289999999999992</v>
      </c>
      <c r="P14" s="210"/>
      <c r="Q14" s="210"/>
      <c r="R14" s="211"/>
      <c r="S14" s="209">
        <f>22.09+27.27</f>
        <v>49.36</v>
      </c>
      <c r="T14" s="210"/>
      <c r="U14" s="210"/>
      <c r="V14" s="211"/>
      <c r="W14" s="209">
        <f>8.75+27.27+27.27</f>
        <v>63.289999999999992</v>
      </c>
      <c r="X14" s="210"/>
      <c r="Y14" s="210"/>
      <c r="Z14" s="211"/>
      <c r="AA14" s="209"/>
      <c r="AB14" s="210"/>
      <c r="AC14" s="210"/>
      <c r="AD14" s="211"/>
      <c r="AE14" s="209"/>
      <c r="AF14" s="210"/>
      <c r="AG14" s="210"/>
      <c r="AH14" s="211"/>
      <c r="AI14" s="209"/>
      <c r="AJ14" s="210"/>
      <c r="AK14" s="210"/>
      <c r="AL14" s="211"/>
      <c r="AM14" s="209"/>
      <c r="AN14" s="210"/>
      <c r="AO14" s="210"/>
      <c r="AP14" s="211"/>
      <c r="AQ14" s="209"/>
      <c r="AR14" s="210"/>
      <c r="AS14" s="210"/>
      <c r="AT14" s="211"/>
      <c r="AU14" s="209"/>
      <c r="AV14" s="210"/>
      <c r="AW14" s="210"/>
      <c r="AX14" s="211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2">
        <v>648.49</v>
      </c>
      <c r="D15" s="213"/>
      <c r="E15" s="213"/>
      <c r="F15" s="214"/>
      <c r="G15" s="212">
        <v>550</v>
      </c>
      <c r="H15" s="213"/>
      <c r="I15" s="213"/>
      <c r="J15" s="214"/>
      <c r="K15" s="212">
        <v>690</v>
      </c>
      <c r="L15" s="213"/>
      <c r="M15" s="213"/>
      <c r="N15" s="214"/>
      <c r="O15" s="212">
        <f>550</f>
        <v>550</v>
      </c>
      <c r="P15" s="213"/>
      <c r="Q15" s="213"/>
      <c r="R15" s="214"/>
      <c r="S15" s="212">
        <v>650.01</v>
      </c>
      <c r="T15" s="213"/>
      <c r="U15" s="213"/>
      <c r="V15" s="214"/>
      <c r="W15" s="212">
        <v>568.34</v>
      </c>
      <c r="X15" s="213"/>
      <c r="Y15" s="213"/>
      <c r="Z15" s="214"/>
      <c r="AA15" s="212">
        <v>632.86</v>
      </c>
      <c r="AB15" s="213"/>
      <c r="AC15" s="213"/>
      <c r="AD15" s="214"/>
      <c r="AE15" s="212">
        <v>550</v>
      </c>
      <c r="AF15" s="213"/>
      <c r="AG15" s="213"/>
      <c r="AH15" s="214"/>
      <c r="AI15" s="212"/>
      <c r="AJ15" s="213"/>
      <c r="AK15" s="213"/>
      <c r="AL15" s="214"/>
      <c r="AM15" s="212"/>
      <c r="AN15" s="213"/>
      <c r="AO15" s="213"/>
      <c r="AP15" s="214"/>
      <c r="AQ15" s="212"/>
      <c r="AR15" s="213"/>
      <c r="AS15" s="213"/>
      <c r="AT15" s="214"/>
      <c r="AU15" s="212"/>
      <c r="AV15" s="213"/>
      <c r="AW15" s="213"/>
      <c r="AX15" s="214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8">
        <f>28.78+200.62+1566.27</f>
        <v>1795.67</v>
      </c>
      <c r="D16" s="229"/>
      <c r="E16" s="229"/>
      <c r="F16" s="230"/>
      <c r="G16" s="228">
        <f>47.52</f>
        <v>47.52</v>
      </c>
      <c r="H16" s="229"/>
      <c r="I16" s="229"/>
      <c r="J16" s="230"/>
      <c r="K16" s="228"/>
      <c r="L16" s="229"/>
      <c r="M16" s="229"/>
      <c r="N16" s="230"/>
      <c r="O16" s="228"/>
      <c r="P16" s="229"/>
      <c r="Q16" s="229"/>
      <c r="R16" s="230"/>
      <c r="S16" s="228"/>
      <c r="T16" s="229"/>
      <c r="U16" s="229"/>
      <c r="V16" s="230"/>
      <c r="W16" s="228"/>
      <c r="X16" s="229"/>
      <c r="Y16" s="229"/>
      <c r="Z16" s="230"/>
      <c r="AA16" s="228">
        <v>26.77</v>
      </c>
      <c r="AB16" s="229"/>
      <c r="AC16" s="229"/>
      <c r="AD16" s="230"/>
      <c r="AE16" s="228">
        <v>49</v>
      </c>
      <c r="AF16" s="229"/>
      <c r="AG16" s="229"/>
      <c r="AH16" s="230"/>
      <c r="AI16" s="228"/>
      <c r="AJ16" s="229"/>
      <c r="AK16" s="229"/>
      <c r="AL16" s="230"/>
      <c r="AM16" s="228"/>
      <c r="AN16" s="229"/>
      <c r="AO16" s="229"/>
      <c r="AP16" s="230"/>
      <c r="AQ16" s="228"/>
      <c r="AR16" s="229"/>
      <c r="AS16" s="229"/>
      <c r="AT16" s="230"/>
      <c r="AU16" s="228"/>
      <c r="AV16" s="229"/>
      <c r="AW16" s="229"/>
      <c r="AX16" s="230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1">
        <f>SUM(C8:C16)</f>
        <v>9364.27</v>
      </c>
      <c r="D17" s="232"/>
      <c r="E17" s="232"/>
      <c r="F17" s="233"/>
      <c r="G17" s="231">
        <f>SUM(G8:G16)</f>
        <v>5516.3400000000011</v>
      </c>
      <c r="H17" s="232"/>
      <c r="I17" s="232"/>
      <c r="J17" s="233"/>
      <c r="K17" s="231">
        <f>SUM(K8:K16)</f>
        <v>3826.44</v>
      </c>
      <c r="L17" s="232"/>
      <c r="M17" s="232"/>
      <c r="N17" s="233"/>
      <c r="O17" s="231">
        <f>SUM(O8:O16)</f>
        <v>6525.6500000000005</v>
      </c>
      <c r="P17" s="232"/>
      <c r="Q17" s="232"/>
      <c r="R17" s="233"/>
      <c r="S17" s="231">
        <f>SUM(S8:S16)</f>
        <v>3997.67</v>
      </c>
      <c r="T17" s="232"/>
      <c r="U17" s="232"/>
      <c r="V17" s="233"/>
      <c r="W17" s="231">
        <f>SUM(W8:W16)</f>
        <v>5438.31</v>
      </c>
      <c r="X17" s="232"/>
      <c r="Y17" s="232"/>
      <c r="Z17" s="233"/>
      <c r="AA17" s="231">
        <f>SUM(AA8:AA16)</f>
        <v>4427.8999999999996</v>
      </c>
      <c r="AB17" s="232"/>
      <c r="AC17" s="232"/>
      <c r="AD17" s="233"/>
      <c r="AE17" s="231">
        <f>SUM(AE8:AE16)</f>
        <v>983.62</v>
      </c>
      <c r="AF17" s="232"/>
      <c r="AG17" s="232"/>
      <c r="AH17" s="233"/>
      <c r="AI17" s="231">
        <f>SUM(AI8:AI16)</f>
        <v>0</v>
      </c>
      <c r="AJ17" s="232"/>
      <c r="AK17" s="232"/>
      <c r="AL17" s="233"/>
      <c r="AM17" s="231">
        <f>SUM(AM8:AM16)</f>
        <v>0</v>
      </c>
      <c r="AN17" s="232"/>
      <c r="AO17" s="232"/>
      <c r="AP17" s="233"/>
      <c r="AQ17" s="231">
        <f>SUM(AQ8:AQ16)</f>
        <v>0</v>
      </c>
      <c r="AR17" s="232"/>
      <c r="AS17" s="232"/>
      <c r="AT17" s="233"/>
      <c r="AU17" s="231">
        <f>SUM(AU8:AU16)</f>
        <v>0</v>
      </c>
      <c r="AV17" s="232"/>
      <c r="AW17" s="232"/>
      <c r="AX17" s="233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 t="s">
        <v>480</v>
      </c>
      <c r="AV18" s="234"/>
      <c r="AW18" s="234"/>
      <c r="AX18" s="234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30.24</v>
      </c>
      <c r="AH20" s="83">
        <f t="shared" ref="AH20:AH45" si="8">AD20+AF20-AG20</f>
        <v>605.64999999999986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1139.6499999999999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1673.6499999999999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1942.6499999999999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2211.6499999999996</v>
      </c>
      <c r="AY20" s="40">
        <f t="shared" ref="AY20:AY27" si="13">E20+I20+M20+Q20+U20+Y20+AC20+AG20+AK20+AO20+AS20+AW20</f>
        <v>5522.5099999999993</v>
      </c>
      <c r="AZ20" s="41">
        <f t="shared" ref="AZ20:AZ45" si="14">AY20/AY$46</f>
        <v>0.16909295610082301</v>
      </c>
      <c r="BA20" s="42">
        <f>_xlfn.RANK.EQ(AZ20,$AZ$20:$AZ$45,)</f>
        <v>2</v>
      </c>
      <c r="BB20" s="42">
        <f t="shared" ref="BB20:BB45" ca="1" si="15">AY20/BB$17</f>
        <v>690.31374999999991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0.23554782191214166</v>
      </c>
      <c r="BA21" s="42">
        <f t="shared" ref="BA21:BA45" si="16">_xlfn.RANK.EQ(AZ21,$AZ$20:$AZ$45,)</f>
        <v>1</v>
      </c>
      <c r="BB21" s="42">
        <f t="shared" ca="1" si="15"/>
        <v>961.61250000000007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161.96</v>
      </c>
      <c r="AH22" s="85">
        <f t="shared" si="8"/>
        <v>349.7700000000001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809.7700000000001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1309.77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1819.77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2329.77</v>
      </c>
      <c r="AY22" s="43">
        <f t="shared" si="13"/>
        <v>3259.69</v>
      </c>
      <c r="AZ22" s="41">
        <f t="shared" si="14"/>
        <v>9.9807989133979258E-2</v>
      </c>
      <c r="BA22" s="42">
        <f t="shared" si="16"/>
        <v>3</v>
      </c>
      <c r="BB22" s="42">
        <f t="shared" ca="1" si="15"/>
        <v>407.46125000000001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40.75</v>
      </c>
      <c r="AH23" s="84">
        <f t="shared" si="8"/>
        <v>159.01000000000002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309.01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459.01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609.01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759.01</v>
      </c>
      <c r="AY23" s="45">
        <f t="shared" si="13"/>
        <v>1434.09</v>
      </c>
      <c r="AZ23" s="41">
        <f t="shared" si="14"/>
        <v>4.3910199784994372E-2</v>
      </c>
      <c r="BA23" s="42">
        <f t="shared" si="16"/>
        <v>7</v>
      </c>
      <c r="BB23" s="42">
        <f t="shared" ca="1" si="15"/>
        <v>179.26124999999999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52.69</v>
      </c>
      <c r="AH24" s="85">
        <f t="shared" si="8"/>
        <v>135.38000000000002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285.38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435.38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585.38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735.38</v>
      </c>
      <c r="AY24" s="43">
        <f t="shared" si="13"/>
        <v>1129.18</v>
      </c>
      <c r="AZ24" s="41">
        <f t="shared" si="14"/>
        <v>3.4574203427413866E-2</v>
      </c>
      <c r="BA24" s="42">
        <f t="shared" si="16"/>
        <v>9</v>
      </c>
      <c r="BB24" s="42">
        <f t="shared" ca="1" si="15"/>
        <v>141.14750000000001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8.0544746247735388E-2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22.990000000000002</v>
      </c>
      <c r="AH26" s="85">
        <f t="shared" si="8"/>
        <v>57.00999999999997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105.00999999999996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153.00999999999996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201.00999999999996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249.00999999999996</v>
      </c>
      <c r="AY26" s="43">
        <f t="shared" si="13"/>
        <v>352.46000000000004</v>
      </c>
      <c r="AZ26" s="41">
        <f t="shared" si="14"/>
        <v>1.0791923112370297E-2</v>
      </c>
      <c r="BA26" s="42">
        <f t="shared" si="16"/>
        <v>15</v>
      </c>
      <c r="BB26" s="42">
        <f t="shared" ca="1" si="15"/>
        <v>44.057500000000005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31.56</v>
      </c>
      <c r="AH27" s="86">
        <f t="shared" si="8"/>
        <v>276.8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326.8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376.8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426.8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476.8</v>
      </c>
      <c r="AY27" s="45">
        <f t="shared" si="13"/>
        <v>278.58999999999997</v>
      </c>
      <c r="AZ27" s="41">
        <f t="shared" si="14"/>
        <v>8.5301079835307277E-3</v>
      </c>
      <c r="BA27" s="42">
        <f t="shared" si="16"/>
        <v>16</v>
      </c>
      <c r="BB27" s="42">
        <f t="shared" ca="1" si="15"/>
        <v>34.823749999999997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6.5990683905900904E-2</v>
      </c>
      <c r="BA28" s="42">
        <f t="shared" si="16"/>
        <v>6</v>
      </c>
      <c r="BB28" s="42">
        <f t="shared" ca="1" si="15"/>
        <v>269.40375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210.00000000000006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270.00000000000006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330.00000000000006</v>
      </c>
      <c r="AY29" s="45">
        <f t="shared" si="17"/>
        <v>750.32999999999993</v>
      </c>
      <c r="AZ29" s="41">
        <f t="shared" si="14"/>
        <v>2.2974248620850034E-2</v>
      </c>
      <c r="BA29" s="42">
        <f t="shared" si="16"/>
        <v>11</v>
      </c>
      <c r="BB29" s="42">
        <f t="shared" ca="1" si="15"/>
        <v>93.791249999999991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20.63</v>
      </c>
      <c r="AH30" s="89">
        <f t="shared" si="8"/>
        <v>54.410000000000011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89.410000000000011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124.41000000000001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159.41000000000003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194.41000000000003</v>
      </c>
      <c r="AY30" s="43">
        <f t="shared" si="17"/>
        <v>269.46000000000004</v>
      </c>
      <c r="AZ30" s="41">
        <f t="shared" si="14"/>
        <v>8.2505577990674133E-3</v>
      </c>
      <c r="BA30" s="42">
        <f t="shared" si="16"/>
        <v>17</v>
      </c>
      <c r="BB30" s="42">
        <f t="shared" ca="1" si="15"/>
        <v>33.682500000000005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1.9442975589726883E-2</v>
      </c>
      <c r="BA31" s="42">
        <f t="shared" si="16"/>
        <v>12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12.46</v>
      </c>
      <c r="AH32" s="89">
        <f t="shared" si="8"/>
        <v>37.54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87.539999999999992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137.54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217.54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297.53999999999996</v>
      </c>
      <c r="AY32" s="43">
        <f t="shared" si="17"/>
        <v>1059.0500000000002</v>
      </c>
      <c r="AZ32" s="41">
        <f t="shared" si="14"/>
        <v>3.2426902831968918E-2</v>
      </c>
      <c r="BA32" s="42">
        <f t="shared" si="16"/>
        <v>10</v>
      </c>
      <c r="BB32" s="42">
        <f t="shared" ca="1" si="15"/>
        <v>132.38125000000002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9.6571881905509595E-4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453.42999999999995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573.42999999999995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693.43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813.43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933.43</v>
      </c>
      <c r="AY34" s="43">
        <f>E34+I34+M34+Q34+U34+Y34+AC34+AG34+AK34+AO34+AS34+AW34+(E36+I36+M36)</f>
        <v>2587.75</v>
      </c>
      <c r="AZ34" s="41">
        <f t="shared" si="14"/>
        <v>7.9233952885536613E-2</v>
      </c>
      <c r="BA34" s="42">
        <f t="shared" si="16"/>
        <v>5</v>
      </c>
      <c r="BB34" s="42">
        <f t="shared" ca="1" si="15"/>
        <v>323.46875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4.2502038450551012E-2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8.135737077080837E-3</v>
      </c>
      <c r="BA36" s="42">
        <f t="shared" si="16"/>
        <v>18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1.537464776829852E-2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14</v>
      </c>
      <c r="AH38" s="85">
        <f t="shared" si="8"/>
        <v>55.65000000000002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125.65000000000002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195.65000000000003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255.65000000000003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315.65000000000003</v>
      </c>
      <c r="AY38" s="43">
        <f t="shared" si="17"/>
        <v>525.14</v>
      </c>
      <c r="AZ38" s="41">
        <f t="shared" si="14"/>
        <v>1.6079187718408151E-2</v>
      </c>
      <c r="BA38" s="42">
        <f t="shared" si="16"/>
        <v>13</v>
      </c>
      <c r="BB38" s="42">
        <f t="shared" ca="1" si="15"/>
        <v>65.642499999999998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3.6402761698624084E-3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2.1831246607047668E-3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716.1</v>
      </c>
      <c r="AH46" s="116">
        <f>SUM(AH20:AH45)</f>
        <v>24756.269999999993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28656.269999999997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32556.27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37439.909999999996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42323.549999999996</v>
      </c>
      <c r="AY46" s="28">
        <f>SUM(AY20:AY45)</f>
        <v>32659.609999999997</v>
      </c>
      <c r="AZ46" s="1"/>
      <c r="BA46" s="1"/>
      <c r="BB46" s="29">
        <f ca="1">SUM(BB20:BB45)</f>
        <v>4082.4512499999996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267.52</v>
      </c>
      <c r="AH47" s="82"/>
      <c r="AI47" s="82">
        <f>AI5-AH46</f>
        <v>-10204.379999999992</v>
      </c>
      <c r="AJ47" s="82">
        <f>AI17-AJ46</f>
        <v>-3900</v>
      </c>
      <c r="AK47" s="82">
        <f>AI17-AK46</f>
        <v>0</v>
      </c>
      <c r="AL47" s="82"/>
      <c r="AM47" s="82">
        <f>AM5-AL46</f>
        <v>-14104.379999999996</v>
      </c>
      <c r="AN47" s="82">
        <f>AM17-AN46</f>
        <v>-3900</v>
      </c>
      <c r="AO47" s="82">
        <f>AM17-AO46</f>
        <v>0</v>
      </c>
      <c r="AP47" s="82"/>
      <c r="AQ47" s="82">
        <f>AQ5-AP46</f>
        <v>-19004.379999999997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-23888.019999999997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189.96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5" t="s">
        <v>198</v>
      </c>
      <c r="D52" s="236"/>
      <c r="E52" s="236"/>
      <c r="F52" s="237"/>
      <c r="G52" s="235" t="s">
        <v>198</v>
      </c>
      <c r="H52" s="236"/>
      <c r="I52" s="236"/>
      <c r="J52" s="237"/>
      <c r="K52" s="235" t="s">
        <v>198</v>
      </c>
      <c r="L52" s="236"/>
      <c r="M52" s="236"/>
      <c r="N52" s="237"/>
      <c r="O52" s="235" t="s">
        <v>198</v>
      </c>
      <c r="P52" s="236"/>
      <c r="Q52" s="236"/>
      <c r="R52" s="237"/>
      <c r="S52" s="235" t="s">
        <v>198</v>
      </c>
      <c r="T52" s="236"/>
      <c r="U52" s="236"/>
      <c r="V52" s="237"/>
      <c r="W52" s="235" t="s">
        <v>198</v>
      </c>
      <c r="X52" s="236"/>
      <c r="Y52" s="236"/>
      <c r="Z52" s="237"/>
      <c r="AA52" s="235" t="s">
        <v>198</v>
      </c>
      <c r="AB52" s="236"/>
      <c r="AC52" s="236"/>
      <c r="AD52" s="237"/>
      <c r="AE52" s="235" t="s">
        <v>198</v>
      </c>
      <c r="AF52" s="236"/>
      <c r="AG52" s="236"/>
      <c r="AH52" s="237"/>
      <c r="AI52" s="235" t="s">
        <v>198</v>
      </c>
      <c r="AJ52" s="236"/>
      <c r="AK52" s="236"/>
      <c r="AL52" s="237"/>
      <c r="AM52" s="235" t="s">
        <v>198</v>
      </c>
      <c r="AN52" s="236"/>
      <c r="AO52" s="236"/>
      <c r="AP52" s="237"/>
      <c r="AQ52" s="235" t="s">
        <v>198</v>
      </c>
      <c r="AR52" s="236"/>
      <c r="AS52" s="236"/>
      <c r="AT52" s="237"/>
      <c r="AU52" s="235" t="s">
        <v>198</v>
      </c>
      <c r="AV52" s="236"/>
      <c r="AW52" s="236"/>
      <c r="AX52" s="237"/>
    </row>
    <row r="53" spans="1:51" ht="15.75" thickBot="1">
      <c r="C53" s="183" t="s">
        <v>199</v>
      </c>
      <c r="D53" s="238" t="s">
        <v>33</v>
      </c>
      <c r="E53" s="239"/>
      <c r="F53" s="184" t="s">
        <v>134</v>
      </c>
      <c r="G53" s="183" t="s">
        <v>199</v>
      </c>
      <c r="H53" s="238" t="s">
        <v>33</v>
      </c>
      <c r="I53" s="239"/>
      <c r="J53" s="184" t="s">
        <v>134</v>
      </c>
      <c r="K53" s="183" t="s">
        <v>199</v>
      </c>
      <c r="L53" s="238" t="s">
        <v>33</v>
      </c>
      <c r="M53" s="239"/>
      <c r="N53" s="184" t="s">
        <v>134</v>
      </c>
      <c r="O53" s="183" t="s">
        <v>199</v>
      </c>
      <c r="P53" s="238" t="s">
        <v>33</v>
      </c>
      <c r="Q53" s="239"/>
      <c r="R53" s="184" t="s">
        <v>134</v>
      </c>
      <c r="S53" s="183" t="s">
        <v>199</v>
      </c>
      <c r="T53" s="238" t="s">
        <v>33</v>
      </c>
      <c r="U53" s="239"/>
      <c r="V53" s="184" t="s">
        <v>134</v>
      </c>
      <c r="W53" s="183" t="s">
        <v>199</v>
      </c>
      <c r="X53" s="238" t="s">
        <v>33</v>
      </c>
      <c r="Y53" s="239"/>
      <c r="Z53" s="184" t="s">
        <v>134</v>
      </c>
      <c r="AA53" s="183" t="s">
        <v>199</v>
      </c>
      <c r="AB53" s="238" t="s">
        <v>33</v>
      </c>
      <c r="AC53" s="239"/>
      <c r="AD53" s="184" t="s">
        <v>134</v>
      </c>
      <c r="AE53" s="183" t="s">
        <v>199</v>
      </c>
      <c r="AF53" s="238" t="s">
        <v>33</v>
      </c>
      <c r="AG53" s="239"/>
      <c r="AH53" s="184" t="s">
        <v>134</v>
      </c>
      <c r="AI53" s="183" t="s">
        <v>199</v>
      </c>
      <c r="AJ53" s="238" t="s">
        <v>33</v>
      </c>
      <c r="AK53" s="239"/>
      <c r="AL53" s="184" t="s">
        <v>134</v>
      </c>
      <c r="AM53" s="183" t="s">
        <v>199</v>
      </c>
      <c r="AN53" s="238" t="s">
        <v>33</v>
      </c>
      <c r="AO53" s="239"/>
      <c r="AP53" s="184" t="s">
        <v>134</v>
      </c>
      <c r="AQ53" s="183" t="s">
        <v>199</v>
      </c>
      <c r="AR53" s="238" t="s">
        <v>33</v>
      </c>
      <c r="AS53" s="239"/>
      <c r="AT53" s="184" t="s">
        <v>134</v>
      </c>
      <c r="AU53" s="183" t="s">
        <v>199</v>
      </c>
      <c r="AV53" s="238" t="s">
        <v>33</v>
      </c>
      <c r="AW53" s="239"/>
      <c r="AX53" s="184" t="s">
        <v>134</v>
      </c>
    </row>
    <row r="54" spans="1:51">
      <c r="C54" s="185">
        <v>43112</v>
      </c>
      <c r="D54" s="240" t="s">
        <v>200</v>
      </c>
      <c r="E54" s="241"/>
      <c r="F54" s="188">
        <v>10</v>
      </c>
      <c r="G54" s="185">
        <v>43137</v>
      </c>
      <c r="H54" s="240" t="s">
        <v>221</v>
      </c>
      <c r="I54" s="241"/>
      <c r="J54" s="190">
        <v>10</v>
      </c>
      <c r="K54" s="185">
        <v>43166</v>
      </c>
      <c r="L54" s="246" t="s">
        <v>289</v>
      </c>
      <c r="M54" s="247"/>
      <c r="N54" s="190"/>
      <c r="O54" s="185">
        <v>43195</v>
      </c>
      <c r="P54" s="246" t="s">
        <v>221</v>
      </c>
      <c r="Q54" s="247"/>
      <c r="R54" s="196">
        <v>10</v>
      </c>
      <c r="S54" s="185">
        <v>43224</v>
      </c>
      <c r="T54" s="246" t="s">
        <v>289</v>
      </c>
      <c r="U54" s="247"/>
      <c r="V54" s="197"/>
      <c r="W54" s="186">
        <v>43264</v>
      </c>
      <c r="X54" s="250" t="s">
        <v>200</v>
      </c>
      <c r="Y54" s="251"/>
      <c r="Z54" s="198">
        <v>15</v>
      </c>
      <c r="AA54" s="185"/>
      <c r="AB54" s="260" t="s">
        <v>372</v>
      </c>
      <c r="AC54" s="261"/>
      <c r="AD54" s="190">
        <f>1452-580.8</f>
        <v>871.2</v>
      </c>
      <c r="AE54" s="185"/>
      <c r="AF54" s="262"/>
      <c r="AG54" s="263"/>
      <c r="AH54" s="190"/>
      <c r="AI54" s="185"/>
      <c r="AJ54" s="262"/>
      <c r="AK54" s="263"/>
      <c r="AL54" s="190"/>
      <c r="AM54" s="185"/>
      <c r="AN54" s="262"/>
      <c r="AO54" s="263"/>
      <c r="AP54" s="190"/>
      <c r="AQ54" s="185"/>
      <c r="AR54" s="240"/>
      <c r="AS54" s="241"/>
      <c r="AT54" s="190"/>
      <c r="AU54" s="185"/>
      <c r="AV54" s="240"/>
      <c r="AW54" s="241"/>
      <c r="AX54" s="190"/>
    </row>
    <row r="55" spans="1:51">
      <c r="C55" s="186"/>
      <c r="D55" s="244"/>
      <c r="E55" s="245"/>
      <c r="F55" s="188"/>
      <c r="G55" s="186">
        <v>43146</v>
      </c>
      <c r="H55" s="244" t="s">
        <v>274</v>
      </c>
      <c r="I55" s="245"/>
      <c r="J55" s="190">
        <v>10</v>
      </c>
      <c r="K55" s="186">
        <v>43168</v>
      </c>
      <c r="L55" s="248" t="s">
        <v>274</v>
      </c>
      <c r="M55" s="249"/>
      <c r="N55" s="190">
        <v>15</v>
      </c>
      <c r="O55" s="186">
        <v>43209</v>
      </c>
      <c r="P55" s="250" t="s">
        <v>200</v>
      </c>
      <c r="Q55" s="251"/>
      <c r="R55" s="196">
        <v>15</v>
      </c>
      <c r="S55" s="186">
        <v>43238</v>
      </c>
      <c r="T55" s="250" t="s">
        <v>361</v>
      </c>
      <c r="U55" s="251"/>
      <c r="V55" s="190"/>
      <c r="W55" s="186">
        <v>43253</v>
      </c>
      <c r="X55" s="250" t="s">
        <v>221</v>
      </c>
      <c r="Y55" s="251"/>
      <c r="Z55" s="190">
        <v>10</v>
      </c>
      <c r="AA55" s="186"/>
      <c r="AB55" s="244" t="s">
        <v>373</v>
      </c>
      <c r="AC55" s="245"/>
      <c r="AD55" s="190">
        <f>200-43.62+(76.38*6)</f>
        <v>614.66</v>
      </c>
      <c r="AE55" s="186">
        <v>43318</v>
      </c>
      <c r="AF55" s="250" t="s">
        <v>200</v>
      </c>
      <c r="AG55" s="251"/>
      <c r="AH55" s="190">
        <v>15</v>
      </c>
      <c r="AI55" s="186"/>
      <c r="AJ55" s="254"/>
      <c r="AK55" s="255"/>
      <c r="AL55" s="190"/>
      <c r="AM55" s="186"/>
      <c r="AN55" s="254"/>
      <c r="AO55" s="255"/>
      <c r="AP55" s="190"/>
      <c r="AQ55" s="186"/>
      <c r="AR55" s="244"/>
      <c r="AS55" s="245"/>
      <c r="AT55" s="190"/>
      <c r="AU55" s="186"/>
      <c r="AV55" s="244"/>
      <c r="AW55" s="245"/>
      <c r="AX55" s="190"/>
    </row>
    <row r="56" spans="1:51">
      <c r="C56" s="186">
        <v>43117</v>
      </c>
      <c r="D56" s="244" t="s">
        <v>201</v>
      </c>
      <c r="E56" s="245"/>
      <c r="F56" s="188"/>
      <c r="G56" s="186">
        <v>43147</v>
      </c>
      <c r="H56" s="244" t="s">
        <v>285</v>
      </c>
      <c r="I56" s="245"/>
      <c r="J56" s="190"/>
      <c r="K56" s="186">
        <v>43189</v>
      </c>
      <c r="L56" s="244" t="s">
        <v>294</v>
      </c>
      <c r="M56" s="245"/>
      <c r="N56" s="190"/>
      <c r="O56" s="186">
        <v>43193</v>
      </c>
      <c r="P56" s="250" t="s">
        <v>330</v>
      </c>
      <c r="Q56" s="251"/>
      <c r="R56" s="196">
        <v>258.52</v>
      </c>
      <c r="S56" s="186">
        <v>43249</v>
      </c>
      <c r="T56" s="244" t="s">
        <v>376</v>
      </c>
      <c r="U56" s="245"/>
      <c r="V56" s="190"/>
      <c r="W56" s="186">
        <v>43249</v>
      </c>
      <c r="X56" s="244" t="s">
        <v>381</v>
      </c>
      <c r="Y56" s="245"/>
      <c r="Z56" s="190"/>
      <c r="AA56" s="186"/>
      <c r="AB56" s="244" t="s">
        <v>374</v>
      </c>
      <c r="AC56" s="245"/>
      <c r="AD56" s="190">
        <f>AD54-AD55</f>
        <v>256.54000000000008</v>
      </c>
      <c r="AE56" s="186">
        <v>43341</v>
      </c>
      <c r="AF56" s="260" t="s">
        <v>289</v>
      </c>
      <c r="AG56" s="261"/>
      <c r="AH56" s="190"/>
      <c r="AI56" s="186"/>
      <c r="AJ56" s="254"/>
      <c r="AK56" s="255"/>
      <c r="AL56" s="190"/>
      <c r="AM56" s="186"/>
      <c r="AN56" s="254"/>
      <c r="AO56" s="255"/>
      <c r="AP56" s="190"/>
      <c r="AQ56" s="186"/>
      <c r="AR56" s="244"/>
      <c r="AS56" s="245"/>
      <c r="AT56" s="190"/>
      <c r="AU56" s="186"/>
      <c r="AV56" s="244"/>
      <c r="AW56" s="245"/>
      <c r="AX56" s="190"/>
    </row>
    <row r="57" spans="1:51">
      <c r="C57" s="186"/>
      <c r="D57" s="244" t="s">
        <v>202</v>
      </c>
      <c r="E57" s="245"/>
      <c r="F57" s="188"/>
      <c r="G57" s="186"/>
      <c r="H57" s="244" t="s">
        <v>286</v>
      </c>
      <c r="I57" s="245"/>
      <c r="J57" s="190"/>
      <c r="K57" s="186"/>
      <c r="L57" s="244" t="s">
        <v>295</v>
      </c>
      <c r="M57" s="245"/>
      <c r="N57" s="190"/>
      <c r="O57" s="186"/>
      <c r="P57" s="250" t="s">
        <v>301</v>
      </c>
      <c r="Q57" s="251"/>
      <c r="R57" s="190">
        <v>2290.23</v>
      </c>
      <c r="S57" s="186"/>
      <c r="T57" s="244" t="s">
        <v>377</v>
      </c>
      <c r="U57" s="245"/>
      <c r="V57" s="190"/>
      <c r="W57" s="186"/>
      <c r="X57" s="244" t="s">
        <v>382</v>
      </c>
      <c r="Y57" s="245"/>
      <c r="Z57" s="190"/>
      <c r="AA57" s="186">
        <v>43282</v>
      </c>
      <c r="AB57" s="250" t="s">
        <v>289</v>
      </c>
      <c r="AC57" s="251"/>
      <c r="AD57" s="190"/>
      <c r="AE57" s="186">
        <v>43189</v>
      </c>
      <c r="AF57" s="244" t="s">
        <v>385</v>
      </c>
      <c r="AG57" s="245"/>
      <c r="AH57" s="190"/>
      <c r="AI57" s="186"/>
      <c r="AJ57" s="254"/>
      <c r="AK57" s="255"/>
      <c r="AL57" s="190"/>
      <c r="AM57" s="186"/>
      <c r="AN57" s="254"/>
      <c r="AO57" s="255"/>
      <c r="AP57" s="190"/>
      <c r="AQ57" s="186"/>
      <c r="AR57" s="244"/>
      <c r="AS57" s="245"/>
      <c r="AT57" s="190"/>
      <c r="AU57" s="186"/>
      <c r="AV57" s="244"/>
      <c r="AW57" s="245"/>
      <c r="AX57" s="190"/>
    </row>
    <row r="58" spans="1:51">
      <c r="C58" s="186"/>
      <c r="D58" s="244" t="s">
        <v>203</v>
      </c>
      <c r="E58" s="245"/>
      <c r="F58" s="188"/>
      <c r="G58" s="186"/>
      <c r="H58" s="244" t="s">
        <v>287</v>
      </c>
      <c r="I58" s="245"/>
      <c r="J58" s="190"/>
      <c r="K58" s="186"/>
      <c r="L58" s="244" t="s">
        <v>296</v>
      </c>
      <c r="M58" s="245"/>
      <c r="N58" s="190"/>
      <c r="O58" s="186"/>
      <c r="P58" s="244"/>
      <c r="Q58" s="245"/>
      <c r="R58" s="190"/>
      <c r="S58" s="186"/>
      <c r="T58" s="244" t="s">
        <v>378</v>
      </c>
      <c r="U58" s="245"/>
      <c r="V58" s="190"/>
      <c r="W58" s="186"/>
      <c r="X58" s="244" t="s">
        <v>383</v>
      </c>
      <c r="Y58" s="245"/>
      <c r="Z58" s="190"/>
      <c r="AA58" s="186"/>
      <c r="AB58" s="250" t="s">
        <v>361</v>
      </c>
      <c r="AC58" s="251"/>
      <c r="AD58" s="190"/>
      <c r="AE58" s="186"/>
      <c r="AF58" s="244" t="s">
        <v>386</v>
      </c>
      <c r="AG58" s="245"/>
      <c r="AH58" s="190"/>
      <c r="AI58" s="186"/>
      <c r="AJ58" s="254"/>
      <c r="AK58" s="255"/>
      <c r="AL58" s="190"/>
      <c r="AM58" s="186"/>
      <c r="AN58" s="254"/>
      <c r="AO58" s="255"/>
      <c r="AP58" s="190"/>
      <c r="AQ58" s="186"/>
      <c r="AR58" s="244"/>
      <c r="AS58" s="245"/>
      <c r="AT58" s="190"/>
      <c r="AU58" s="186"/>
      <c r="AV58" s="244"/>
      <c r="AW58" s="245"/>
      <c r="AX58" s="190"/>
    </row>
    <row r="59" spans="1:51">
      <c r="C59" s="186"/>
      <c r="D59" s="244"/>
      <c r="E59" s="245"/>
      <c r="F59" s="188"/>
      <c r="G59" s="186"/>
      <c r="H59" s="244"/>
      <c r="I59" s="245"/>
      <c r="J59" s="190"/>
      <c r="K59" s="186"/>
      <c r="L59" s="244"/>
      <c r="M59" s="245"/>
      <c r="N59" s="190"/>
      <c r="O59" s="186"/>
      <c r="P59" s="244"/>
      <c r="Q59" s="245"/>
      <c r="R59" s="190"/>
      <c r="S59" s="186">
        <v>43236</v>
      </c>
      <c r="T59" s="252" t="s">
        <v>380</v>
      </c>
      <c r="U59" s="253"/>
      <c r="V59" s="190"/>
      <c r="W59" s="186">
        <v>43263</v>
      </c>
      <c r="X59" s="252" t="s">
        <v>380</v>
      </c>
      <c r="Y59" s="253"/>
      <c r="Z59" s="190"/>
      <c r="AA59" s="186"/>
      <c r="AB59" s="252" t="s">
        <v>455</v>
      </c>
      <c r="AC59" s="253"/>
      <c r="AD59" s="190">
        <f>(50*7)-'01'!D13-'03'!E13</f>
        <v>285.02</v>
      </c>
      <c r="AE59" s="186"/>
      <c r="AF59" s="244" t="s">
        <v>387</v>
      </c>
      <c r="AG59" s="245"/>
      <c r="AH59" s="190"/>
      <c r="AI59" s="186"/>
      <c r="AJ59" s="254"/>
      <c r="AK59" s="255"/>
      <c r="AL59" s="190"/>
      <c r="AM59" s="186"/>
      <c r="AN59" s="254"/>
      <c r="AO59" s="255"/>
      <c r="AP59" s="190"/>
      <c r="AQ59" s="186"/>
      <c r="AR59" s="244"/>
      <c r="AS59" s="245"/>
      <c r="AT59" s="190"/>
      <c r="AU59" s="186">
        <v>43189</v>
      </c>
      <c r="AV59" s="244" t="s">
        <v>442</v>
      </c>
      <c r="AW59" s="245"/>
      <c r="AX59" s="190"/>
    </row>
    <row r="60" spans="1:51">
      <c r="C60" s="186"/>
      <c r="D60" s="244"/>
      <c r="E60" s="245"/>
      <c r="F60" s="188"/>
      <c r="G60" s="186"/>
      <c r="H60" s="244"/>
      <c r="I60" s="245"/>
      <c r="J60" s="190"/>
      <c r="K60" s="186"/>
      <c r="L60" s="244"/>
      <c r="M60" s="245"/>
      <c r="N60" s="190"/>
      <c r="O60" s="186"/>
      <c r="P60" s="244"/>
      <c r="Q60" s="245"/>
      <c r="R60" s="190"/>
      <c r="S60" s="186"/>
      <c r="T60" s="252"/>
      <c r="U60" s="253"/>
      <c r="V60" s="190"/>
      <c r="W60" s="186"/>
      <c r="X60" s="254" t="s">
        <v>310</v>
      </c>
      <c r="Y60" s="255"/>
      <c r="Z60" s="190">
        <f>622.46*2</f>
        <v>1244.92</v>
      </c>
      <c r="AA60" s="186"/>
      <c r="AB60" s="254"/>
      <c r="AC60" s="255"/>
      <c r="AD60" s="190"/>
      <c r="AE60" s="186">
        <v>43319</v>
      </c>
      <c r="AF60" s="252" t="s">
        <v>380</v>
      </c>
      <c r="AG60" s="253"/>
      <c r="AH60" s="190"/>
      <c r="AI60" s="186"/>
      <c r="AJ60" s="254"/>
      <c r="AK60" s="255"/>
      <c r="AL60" s="190"/>
      <c r="AM60" s="186"/>
      <c r="AN60" s="254"/>
      <c r="AO60" s="255"/>
      <c r="AP60" s="190"/>
      <c r="AQ60" s="186"/>
      <c r="AR60" s="244"/>
      <c r="AS60" s="245"/>
      <c r="AT60" s="190"/>
      <c r="AU60" s="186"/>
      <c r="AV60" s="244" t="s">
        <v>295</v>
      </c>
      <c r="AW60" s="245"/>
      <c r="AX60" s="190"/>
    </row>
    <row r="61" spans="1:51">
      <c r="C61" s="186"/>
      <c r="D61" s="244"/>
      <c r="E61" s="245"/>
      <c r="F61" s="188"/>
      <c r="G61" s="186"/>
      <c r="H61" s="244"/>
      <c r="I61" s="245"/>
      <c r="J61" s="190"/>
      <c r="K61" s="186"/>
      <c r="L61" s="244"/>
      <c r="M61" s="245"/>
      <c r="N61" s="190"/>
      <c r="O61" s="186"/>
      <c r="P61" s="244"/>
      <c r="Q61" s="245"/>
      <c r="R61" s="190"/>
      <c r="S61" s="186"/>
      <c r="T61" s="252"/>
      <c r="U61" s="253"/>
      <c r="V61" s="190"/>
      <c r="W61" s="186"/>
      <c r="X61" s="254"/>
      <c r="Y61" s="255"/>
      <c r="Z61" s="190"/>
      <c r="AA61" s="186"/>
      <c r="AB61" s="254"/>
      <c r="AC61" s="255"/>
      <c r="AD61" s="190"/>
      <c r="AE61" s="186"/>
      <c r="AF61" s="254"/>
      <c r="AG61" s="255"/>
      <c r="AH61" s="190"/>
      <c r="AI61" s="186"/>
      <c r="AJ61" s="254"/>
      <c r="AK61" s="255"/>
      <c r="AL61" s="190"/>
      <c r="AM61" s="186"/>
      <c r="AN61" s="254"/>
      <c r="AO61" s="255"/>
      <c r="AP61" s="190"/>
      <c r="AQ61" s="186"/>
      <c r="AR61" s="244"/>
      <c r="AS61" s="245"/>
      <c r="AT61" s="190"/>
      <c r="AU61" s="186"/>
      <c r="AV61" s="244" t="s">
        <v>443</v>
      </c>
      <c r="AW61" s="245"/>
      <c r="AX61" s="190"/>
    </row>
    <row r="62" spans="1:51">
      <c r="C62" s="186"/>
      <c r="D62" s="244"/>
      <c r="E62" s="245"/>
      <c r="F62" s="188"/>
      <c r="G62" s="186"/>
      <c r="H62" s="244"/>
      <c r="I62" s="245"/>
      <c r="J62" s="190"/>
      <c r="K62" s="186"/>
      <c r="L62" s="244"/>
      <c r="M62" s="245"/>
      <c r="N62" s="190"/>
      <c r="O62" s="186"/>
      <c r="P62" s="244"/>
      <c r="Q62" s="245"/>
      <c r="R62" s="190"/>
      <c r="S62" s="186"/>
      <c r="T62" s="252"/>
      <c r="U62" s="253"/>
      <c r="V62" s="190"/>
      <c r="W62" s="186"/>
      <c r="X62" s="254"/>
      <c r="Y62" s="255"/>
      <c r="Z62" s="190"/>
      <c r="AA62" s="186"/>
      <c r="AB62" s="254"/>
      <c r="AC62" s="255"/>
      <c r="AD62" s="190"/>
      <c r="AE62" s="186"/>
      <c r="AF62" s="254"/>
      <c r="AG62" s="255"/>
      <c r="AH62" s="190"/>
      <c r="AI62" s="186"/>
      <c r="AJ62" s="254"/>
      <c r="AK62" s="255"/>
      <c r="AL62" s="190"/>
      <c r="AM62" s="186"/>
      <c r="AN62" s="254"/>
      <c r="AO62" s="255"/>
      <c r="AP62" s="190"/>
      <c r="AQ62" s="186"/>
      <c r="AR62" s="244"/>
      <c r="AS62" s="245"/>
      <c r="AT62" s="190"/>
      <c r="AU62" s="186"/>
      <c r="AV62" s="244"/>
      <c r="AW62" s="245"/>
      <c r="AX62" s="190"/>
    </row>
    <row r="63" spans="1:51">
      <c r="C63" s="186"/>
      <c r="D63" s="244"/>
      <c r="E63" s="245"/>
      <c r="F63" s="188"/>
      <c r="G63" s="186"/>
      <c r="H63" s="244"/>
      <c r="I63" s="245"/>
      <c r="J63" s="190"/>
      <c r="K63" s="186"/>
      <c r="L63" s="244"/>
      <c r="M63" s="245"/>
      <c r="N63" s="190"/>
      <c r="O63" s="186"/>
      <c r="P63" s="244"/>
      <c r="Q63" s="245"/>
      <c r="R63" s="190"/>
      <c r="S63" s="186"/>
      <c r="T63" s="252"/>
      <c r="U63" s="253"/>
      <c r="V63" s="190"/>
      <c r="W63" s="186"/>
      <c r="X63" s="254"/>
      <c r="Y63" s="255"/>
      <c r="Z63" s="190"/>
      <c r="AA63" s="186"/>
      <c r="AB63" s="254"/>
      <c r="AC63" s="255"/>
      <c r="AD63" s="190"/>
      <c r="AE63" s="186"/>
      <c r="AF63" s="254"/>
      <c r="AG63" s="255"/>
      <c r="AH63" s="190"/>
      <c r="AI63" s="186"/>
      <c r="AJ63" s="254"/>
      <c r="AK63" s="255"/>
      <c r="AL63" s="190"/>
      <c r="AM63" s="186"/>
      <c r="AN63" s="254"/>
      <c r="AO63" s="255"/>
      <c r="AP63" s="190"/>
      <c r="AQ63" s="186"/>
      <c r="AR63" s="244"/>
      <c r="AS63" s="245"/>
      <c r="AT63" s="190"/>
      <c r="AU63" s="186"/>
      <c r="AV63" s="244"/>
      <c r="AW63" s="245"/>
      <c r="AX63" s="190"/>
    </row>
    <row r="64" spans="1:51">
      <c r="C64" s="186"/>
      <c r="D64" s="244"/>
      <c r="E64" s="245"/>
      <c r="F64" s="188"/>
      <c r="G64" s="186"/>
      <c r="H64" s="244"/>
      <c r="I64" s="245"/>
      <c r="J64" s="190"/>
      <c r="K64" s="186"/>
      <c r="L64" s="244"/>
      <c r="M64" s="245"/>
      <c r="N64" s="190"/>
      <c r="O64" s="186"/>
      <c r="P64" s="244"/>
      <c r="Q64" s="245"/>
      <c r="R64" s="190"/>
      <c r="S64" s="186"/>
      <c r="T64" s="252"/>
      <c r="U64" s="253"/>
      <c r="V64" s="190"/>
      <c r="W64" s="186"/>
      <c r="X64" s="254"/>
      <c r="Y64" s="255"/>
      <c r="Z64" s="190"/>
      <c r="AA64" s="186"/>
      <c r="AB64" s="254"/>
      <c r="AC64" s="255"/>
      <c r="AD64" s="190"/>
      <c r="AE64" s="186"/>
      <c r="AF64" s="254"/>
      <c r="AG64" s="255"/>
      <c r="AH64" s="190"/>
      <c r="AI64" s="186"/>
      <c r="AJ64" s="254"/>
      <c r="AK64" s="255"/>
      <c r="AL64" s="190"/>
      <c r="AM64" s="186"/>
      <c r="AN64" s="254"/>
      <c r="AO64" s="255"/>
      <c r="AP64" s="190"/>
      <c r="AQ64" s="186"/>
      <c r="AR64" s="244"/>
      <c r="AS64" s="245"/>
      <c r="AT64" s="190"/>
      <c r="AU64" s="186"/>
      <c r="AV64" s="244"/>
      <c r="AW64" s="245"/>
      <c r="AX64" s="190"/>
    </row>
    <row r="65" spans="3:50">
      <c r="C65" s="186"/>
      <c r="D65" s="244"/>
      <c r="E65" s="245"/>
      <c r="F65" s="188"/>
      <c r="G65" s="186"/>
      <c r="H65" s="244"/>
      <c r="I65" s="245"/>
      <c r="J65" s="190"/>
      <c r="K65" s="186"/>
      <c r="L65" s="244"/>
      <c r="M65" s="245"/>
      <c r="N65" s="190"/>
      <c r="O65" s="186"/>
      <c r="P65" s="244"/>
      <c r="Q65" s="245"/>
      <c r="R65" s="190"/>
      <c r="S65" s="186"/>
      <c r="T65" s="252"/>
      <c r="U65" s="253"/>
      <c r="V65" s="190"/>
      <c r="W65" s="186"/>
      <c r="X65" s="254"/>
      <c r="Y65" s="255"/>
      <c r="Z65" s="190"/>
      <c r="AA65" s="186"/>
      <c r="AB65" s="254"/>
      <c r="AC65" s="255"/>
      <c r="AD65" s="190"/>
      <c r="AE65" s="186"/>
      <c r="AF65" s="254"/>
      <c r="AG65" s="255"/>
      <c r="AH65" s="190"/>
      <c r="AI65" s="186"/>
      <c r="AJ65" s="254"/>
      <c r="AK65" s="255"/>
      <c r="AL65" s="190"/>
      <c r="AM65" s="186"/>
      <c r="AN65" s="254"/>
      <c r="AO65" s="255"/>
      <c r="AP65" s="190"/>
      <c r="AQ65" s="186"/>
      <c r="AR65" s="244"/>
      <c r="AS65" s="245"/>
      <c r="AT65" s="190"/>
      <c r="AU65" s="186"/>
      <c r="AV65" s="244"/>
      <c r="AW65" s="245"/>
      <c r="AX65" s="190"/>
    </row>
    <row r="66" spans="3:50">
      <c r="C66" s="186"/>
      <c r="D66" s="244"/>
      <c r="E66" s="245"/>
      <c r="F66" s="188"/>
      <c r="G66" s="186"/>
      <c r="H66" s="244"/>
      <c r="I66" s="245"/>
      <c r="J66" s="190"/>
      <c r="K66" s="186"/>
      <c r="L66" s="244"/>
      <c r="M66" s="245"/>
      <c r="N66" s="190"/>
      <c r="O66" s="186"/>
      <c r="P66" s="244"/>
      <c r="Q66" s="245"/>
      <c r="R66" s="190"/>
      <c r="S66" s="186"/>
      <c r="T66" s="254"/>
      <c r="U66" s="255"/>
      <c r="V66" s="190"/>
      <c r="W66" s="186"/>
      <c r="X66" s="254"/>
      <c r="Y66" s="255"/>
      <c r="Z66" s="190"/>
      <c r="AA66" s="186"/>
      <c r="AB66" s="254"/>
      <c r="AC66" s="255"/>
      <c r="AD66" s="190"/>
      <c r="AE66" s="186"/>
      <c r="AF66" s="254"/>
      <c r="AG66" s="255"/>
      <c r="AH66" s="190"/>
      <c r="AI66" s="186"/>
      <c r="AJ66" s="254"/>
      <c r="AK66" s="255"/>
      <c r="AL66" s="190"/>
      <c r="AM66" s="186"/>
      <c r="AN66" s="254"/>
      <c r="AO66" s="255"/>
      <c r="AP66" s="190"/>
      <c r="AQ66" s="186"/>
      <c r="AR66" s="244"/>
      <c r="AS66" s="245"/>
      <c r="AT66" s="190"/>
      <c r="AU66" s="186"/>
      <c r="AV66" s="244"/>
      <c r="AW66" s="245"/>
      <c r="AX66" s="190"/>
    </row>
    <row r="67" spans="3:50">
      <c r="C67" s="186"/>
      <c r="D67" s="244"/>
      <c r="E67" s="245"/>
      <c r="F67" s="188"/>
      <c r="G67" s="186"/>
      <c r="H67" s="244"/>
      <c r="I67" s="245"/>
      <c r="J67" s="190"/>
      <c r="K67" s="186"/>
      <c r="L67" s="244"/>
      <c r="M67" s="245"/>
      <c r="N67" s="190"/>
      <c r="O67" s="186"/>
      <c r="P67" s="244"/>
      <c r="Q67" s="245"/>
      <c r="R67" s="190"/>
      <c r="S67" s="186"/>
      <c r="T67" s="254"/>
      <c r="U67" s="255"/>
      <c r="V67" s="190"/>
      <c r="W67" s="186"/>
      <c r="X67" s="254"/>
      <c r="Y67" s="255"/>
      <c r="Z67" s="190"/>
      <c r="AA67" s="186"/>
      <c r="AB67" s="254"/>
      <c r="AC67" s="255"/>
      <c r="AD67" s="190"/>
      <c r="AE67" s="186"/>
      <c r="AF67" s="254"/>
      <c r="AG67" s="255"/>
      <c r="AH67" s="190"/>
      <c r="AI67" s="186"/>
      <c r="AJ67" s="254"/>
      <c r="AK67" s="255"/>
      <c r="AL67" s="190"/>
      <c r="AM67" s="186"/>
      <c r="AN67" s="254"/>
      <c r="AO67" s="255"/>
      <c r="AP67" s="190"/>
      <c r="AQ67" s="186"/>
      <c r="AR67" s="244"/>
      <c r="AS67" s="245"/>
      <c r="AT67" s="190"/>
      <c r="AU67" s="186"/>
      <c r="AV67" s="244"/>
      <c r="AW67" s="245"/>
      <c r="AX67" s="190"/>
    </row>
    <row r="68" spans="3:50">
      <c r="C68" s="186"/>
      <c r="D68" s="244"/>
      <c r="E68" s="245"/>
      <c r="F68" s="188"/>
      <c r="G68" s="186"/>
      <c r="H68" s="244"/>
      <c r="I68" s="245"/>
      <c r="J68" s="190"/>
      <c r="K68" s="186"/>
      <c r="L68" s="244"/>
      <c r="M68" s="245"/>
      <c r="N68" s="190"/>
      <c r="O68" s="186"/>
      <c r="P68" s="244"/>
      <c r="Q68" s="245"/>
      <c r="R68" s="190"/>
      <c r="S68" s="186"/>
      <c r="T68" s="254"/>
      <c r="U68" s="255"/>
      <c r="V68" s="190"/>
      <c r="W68" s="186"/>
      <c r="X68" s="254"/>
      <c r="Y68" s="255"/>
      <c r="Z68" s="190"/>
      <c r="AA68" s="186"/>
      <c r="AB68" s="254"/>
      <c r="AC68" s="255"/>
      <c r="AD68" s="190"/>
      <c r="AE68" s="186"/>
      <c r="AF68" s="254"/>
      <c r="AG68" s="255"/>
      <c r="AH68" s="190"/>
      <c r="AI68" s="186"/>
      <c r="AJ68" s="254"/>
      <c r="AK68" s="255"/>
      <c r="AL68" s="190"/>
      <c r="AM68" s="186"/>
      <c r="AN68" s="254"/>
      <c r="AO68" s="255"/>
      <c r="AP68" s="190"/>
      <c r="AQ68" s="186"/>
      <c r="AR68" s="244"/>
      <c r="AS68" s="245"/>
      <c r="AT68" s="190"/>
      <c r="AU68" s="186"/>
      <c r="AV68" s="244"/>
      <c r="AW68" s="245"/>
      <c r="AX68" s="190"/>
    </row>
    <row r="69" spans="3:50">
      <c r="C69" s="186"/>
      <c r="D69" s="244"/>
      <c r="E69" s="245"/>
      <c r="F69" s="188"/>
      <c r="G69" s="186"/>
      <c r="H69" s="244"/>
      <c r="I69" s="245"/>
      <c r="J69" s="190"/>
      <c r="K69" s="186"/>
      <c r="L69" s="244"/>
      <c r="M69" s="245"/>
      <c r="N69" s="190"/>
      <c r="O69" s="186"/>
      <c r="P69" s="244"/>
      <c r="Q69" s="245"/>
      <c r="R69" s="190"/>
      <c r="S69" s="186"/>
      <c r="T69" s="254"/>
      <c r="U69" s="255"/>
      <c r="V69" s="190"/>
      <c r="W69" s="186"/>
      <c r="X69" s="254"/>
      <c r="Y69" s="255"/>
      <c r="Z69" s="190"/>
      <c r="AA69" s="186"/>
      <c r="AB69" s="254"/>
      <c r="AC69" s="255"/>
      <c r="AD69" s="190"/>
      <c r="AE69" s="186"/>
      <c r="AF69" s="254"/>
      <c r="AG69" s="255"/>
      <c r="AH69" s="190"/>
      <c r="AI69" s="186"/>
      <c r="AJ69" s="254"/>
      <c r="AK69" s="255"/>
      <c r="AL69" s="190"/>
      <c r="AM69" s="186"/>
      <c r="AN69" s="254"/>
      <c r="AO69" s="255"/>
      <c r="AP69" s="190"/>
      <c r="AQ69" s="186"/>
      <c r="AR69" s="244"/>
      <c r="AS69" s="245"/>
      <c r="AT69" s="190"/>
      <c r="AU69" s="186"/>
      <c r="AV69" s="244"/>
      <c r="AW69" s="245"/>
      <c r="AX69" s="190"/>
    </row>
    <row r="70" spans="3:50">
      <c r="C70" s="186"/>
      <c r="D70" s="244"/>
      <c r="E70" s="245"/>
      <c r="F70" s="188"/>
      <c r="G70" s="186"/>
      <c r="H70" s="244"/>
      <c r="I70" s="245"/>
      <c r="J70" s="190"/>
      <c r="K70" s="186"/>
      <c r="L70" s="244"/>
      <c r="M70" s="245"/>
      <c r="N70" s="190"/>
      <c r="O70" s="186"/>
      <c r="P70" s="244"/>
      <c r="Q70" s="245"/>
      <c r="R70" s="190"/>
      <c r="S70" s="186"/>
      <c r="T70" s="254"/>
      <c r="U70" s="255"/>
      <c r="V70" s="190"/>
      <c r="W70" s="186"/>
      <c r="X70" s="244" t="s">
        <v>433</v>
      </c>
      <c r="Y70" s="245"/>
      <c r="Z70" s="190">
        <f>3289.11+270.87</f>
        <v>3559.98</v>
      </c>
      <c r="AA70" s="186"/>
      <c r="AB70" s="254"/>
      <c r="AC70" s="255"/>
      <c r="AD70" s="190"/>
      <c r="AE70" s="186"/>
      <c r="AF70" s="254"/>
      <c r="AG70" s="255"/>
      <c r="AH70" s="190"/>
      <c r="AI70" s="186"/>
      <c r="AJ70" s="254"/>
      <c r="AK70" s="255"/>
      <c r="AL70" s="190"/>
      <c r="AM70" s="186"/>
      <c r="AN70" s="254"/>
      <c r="AO70" s="255"/>
      <c r="AP70" s="190"/>
      <c r="AQ70" s="186"/>
      <c r="AR70" s="244"/>
      <c r="AS70" s="245"/>
      <c r="AT70" s="190"/>
      <c r="AU70" s="186"/>
      <c r="AV70" s="244"/>
      <c r="AW70" s="245"/>
      <c r="AX70" s="190"/>
    </row>
    <row r="71" spans="3:50" ht="15.75" thickBot="1">
      <c r="C71" s="187"/>
      <c r="D71" s="242"/>
      <c r="E71" s="243"/>
      <c r="F71" s="189"/>
      <c r="G71" s="187"/>
      <c r="H71" s="242"/>
      <c r="I71" s="243"/>
      <c r="J71" s="191"/>
      <c r="K71" s="187"/>
      <c r="L71" s="242"/>
      <c r="M71" s="243"/>
      <c r="N71" s="191"/>
      <c r="O71" s="187"/>
      <c r="P71" s="242"/>
      <c r="Q71" s="243"/>
      <c r="R71" s="191"/>
      <c r="S71" s="187"/>
      <c r="T71" s="256"/>
      <c r="U71" s="257"/>
      <c r="V71" s="191"/>
      <c r="W71" s="187"/>
      <c r="X71" s="258" t="s">
        <v>434</v>
      </c>
      <c r="Y71" s="259"/>
      <c r="Z71" s="191">
        <f>Z70-1484.91-429.89</f>
        <v>1645.1799999999998</v>
      </c>
      <c r="AA71" s="187"/>
      <c r="AB71" s="256"/>
      <c r="AC71" s="257"/>
      <c r="AD71" s="191">
        <f>550-161.56</f>
        <v>388.44</v>
      </c>
      <c r="AE71" s="187"/>
      <c r="AF71" s="256"/>
      <c r="AG71" s="257"/>
      <c r="AH71" s="191"/>
      <c r="AI71" s="187"/>
      <c r="AJ71" s="256"/>
      <c r="AK71" s="257"/>
      <c r="AL71" s="191"/>
      <c r="AM71" s="187"/>
      <c r="AN71" s="256"/>
      <c r="AO71" s="257"/>
      <c r="AP71" s="191"/>
      <c r="AQ71" s="187"/>
      <c r="AR71" s="242"/>
      <c r="AS71" s="243"/>
      <c r="AT71" s="191"/>
      <c r="AU71" s="187"/>
      <c r="AV71" s="242"/>
      <c r="AW71" s="243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2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532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28" sqref="E2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538</v>
      </c>
      <c r="B3" s="208">
        <v>43374</v>
      </c>
      <c r="D3" s="128"/>
      <c r="E3" s="129"/>
    </row>
    <row r="4" spans="1:13" ht="12.75" customHeight="1">
      <c r="A4" t="s">
        <v>537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-0.17571428571428568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134386.2086481826</v>
      </c>
      <c r="L6" s="123">
        <f>B4*(E8/100)</f>
        <v>36.414310392857139</v>
      </c>
      <c r="M6" s="133">
        <f ca="1">B13-L6</f>
        <v>362.78135181738077</v>
      </c>
    </row>
    <row r="7" spans="1:13" ht="12.75" customHeight="1">
      <c r="E7" s="126"/>
      <c r="J7" t="s">
        <v>144</v>
      </c>
      <c r="K7" s="133">
        <f ca="1">K6-(B13-L7)</f>
        <v>134023.32925902371</v>
      </c>
      <c r="L7" s="123">
        <f ca="1">(K6*(E8/100))</f>
        <v>36.316273051354109</v>
      </c>
      <c r="M7" s="133">
        <f ca="1">B13-L7</f>
        <v>362.87938915888378</v>
      </c>
    </row>
    <row r="8" spans="1:13" ht="12.75" customHeight="1">
      <c r="B8" s="126"/>
      <c r="D8" t="s">
        <v>145</v>
      </c>
      <c r="E8" s="134">
        <f>(B6+0.5)/12</f>
        <v>2.7023809523809523E-2</v>
      </c>
      <c r="J8" t="s">
        <v>146</v>
      </c>
      <c r="K8" s="133">
        <f ca="1">K7-(B13-L8)</f>
        <v>133660.35180602991</v>
      </c>
      <c r="L8" s="123">
        <f ca="1">(K7*(E8/100))</f>
        <v>36.218209216426651</v>
      </c>
      <c r="M8" s="133">
        <f ca="1">B13-L8</f>
        <v>362.97745299381126</v>
      </c>
    </row>
    <row r="9" spans="1:13" ht="12.75" customHeight="1">
      <c r="B9" s="126"/>
      <c r="D9" t="s">
        <v>147</v>
      </c>
      <c r="E9" s="134">
        <f>1+(E8/100)</f>
        <v>1.0002702380952382</v>
      </c>
      <c r="J9" t="s">
        <v>148</v>
      </c>
      <c r="K9" s="133">
        <f ca="1">K8-(B13-L9)</f>
        <v>133297.27626270059</v>
      </c>
      <c r="L9" s="123">
        <f ca="1">(K8*(E8/100))</f>
        <v>36.120118880915228</v>
      </c>
      <c r="M9" s="133">
        <f ca="1">B13-L9</f>
        <v>363.07554332932267</v>
      </c>
    </row>
    <row r="10" spans="1:13" ht="12.75" customHeight="1">
      <c r="B10" s="126"/>
      <c r="D10" t="s">
        <v>149</v>
      </c>
      <c r="E10" s="134">
        <f ca="1">E9^-B5</f>
        <v>0.90878079638631093</v>
      </c>
      <c r="J10" t="s">
        <v>150</v>
      </c>
      <c r="K10" s="133">
        <f ca="1">K9-(B13-L10)</f>
        <v>132934.102602528</v>
      </c>
      <c r="L10" s="123">
        <f ca="1">(K9*(E8/100))</f>
        <v>36.022002037658375</v>
      </c>
      <c r="M10" s="133">
        <f ca="1">B13-L10</f>
        <v>363.17366017257956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9.1219203613689075</v>
      </c>
      <c r="J11" t="s">
        <v>153</v>
      </c>
      <c r="K11" s="135">
        <f ca="1">K10-(B13-L11)</f>
        <v>132570.83079899725</v>
      </c>
      <c r="L11" s="123">
        <f ca="1">(K10*(E8/100))</f>
        <v>35.923858679492689</v>
      </c>
      <c r="M11" s="133">
        <f ca="1">B13-L11</f>
        <v>363.27180353074522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399.19566221023791</v>
      </c>
      <c r="E13" s="126"/>
      <c r="F13" s="128"/>
      <c r="G13" s="137"/>
      <c r="L13" s="138">
        <f ca="1">SUM(L6:L11)</f>
        <v>217.0147722587042</v>
      </c>
      <c r="M13" s="138">
        <f ca="1">SUM(M6:M11)</f>
        <v>2178.1592010027234</v>
      </c>
    </row>
    <row r="14" spans="1:13" ht="12.75" customHeight="1">
      <c r="A14" t="s">
        <v>155</v>
      </c>
      <c r="B14" s="139">
        <f>B4*(E8/100)</f>
        <v>36.414310392857139</v>
      </c>
      <c r="E14" s="126"/>
    </row>
    <row r="15" spans="1:13" ht="12.75" customHeight="1">
      <c r="A15" t="s">
        <v>156</v>
      </c>
      <c r="B15" s="139">
        <f ca="1">B13-B14</f>
        <v>362.78135181738077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399.1972222102379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-0.17571428571428568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-1.2299999999999998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2178.1592010027234</v>
      </c>
      <c r="C22" s="142">
        <f ca="1">B22/170000</f>
        <v>1.2812701182368961E-2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132570.83079899725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0.2201715835353103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-8.2671583535310345E-2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7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F27" sqref="F27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-1.7571428571428569E-3</v>
      </c>
      <c r="C23" s="158">
        <f ca="1">Hipoteca!B$13</f>
        <v>399.19566221023791</v>
      </c>
      <c r="D23" s="157">
        <f ca="1">C23-C22</f>
        <v>0.88566221023791059</v>
      </c>
      <c r="F23" s="153">
        <f t="shared" ca="1" si="0"/>
        <v>2395.1739732614274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9.3759126984126959E-3</v>
      </c>
      <c r="C64" s="175">
        <f ca="1">AVERAGE(C2:C63)</f>
        <v>500.95616646410144</v>
      </c>
      <c r="D64" s="176">
        <f ca="1">AVERAGE(D3:D63)</f>
        <v>-21.374016085226767</v>
      </c>
      <c r="L64" s="176">
        <f>AVERAGE(L3:L63)</f>
        <v>-7008.5009999999993</v>
      </c>
    </row>
    <row r="66" spans="4:12">
      <c r="D66" t="s">
        <v>172</v>
      </c>
      <c r="F66" s="153">
        <f ca="1">SUM(F2:F63)</f>
        <v>66126.213973261416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513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1462.46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423.18</v>
      </c>
      <c r="L6" s="27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7102.9</v>
      </c>
      <c r="L7" s="27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1250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3">
        <v>100.34</v>
      </c>
      <c r="L9" s="27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3">
        <f>5007.8</f>
        <v>5007.8</v>
      </c>
      <c r="L10" s="27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3">
        <v>1566.09</v>
      </c>
      <c r="L11" s="27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73">
        <v>1800</v>
      </c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73">
        <f>75+20+95</f>
        <v>190</v>
      </c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SUM(K5:K18)-K11</f>
        <v>17336.68</v>
      </c>
      <c r="L19" s="276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80">
        <v>1.01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73">
        <v>0.04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73">
        <v>2831.41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73">
        <v>72.66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73">
        <v>93.93</v>
      </c>
      <c r="L29" s="274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73">
        <v>700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73">
        <v>50</v>
      </c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3">
        <v>229.4</v>
      </c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73">
        <v>0.05</v>
      </c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73">
        <v>1566.27</v>
      </c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73">
        <v>449</v>
      </c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73">
        <v>314.12</v>
      </c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8" ht="15" customHeight="1" thickBot="1">
      <c r="B303" s="267"/>
      <c r="C303" s="268"/>
      <c r="D303" s="268"/>
      <c r="E303" s="268"/>
      <c r="F303" s="268"/>
      <c r="G303" s="269"/>
    </row>
    <row r="304" spans="2:8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65"/>
      <c r="D422" s="265"/>
      <c r="E422" s="265"/>
      <c r="F422" s="265"/>
      <c r="G422" s="266"/>
    </row>
    <row r="423" spans="2:7" ht="15" customHeight="1" thickBot="1">
      <c r="B423" s="267"/>
      <c r="C423" s="268"/>
      <c r="D423" s="268"/>
      <c r="E423" s="268"/>
      <c r="F423" s="268"/>
      <c r="G423" s="269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65"/>
      <c r="D442" s="265"/>
      <c r="E442" s="265"/>
      <c r="F442" s="265"/>
      <c r="G442" s="266"/>
    </row>
    <row r="443" spans="2:7" ht="15" customHeight="1" thickBot="1">
      <c r="B443" s="267"/>
      <c r="C443" s="268"/>
      <c r="D443" s="268"/>
      <c r="E443" s="268"/>
      <c r="F443" s="268"/>
      <c r="G443" s="269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65"/>
      <c r="D462" s="265"/>
      <c r="E462" s="265"/>
      <c r="F462" s="265"/>
      <c r="G462" s="266"/>
    </row>
    <row r="463" spans="2:7" ht="15" customHeight="1" thickBot="1">
      <c r="B463" s="267"/>
      <c r="C463" s="268"/>
      <c r="D463" s="268"/>
      <c r="E463" s="268"/>
      <c r="F463" s="268"/>
      <c r="G463" s="269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65"/>
      <c r="D482" s="265"/>
      <c r="E482" s="265"/>
      <c r="F482" s="265"/>
      <c r="G482" s="266"/>
    </row>
    <row r="483" spans="2:7" ht="15" customHeight="1" thickBot="1">
      <c r="B483" s="267"/>
      <c r="C483" s="268"/>
      <c r="D483" s="268"/>
      <c r="E483" s="268"/>
      <c r="F483" s="268"/>
      <c r="G483" s="269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65"/>
      <c r="D502" s="265"/>
      <c r="E502" s="265"/>
      <c r="F502" s="265"/>
      <c r="G502" s="266"/>
    </row>
    <row r="503" spans="2:7" ht="15" customHeight="1" thickBot="1">
      <c r="B503" s="267"/>
      <c r="C503" s="268"/>
      <c r="D503" s="268"/>
      <c r="E503" s="268"/>
      <c r="F503" s="268"/>
      <c r="G503" s="269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1295.79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379.61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7271.78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3">
        <v>9090.56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69.22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290+20</f>
        <v>310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73"/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20217</v>
      </c>
      <c r="L19" s="276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3">
        <v>176.46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73">
        <v>47.52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73">
        <v>93.93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73">
        <v>447.43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73">
        <v>1638.24</v>
      </c>
      <c r="L29" s="274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1852.76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335.99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3">
        <v>7882.01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3390.56</v>
      </c>
      <c r="L8" s="27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30+40+170</f>
        <v>240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21214.57</v>
      </c>
      <c r="L19" s="276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259.36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73">
        <v>176.46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1117.3699999999999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292.37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3">
        <f>6685.64-16.84-6.88</f>
        <v>6661.92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90+30+15</f>
        <v>135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20719.909999999996</v>
      </c>
      <c r="L19" s="276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249.22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73">
        <v>197.22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73">
        <v>2290.23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73">
        <v>80.099999999999994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73">
        <v>0.03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73">
        <v>325.64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1091.18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248.78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3">
        <v>8736.65</v>
      </c>
      <c r="L7" s="27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40+276</f>
        <v>316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22905.86</v>
      </c>
      <c r="L19" s="276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80">
        <v>38.64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73">
        <v>249.22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73">
        <v>155.69999999999999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2311.09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205.16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6999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465+90</f>
        <v>555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23622.14</v>
      </c>
      <c r="L19" s="276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80">
        <v>197.22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73">
        <v>200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0" workbookViewId="0">
      <selection activeCell="B502" sqref="B502:G5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2946.37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161.54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7451.76</v>
      </c>
      <c r="L7" s="27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v>800</v>
      </c>
      <c r="L11" s="27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73">
        <v>5092.08</v>
      </c>
      <c r="L12" s="274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24911.559999999998</v>
      </c>
      <c r="L19" s="276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80">
        <v>134.94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73">
        <v>83.04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73">
        <v>786.42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517</v>
      </c>
      <c r="K28" s="273">
        <v>26.77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521</v>
      </c>
      <c r="K29" s="273">
        <v>0.02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503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506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516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514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504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507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8" ht="15" customHeight="1" thickBot="1">
      <c r="B243" s="267"/>
      <c r="C243" s="268"/>
      <c r="D243" s="268"/>
      <c r="E243" s="268"/>
      <c r="F243" s="268"/>
      <c r="G243" s="269"/>
    </row>
    <row r="244" spans="2:8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508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511</v>
      </c>
    </row>
    <row r="250" spans="2:8">
      <c r="B250" s="68"/>
      <c r="C250" s="34"/>
      <c r="D250" s="70">
        <v>271.56</v>
      </c>
      <c r="E250" s="71"/>
      <c r="F250" s="71"/>
      <c r="G250" s="34" t="s">
        <v>515</v>
      </c>
    </row>
    <row r="251" spans="2:8">
      <c r="B251" s="68"/>
      <c r="C251" s="34"/>
      <c r="D251" s="70">
        <v>14.06</v>
      </c>
      <c r="E251" s="71"/>
      <c r="F251" s="71"/>
      <c r="G251" s="34" t="s">
        <v>518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498</v>
      </c>
    </row>
    <row r="288" spans="2:7">
      <c r="B288" s="68"/>
      <c r="C288" s="34"/>
      <c r="D288" s="70">
        <v>10</v>
      </c>
      <c r="E288" s="71"/>
      <c r="F288" s="71"/>
      <c r="G288" s="34" t="s">
        <v>500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509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494</v>
      </c>
    </row>
    <row r="328" spans="2:7">
      <c r="B328" s="68"/>
      <c r="C328" s="34"/>
      <c r="D328" s="70">
        <v>12.25</v>
      </c>
      <c r="E328" s="71"/>
      <c r="F328" s="71"/>
      <c r="G328" s="34" t="s">
        <v>505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495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497</v>
      </c>
    </row>
    <row r="507" spans="2:7">
      <c r="B507" s="68"/>
      <c r="C507" s="34"/>
      <c r="D507" s="70"/>
      <c r="E507" s="71">
        <v>11.27</v>
      </c>
      <c r="F507" s="71"/>
      <c r="G507" s="34" t="s">
        <v>499</v>
      </c>
    </row>
    <row r="508" spans="2:7">
      <c r="B508" s="68"/>
      <c r="C508" s="34"/>
      <c r="D508" s="70"/>
      <c r="E508" s="71">
        <v>49</v>
      </c>
      <c r="F508" s="71"/>
      <c r="G508" s="34" t="s">
        <v>522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B354" workbookViewId="0">
      <selection activeCell="B362" sqref="B362:G3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f>2534.79-49</f>
        <v>2485.79</v>
      </c>
      <c r="L5" s="281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>
        <v>550</v>
      </c>
      <c r="L6" s="274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6661.07</v>
      </c>
      <c r="L7" s="27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220+20</f>
        <v>240</v>
      </c>
      <c r="L11" s="274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24488.75</v>
      </c>
      <c r="L19" s="276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30.24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523</v>
      </c>
      <c r="K25" s="280">
        <v>269.88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>
        <v>9</v>
      </c>
      <c r="J26" s="36" t="s">
        <v>532</v>
      </c>
      <c r="K26" s="273">
        <v>49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525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526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529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530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161.96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524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536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33.75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531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52.69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22.990000000000002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540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519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527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20.63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520</v>
      </c>
      <c r="D246" s="70">
        <v>12.46</v>
      </c>
      <c r="E246" s="71"/>
      <c r="F246" s="71"/>
      <c r="G246" s="34" t="s">
        <v>528</v>
      </c>
    </row>
    <row r="247" spans="2:7" ht="15" customHeight="1">
      <c r="B247" s="68">
        <v>566.59</v>
      </c>
      <c r="C247" s="34" t="s">
        <v>519</v>
      </c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12.46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520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520</v>
      </c>
      <c r="D326" s="70"/>
      <c r="E326" s="71"/>
      <c r="F326" s="71"/>
      <c r="G326" s="34"/>
    </row>
    <row r="327" spans="2:7">
      <c r="B327" s="68">
        <v>0.02</v>
      </c>
      <c r="C327" s="34" t="s">
        <v>521</v>
      </c>
      <c r="D327" s="70"/>
      <c r="E327" s="71"/>
      <c r="F327" s="71"/>
      <c r="G327" s="34"/>
    </row>
    <row r="328" spans="2:7">
      <c r="B328" s="68">
        <v>241.71</v>
      </c>
      <c r="C328" s="34" t="s">
        <v>519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</f>
        <v>14</v>
      </c>
      <c r="G366" s="91" t="s">
        <v>91</v>
      </c>
    </row>
    <row r="367" spans="2:7">
      <c r="B367" s="68">
        <v>26.77</v>
      </c>
      <c r="C367" s="34" t="s">
        <v>517</v>
      </c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14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2018-08-10T13:56:30Z</dcterms:modified>
</cp:coreProperties>
</file>