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F9EEAAEE-E2B9-4EF3-AFA7-C6C5B3FE70E8}" xr6:coauthVersionLast="41" xr6:coauthVersionMax="41" xr10:uidLastSave="{00000000-0000-0000-0000-000000000000}"/>
  <bookViews>
    <workbookView xWindow="-108" yWindow="12852" windowWidth="22164" windowHeight="13176" activeTab="1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9" i="13" l="1"/>
  <c r="B130" i="13"/>
  <c r="B467" i="13"/>
  <c r="B256" i="13"/>
  <c r="B257" i="13"/>
  <c r="A257" i="13"/>
  <c r="A359" i="13" l="1"/>
  <c r="A358" i="13"/>
  <c r="A346" i="13"/>
  <c r="A299" i="13"/>
  <c r="A286" i="13"/>
  <c r="A256" i="13"/>
  <c r="A246" i="13"/>
  <c r="A130" i="13"/>
  <c r="A129" i="13"/>
  <c r="A127" i="13"/>
  <c r="A126" i="13"/>
  <c r="F366" i="12"/>
  <c r="A79" i="13"/>
  <c r="A360" i="13" l="1"/>
  <c r="A300" i="13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3" i="19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<sst xmlns="http://schemas.openxmlformats.org/spreadsheetml/2006/main" count="5873" uniqueCount="944">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</sst>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AL1" activePane="topRight" state="frozen"/>
      <selection pane="topRight" activeCell="AQ25" sqref="AQ2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71</v>
      </c>
      <c r="T4" s="382"/>
      <c r="U4" s="382"/>
      <c r="V4" s="383"/>
      <c r="W4" s="381" t="s">
        <v>70</v>
      </c>
      <c r="X4" s="382"/>
      <c r="Y4" s="382"/>
      <c r="Z4" s="383"/>
      <c r="AA4" s="381" t="s">
        <v>72</v>
      </c>
      <c r="AB4" s="382"/>
      <c r="AC4" s="382"/>
      <c r="AD4" s="383"/>
      <c r="AE4" s="381" t="s">
        <v>73</v>
      </c>
      <c r="AF4" s="382"/>
      <c r="AG4" s="382"/>
      <c r="AH4" s="383"/>
      <c r="AI4" s="381" t="s">
        <v>75</v>
      </c>
      <c r="AJ4" s="382"/>
      <c r="AK4" s="382"/>
      <c r="AL4" s="383"/>
      <c r="AM4" s="381" t="s">
        <v>77</v>
      </c>
      <c r="AN4" s="382"/>
      <c r="AO4" s="382"/>
      <c r="AP4" s="383"/>
      <c r="AQ4" s="381" t="s">
        <v>79</v>
      </c>
      <c r="AR4" s="382"/>
      <c r="AS4" s="382"/>
      <c r="AT4" s="383"/>
      <c r="AU4" s="381" t="s">
        <v>84</v>
      </c>
      <c r="AV4" s="382"/>
      <c r="AW4" s="382"/>
      <c r="AX4" s="3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30103.380000000005</v>
      </c>
      <c r="AV5" s="388"/>
      <c r="AW5" s="388"/>
      <c r="AX5" s="389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4" t="s">
        <v>229</v>
      </c>
      <c r="D7" s="385"/>
      <c r="E7" s="385"/>
      <c r="F7" s="386"/>
      <c r="G7" s="384" t="s">
        <v>229</v>
      </c>
      <c r="H7" s="385"/>
      <c r="I7" s="385"/>
      <c r="J7" s="386"/>
      <c r="K7" s="384" t="s">
        <v>229</v>
      </c>
      <c r="L7" s="385"/>
      <c r="M7" s="385"/>
      <c r="N7" s="386"/>
      <c r="O7" s="384" t="s">
        <v>229</v>
      </c>
      <c r="P7" s="385"/>
      <c r="Q7" s="385"/>
      <c r="R7" s="386"/>
      <c r="S7" s="384" t="s">
        <v>229</v>
      </c>
      <c r="T7" s="385"/>
      <c r="U7" s="385"/>
      <c r="V7" s="386"/>
      <c r="W7" s="384" t="s">
        <v>229</v>
      </c>
      <c r="X7" s="385"/>
      <c r="Y7" s="385"/>
      <c r="Z7" s="386"/>
      <c r="AA7" s="384" t="s">
        <v>229</v>
      </c>
      <c r="AB7" s="385"/>
      <c r="AC7" s="385"/>
      <c r="AD7" s="386"/>
      <c r="AE7" s="384" t="s">
        <v>229</v>
      </c>
      <c r="AF7" s="385"/>
      <c r="AG7" s="385"/>
      <c r="AH7" s="386"/>
      <c r="AI7" s="384" t="s">
        <v>229</v>
      </c>
      <c r="AJ7" s="385"/>
      <c r="AK7" s="385"/>
      <c r="AL7" s="386"/>
      <c r="AM7" s="384" t="s">
        <v>229</v>
      </c>
      <c r="AN7" s="385"/>
      <c r="AO7" s="385"/>
      <c r="AP7" s="386"/>
      <c r="AQ7" s="384" t="s">
        <v>229</v>
      </c>
      <c r="AR7" s="385"/>
      <c r="AS7" s="385"/>
      <c r="AT7" s="386"/>
      <c r="AU7" s="384" t="s">
        <v>229</v>
      </c>
      <c r="AV7" s="385"/>
      <c r="AW7" s="385"/>
      <c r="AX7" s="386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2588.0700000000002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30226.359999999997</v>
      </c>
      <c r="BA8" s="112">
        <f t="shared" ref="BA8:BA16" ca="1" si="0">AZ8/BC$17</f>
        <v>2747.8509090909088</v>
      </c>
      <c r="BB8" s="1"/>
      <c r="BC8" s="1"/>
    </row>
    <row r="9" spans="1:55" ht="15.75">
      <c r="A9" s="189" t="s">
        <v>212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302.78999999999996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6264.2300000000014</v>
      </c>
      <c r="BA9" s="112">
        <f t="shared" ca="1" si="0"/>
        <v>569.47545454545468</v>
      </c>
      <c r="BB9" s="1"/>
      <c r="BC9" s="1"/>
    </row>
    <row r="10" spans="1:55" ht="15.75">
      <c r="A10" s="190" t="s">
        <v>217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75">
      <c r="A11" s="189" t="s">
        <v>213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75">
      <c r="A12" s="190" t="s">
        <v>23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75">
      <c r="A13" s="189" t="s">
        <v>214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75">
      <c r="A14" s="190" t="s">
        <v>215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393.02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75">
      <c r="A15" s="189" t="s">
        <v>216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5" thickBot="1">
      <c r="A16" s="191" t="s">
        <v>42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4500.4000000000005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53650.9</v>
      </c>
      <c r="BA17" s="112">
        <f ca="1">AZ17/BC$17</f>
        <v>4877.3545454545456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173</v>
      </c>
      <c r="AV18" s="377"/>
      <c r="AW18" s="377"/>
      <c r="AX18" s="377"/>
      <c r="AZ18" s="131">
        <f>(2500*13)+(600*12)+(550*12)+(95*12)</f>
        <v>47440</v>
      </c>
      <c r="BA18" s="131">
        <f ca="1">12*BA17</f>
        <v>58528.254545454547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1154.0499999999997</v>
      </c>
      <c r="AU20" s="143" t="s">
        <v>84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1396.1899999999996</v>
      </c>
      <c r="AZ20" s="123">
        <f t="shared" ref="AZ20:AZ27" si="14">E20+I20+M20+Q20+U20+Y20+AC20+AG20+AK20+AO20+AS20+AW20</f>
        <v>5724.25</v>
      </c>
      <c r="BA20" s="21">
        <f t="shared" ref="BA20:BA45" si="15">AZ20/AZ$46</f>
        <v>0.11763104222428859</v>
      </c>
      <c r="BB20" s="22">
        <f>_xlfn.RANK.EQ(BA20,$BA$20:$BA$45,)</f>
        <v>2</v>
      </c>
      <c r="BC20" s="22">
        <f t="shared" ref="BC20:BC45" ca="1" si="16">AZ20/BC$17</f>
        <v>520.38636363636363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0.11983993331013355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705.2700000000001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0.26629238996974075</v>
      </c>
      <c r="BB21" s="22">
        <f t="shared" ref="BB21:BB45" si="20">_xlfn.RANK.EQ(BA21,$BA$20:$BA$45,)</f>
        <v>1</v>
      </c>
      <c r="BC21" s="22">
        <f t="shared" ca="1" si="16"/>
        <v>1178.0472727272727</v>
      </c>
      <c r="BE21" s="224">
        <f t="shared" ca="1" si="17"/>
        <v>12653</v>
      </c>
      <c r="BF21" s="21">
        <f t="shared" ca="1" si="18"/>
        <v>0.23583948353424825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-305.52000000000044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396.2</v>
      </c>
      <c r="AT22" s="156">
        <f t="shared" si="12"/>
        <v>381.57</v>
      </c>
      <c r="AU22" s="143" t="s">
        <v>84</v>
      </c>
      <c r="AV22" s="155">
        <f>'12'!B60</f>
        <v>315</v>
      </c>
      <c r="AW22" s="155">
        <f>SUM('12'!D60:F60)</f>
        <v>0</v>
      </c>
      <c r="AX22" s="156">
        <f t="shared" si="13"/>
        <v>696.56999999999994</v>
      </c>
      <c r="AZ22" s="157">
        <f t="shared" si="14"/>
        <v>3350.7299999999996</v>
      </c>
      <c r="BA22" s="21">
        <f t="shared" si="15"/>
        <v>6.8856157944218108E-2</v>
      </c>
      <c r="BB22" s="22">
        <f t="shared" si="20"/>
        <v>6</v>
      </c>
      <c r="BC22" s="22">
        <f t="shared" ca="1" si="16"/>
        <v>304.61181818181814</v>
      </c>
      <c r="BE22" s="225">
        <f t="shared" ca="1" si="17"/>
        <v>3486.23</v>
      </c>
      <c r="BF22" s="21">
        <f t="shared" ca="1" si="18"/>
        <v>6.4979900630807108E-2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135.49999999999983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4.0252143580048395E-2</v>
      </c>
      <c r="BB23" s="22">
        <f t="shared" si="20"/>
        <v>8</v>
      </c>
      <c r="BC23" s="22">
        <f t="shared" ca="1" si="16"/>
        <v>178.07090909090908</v>
      </c>
      <c r="BE23" s="224">
        <f t="shared" ca="1" si="17"/>
        <v>2095</v>
      </c>
      <c r="BF23" s="21">
        <f t="shared" ca="1" si="18"/>
        <v>3.9048740852307758E-2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136.22000000000006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402.97</v>
      </c>
      <c r="AZ24" s="157">
        <f t="shared" si="14"/>
        <v>1507.0300000000002</v>
      </c>
      <c r="BA24" s="21">
        <f t="shared" si="15"/>
        <v>3.0968862220075936E-2</v>
      </c>
      <c r="BB24" s="22">
        <f t="shared" si="20"/>
        <v>10</v>
      </c>
      <c r="BC24" s="22">
        <f t="shared" ca="1" si="16"/>
        <v>137.0027272727273</v>
      </c>
      <c r="BE24" s="225">
        <f t="shared" ca="1" si="17"/>
        <v>1760</v>
      </c>
      <c r="BF24" s="21">
        <f t="shared" ca="1" si="18"/>
        <v>3.2804670119361175E-2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252.97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4702.4215974244962</v>
      </c>
      <c r="AZ25" s="152">
        <f t="shared" si="14"/>
        <v>4059.7500000000009</v>
      </c>
      <c r="BA25" s="21">
        <f t="shared" si="15"/>
        <v>8.3426234645596495E-2</v>
      </c>
      <c r="BB25" s="22">
        <f t="shared" si="20"/>
        <v>4</v>
      </c>
      <c r="BC25" s="22">
        <f t="shared" ca="1" si="16"/>
        <v>369.06818181818193</v>
      </c>
      <c r="BE25" s="224">
        <f t="shared" ca="1" si="17"/>
        <v>5142.1515974244985</v>
      </c>
      <c r="BF25" s="21">
        <f t="shared" ca="1" si="18"/>
        <v>9.5844651623441343E-2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1082.4015974244976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45.49</v>
      </c>
      <c r="AT26" s="156">
        <f t="shared" si="12"/>
        <v>-17.420000000000023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50.579999999999977</v>
      </c>
      <c r="AZ26" s="157">
        <f t="shared" si="14"/>
        <v>615.41000000000008</v>
      </c>
      <c r="BA26" s="21">
        <f t="shared" si="15"/>
        <v>1.264642873655928E-2</v>
      </c>
      <c r="BB26" s="22">
        <f t="shared" si="20"/>
        <v>15</v>
      </c>
      <c r="BC26" s="22">
        <f t="shared" ca="1" si="16"/>
        <v>55.946363636363643</v>
      </c>
      <c r="BE26" s="225">
        <f t="shared" ca="1" si="17"/>
        <v>578.45000000000005</v>
      </c>
      <c r="BF26" s="21">
        <f t="shared" ca="1" si="18"/>
        <v>1.0781739449172996E-2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-36.959999999999972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8.528905579729875E-3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9.1331183855039629E-3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6.9870486152138964E-2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7.2320131960185302E-2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0</v>
      </c>
      <c r="AX29" s="160">
        <f t="shared" si="13"/>
        <v>47.049999999999983</v>
      </c>
      <c r="AZ29" s="152">
        <f t="shared" si="23"/>
        <v>1021.9399999999999</v>
      </c>
      <c r="BA29" s="21">
        <f t="shared" si="15"/>
        <v>2.1000457228578327E-2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1.8837709035700891E-2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5.471330740658923E-3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7.9215822731411919E-3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4.5270766654165653E-3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4.1005837649201468E-3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742.5799999999997</v>
      </c>
      <c r="AZ32" s="157">
        <f t="shared" si="23"/>
        <v>1825.5000000000002</v>
      </c>
      <c r="BA32" s="21">
        <f t="shared" si="15"/>
        <v>3.7513293021869919E-2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4.3472338783800933E-2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9.2141319592501464E-2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8.6334808927655576E-2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0</v>
      </c>
      <c r="AX34" s="161">
        <f t="shared" si="13"/>
        <v>313.45999999999981</v>
      </c>
      <c r="AZ34" s="152">
        <f t="shared" si="23"/>
        <v>1297.5500000000002</v>
      </c>
      <c r="BA34" s="21">
        <f t="shared" si="15"/>
        <v>2.6664132216120136E-2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2.6363212195185018E-2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4.6289410277881957E-2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4.192902816682189E-2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2.6189847470601227E-2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3.874995740798199E-2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1.0212123235945359E-2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1.0611192442586542E-2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83.03</v>
      </c>
      <c r="AT38" s="156">
        <f t="shared" si="12"/>
        <v>148.20000000000007</v>
      </c>
      <c r="AU38" s="143" t="s">
        <v>84</v>
      </c>
      <c r="AV38" s="166">
        <f>'12'!B380</f>
        <v>60</v>
      </c>
      <c r="AW38" s="166">
        <f>SUM('12'!D380:F380)</f>
        <v>0</v>
      </c>
      <c r="AX38" s="156">
        <f t="shared" si="13"/>
        <v>208.20000000000007</v>
      </c>
      <c r="AZ38" s="157">
        <f t="shared" si="23"/>
        <v>676</v>
      </c>
      <c r="BA38" s="21">
        <f t="shared" si="15"/>
        <v>1.3891528941541529E-2</v>
      </c>
      <c r="BB38" s="22">
        <f t="shared" si="20"/>
        <v>14</v>
      </c>
      <c r="BC38" s="22">
        <f t="shared" ca="1" si="16"/>
        <v>61.454545454545453</v>
      </c>
      <c r="BE38" s="225">
        <f t="shared" ca="1" si="17"/>
        <v>785</v>
      </c>
      <c r="BF38" s="21">
        <f t="shared" ca="1" si="18"/>
        <v>1.4631628433919614E-2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109.00000000000004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5.485104643285256E-3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3.55055971970347E-3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1.5686151405286591E-2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-363.34000000000015</v>
      </c>
      <c r="AS41" s="165">
        <f>SUM('11'!D440:F440)</f>
        <v>0</v>
      </c>
      <c r="AT41" s="151">
        <f t="shared" si="12"/>
        <v>7764.0400000000018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3864.0400000000018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-785.95999999999674</v>
      </c>
      <c r="BF41" s="21">
        <f t="shared" ca="1" si="18"/>
        <v>-1.4649521890348296E-2</v>
      </c>
      <c r="BG41" s="22">
        <f t="shared" ca="1" si="21"/>
        <v>26</v>
      </c>
      <c r="BH41" s="22">
        <f t="shared" ca="1" si="19"/>
        <v>-71.450909090908794</v>
      </c>
      <c r="BJ41" s="224">
        <f t="shared" ca="1" si="22"/>
        <v>-785.9599999999964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3.690525388428166E-5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1.0274799512974503E-2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1.9524168948751357E-2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3.8014703238103066E-3</v>
      </c>
      <c r="BB45" s="22">
        <f t="shared" si="20"/>
        <v>21</v>
      </c>
      <c r="BC45" s="22">
        <f t="shared" ca="1" si="16"/>
        <v>16.817272727272726</v>
      </c>
      <c r="BE45" s="226">
        <f t="shared" ca="1" si="17"/>
        <v>20</v>
      </c>
      <c r="BF45" s="21">
        <f t="shared" ca="1" si="18"/>
        <v>3.7278034226546789E-4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-164.99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4500.3999999999996</v>
      </c>
      <c r="AS46" s="219">
        <f>SUM(AS20:AS45)</f>
        <v>3232.09</v>
      </c>
      <c r="AT46" s="220">
        <f>SUM(AT20:AT45)</f>
        <v>31371.687679999999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31371.687679999995</v>
      </c>
      <c r="AZ46" s="227">
        <f>SUM(AZ20:AZ45)</f>
        <v>48662.75</v>
      </c>
      <c r="BA46" s="1"/>
      <c r="BB46" s="1"/>
      <c r="BC46" s="124">
        <f ca="1">SUM(BC20:BC45)</f>
        <v>4423.886363636364</v>
      </c>
      <c r="BE46" s="227">
        <f ca="1">SUM(BE20:BE45)</f>
        <v>53650.897680000009</v>
      </c>
      <c r="BF46" s="1"/>
      <c r="BG46" s="1"/>
      <c r="BH46" s="124">
        <f ca="1">SUM(BH20:BH45)</f>
        <v>4877.3543345454555</v>
      </c>
      <c r="BJ46" s="227">
        <f ca="1">SUM(BJ20:BJ45)</f>
        <v>4988.1476800000037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1268.3100000000004</v>
      </c>
      <c r="AT47" s="140"/>
      <c r="AU47" s="125">
        <f>AU5-AT46</f>
        <v>-1268.3076799999944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53086.636363636368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396.2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234</v>
      </c>
      <c r="E54" s="352"/>
      <c r="F54" s="98"/>
      <c r="G54" s="95">
        <v>43497</v>
      </c>
      <c r="H54" s="351" t="s">
        <v>269</v>
      </c>
      <c r="I54" s="352"/>
      <c r="J54" s="100">
        <v>500</v>
      </c>
      <c r="K54" s="95">
        <v>43539</v>
      </c>
      <c r="L54" s="367" t="s">
        <v>256</v>
      </c>
      <c r="M54" s="368"/>
      <c r="N54" s="100">
        <v>70</v>
      </c>
      <c r="O54" s="95"/>
      <c r="P54" s="369"/>
      <c r="Q54" s="370"/>
      <c r="R54" s="102"/>
      <c r="S54" s="95">
        <v>43594</v>
      </c>
      <c r="T54" s="367" t="s">
        <v>242</v>
      </c>
      <c r="U54" s="368"/>
      <c r="V54" s="103"/>
      <c r="W54" s="95">
        <v>43624</v>
      </c>
      <c r="X54" s="367" t="s">
        <v>153</v>
      </c>
      <c r="Y54" s="368"/>
      <c r="Z54" s="104">
        <v>10</v>
      </c>
      <c r="AA54" s="95"/>
      <c r="AB54" s="357" t="s">
        <v>475</v>
      </c>
      <c r="AC54" s="358"/>
      <c r="AD54" s="239">
        <v>15</v>
      </c>
      <c r="AE54" s="95"/>
      <c r="AF54" s="357" t="s">
        <v>475</v>
      </c>
      <c r="AG54" s="358"/>
      <c r="AH54" s="239">
        <v>14</v>
      </c>
      <c r="AI54" s="95"/>
      <c r="AJ54" s="357" t="s">
        <v>475</v>
      </c>
      <c r="AK54" s="358"/>
      <c r="AL54" s="239">
        <v>15</v>
      </c>
      <c r="AM54" s="95"/>
      <c r="AN54" s="357" t="s">
        <v>475</v>
      </c>
      <c r="AO54" s="358"/>
      <c r="AP54" s="239">
        <v>11</v>
      </c>
      <c r="AQ54" s="95"/>
      <c r="AR54" s="357" t="s">
        <v>475</v>
      </c>
      <c r="AS54" s="358"/>
      <c r="AT54" s="239">
        <v>7</v>
      </c>
      <c r="AU54" s="95"/>
      <c r="AV54" s="351"/>
      <c r="AW54" s="352"/>
      <c r="AX54" s="100"/>
    </row>
    <row r="55" spans="1:62">
      <c r="C55" s="96"/>
      <c r="D55" s="342" t="s">
        <v>235</v>
      </c>
      <c r="E55" s="343"/>
      <c r="F55" s="98">
        <v>121.4</v>
      </c>
      <c r="G55" s="96">
        <v>43516</v>
      </c>
      <c r="H55" s="342" t="s">
        <v>310</v>
      </c>
      <c r="I55" s="343"/>
      <c r="J55" s="100"/>
      <c r="K55" s="96">
        <v>43553</v>
      </c>
      <c r="L55" s="342" t="s">
        <v>296</v>
      </c>
      <c r="M55" s="343"/>
      <c r="N55" s="100">
        <v>4421.9399999999996</v>
      </c>
      <c r="O55" s="96">
        <v>43565</v>
      </c>
      <c r="P55" s="342" t="s">
        <v>322</v>
      </c>
      <c r="Q55" s="343"/>
      <c r="R55" s="100">
        <v>10</v>
      </c>
      <c r="S55" s="96">
        <v>43607</v>
      </c>
      <c r="T55" s="342" t="s">
        <v>310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234</v>
      </c>
      <c r="AC55" s="343"/>
      <c r="AD55" s="100"/>
      <c r="AE55" s="96">
        <v>43682</v>
      </c>
      <c r="AF55" s="342" t="s">
        <v>322</v>
      </c>
      <c r="AG55" s="343"/>
      <c r="AH55" s="100">
        <v>10</v>
      </c>
      <c r="AI55" s="96">
        <v>43711</v>
      </c>
      <c r="AJ55" s="342" t="s">
        <v>322</v>
      </c>
      <c r="AK55" s="343"/>
      <c r="AL55" s="100" t="s">
        <v>779</v>
      </c>
      <c r="AM55" s="96">
        <v>43740</v>
      </c>
      <c r="AN55" s="359" t="s">
        <v>153</v>
      </c>
      <c r="AO55" s="360"/>
      <c r="AP55" s="100">
        <v>10</v>
      </c>
      <c r="AQ55" s="96">
        <v>43798</v>
      </c>
      <c r="AR55" s="342" t="s">
        <v>153</v>
      </c>
      <c r="AS55" s="343"/>
      <c r="AT55" s="100">
        <v>10</v>
      </c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322</v>
      </c>
      <c r="I56" s="343"/>
      <c r="J56" s="100">
        <v>10</v>
      </c>
      <c r="K56" s="96">
        <v>43529</v>
      </c>
      <c r="L56" s="342" t="s">
        <v>324</v>
      </c>
      <c r="M56" s="343"/>
      <c r="N56" s="100">
        <v>3362.6</v>
      </c>
      <c r="O56" s="96">
        <v>43576</v>
      </c>
      <c r="P56" s="357" t="s">
        <v>234</v>
      </c>
      <c r="Q56" s="358"/>
      <c r="R56" s="102"/>
      <c r="S56" s="96">
        <v>43615</v>
      </c>
      <c r="T56" s="342" t="s">
        <v>234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59" t="s">
        <v>234</v>
      </c>
      <c r="AK56" s="360"/>
      <c r="AL56" s="100"/>
      <c r="AM56" s="96">
        <v>43769</v>
      </c>
      <c r="AN56" s="359" t="s">
        <v>153</v>
      </c>
      <c r="AO56" s="360"/>
      <c r="AP56" s="100" t="s">
        <v>779</v>
      </c>
      <c r="AQ56" s="96">
        <v>43791</v>
      </c>
      <c r="AR56" s="342" t="s">
        <v>933</v>
      </c>
      <c r="AS56" s="343"/>
      <c r="AT56" s="100">
        <v>10</v>
      </c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351</v>
      </c>
      <c r="I57" s="343"/>
      <c r="J57" s="100"/>
      <c r="K57" s="96">
        <v>43533</v>
      </c>
      <c r="L57" s="342" t="s">
        <v>234</v>
      </c>
      <c r="M57" s="343"/>
      <c r="N57" s="100"/>
      <c r="O57" s="96">
        <v>43578</v>
      </c>
      <c r="P57" s="371" t="s">
        <v>388</v>
      </c>
      <c r="Q57" s="372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65"/>
      <c r="AC57" s="366"/>
      <c r="AD57" s="100"/>
      <c r="AE57" s="96"/>
      <c r="AF57" s="342"/>
      <c r="AG57" s="343"/>
      <c r="AH57" s="100"/>
      <c r="AI57" s="96">
        <v>43733</v>
      </c>
      <c r="AJ57" s="359" t="s">
        <v>151</v>
      </c>
      <c r="AK57" s="360"/>
      <c r="AL57" s="100">
        <v>10</v>
      </c>
      <c r="AM57" s="96">
        <v>43762</v>
      </c>
      <c r="AN57" s="359" t="s">
        <v>151</v>
      </c>
      <c r="AO57" s="360"/>
      <c r="AP57" s="100" t="s">
        <v>779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242</v>
      </c>
      <c r="E58" s="343"/>
      <c r="F58" s="98"/>
      <c r="G58" s="96"/>
      <c r="H58" s="342"/>
      <c r="I58" s="343"/>
      <c r="J58" s="100"/>
      <c r="K58" s="96">
        <v>43536</v>
      </c>
      <c r="L58" s="342" t="s">
        <v>242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65"/>
      <c r="AC58" s="366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59" t="s">
        <v>234</v>
      </c>
      <c r="AO58" s="360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270</v>
      </c>
      <c r="E59" s="343"/>
      <c r="F59" s="98">
        <v>50</v>
      </c>
      <c r="G59" s="96"/>
      <c r="H59" s="342"/>
      <c r="I59" s="343"/>
      <c r="J59" s="100"/>
      <c r="K59" s="96"/>
      <c r="L59" s="342" t="s">
        <v>384</v>
      </c>
      <c r="M59" s="343"/>
      <c r="N59" s="100">
        <f>3.1+10.5</f>
        <v>13.6</v>
      </c>
      <c r="O59" s="96"/>
      <c r="P59" s="342"/>
      <c r="Q59" s="343"/>
      <c r="R59" s="100"/>
      <c r="S59" s="96"/>
      <c r="T59" s="359"/>
      <c r="U59" s="360"/>
      <c r="V59" s="100"/>
      <c r="W59" s="96"/>
      <c r="X59" s="359"/>
      <c r="Y59" s="360"/>
      <c r="Z59" s="100"/>
      <c r="AA59" s="96"/>
      <c r="AB59" s="359"/>
      <c r="AC59" s="360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1" t="s">
        <v>875</v>
      </c>
      <c r="AO59" s="362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289</v>
      </c>
      <c r="E60" s="343"/>
      <c r="F60" s="98"/>
      <c r="G60" s="96"/>
      <c r="H60" s="342"/>
      <c r="I60" s="343"/>
      <c r="J60" s="100"/>
      <c r="K60" s="235">
        <v>43549</v>
      </c>
      <c r="L60" s="371" t="s">
        <v>388</v>
      </c>
      <c r="M60" s="372"/>
      <c r="N60" s="236">
        <v>15</v>
      </c>
      <c r="O60" s="96"/>
      <c r="P60" s="342"/>
      <c r="Q60" s="343"/>
      <c r="R60" s="100"/>
      <c r="S60" s="96"/>
      <c r="T60" s="359"/>
      <c r="U60" s="360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59"/>
      <c r="AG60" s="360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291</v>
      </c>
      <c r="E61" s="343"/>
      <c r="F61" s="98">
        <v>40</v>
      </c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59"/>
      <c r="U61" s="360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59"/>
      <c r="U62" s="360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59"/>
      <c r="U63" s="360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59"/>
      <c r="U64" s="360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59"/>
      <c r="U65" s="360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564</v>
      </c>
      <c r="U70" s="343"/>
      <c r="V70" s="100">
        <v>3742.92</v>
      </c>
      <c r="W70" s="96"/>
      <c r="X70" s="342" t="s">
        <v>562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3" t="s">
        <v>565</v>
      </c>
      <c r="U71" s="364"/>
      <c r="V71" s="101">
        <v>1872.17</v>
      </c>
      <c r="W71" s="97"/>
      <c r="X71" s="363" t="s">
        <v>563</v>
      </c>
      <c r="Y71" s="364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71</v>
      </c>
      <c r="F73">
        <f>F72*20</f>
        <v>21.799999999999997</v>
      </c>
      <c r="L73" s="119"/>
    </row>
    <row r="74" spans="1:50">
      <c r="A74" t="s">
        <v>253</v>
      </c>
      <c r="C74">
        <v>30</v>
      </c>
      <c r="D74">
        <f>100/C74</f>
        <v>3.3333333333333335</v>
      </c>
    </row>
    <row r="75" spans="1:50">
      <c r="A75" t="s">
        <v>254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3839.35</v>
      </c>
      <c r="L5" s="424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7236.18</v>
      </c>
      <c r="L7" s="426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105+50</f>
        <v>155</v>
      </c>
      <c r="L11" s="42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799</v>
      </c>
      <c r="K35" s="406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789</v>
      </c>
      <c r="K45" s="406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3"/>
      <c r="J46" s="407" t="s">
        <v>831</v>
      </c>
      <c r="K46" s="408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2" t="str">
        <f>AÑO!A13</f>
        <v>Gubernamental</v>
      </c>
      <c r="J50" s="405" t="s">
        <v>797</v>
      </c>
      <c r="K50" s="406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798</v>
      </c>
      <c r="K60" s="406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3984.38</v>
      </c>
      <c r="L5" s="426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8003.5599999999995</v>
      </c>
      <c r="L7" s="426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157.43</v>
      </c>
      <c r="L9" s="426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60+20</f>
        <v>80</v>
      </c>
      <c r="L11" s="426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860</v>
      </c>
      <c r="K32" s="408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327</v>
      </c>
      <c r="K33" s="408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863</v>
      </c>
      <c r="K42" s="408"/>
      <c r="L42" s="229">
        <v>52.06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2" t="str">
        <f>AÑO!A13</f>
        <v>Gubernamental</v>
      </c>
      <c r="J50" s="405" t="s">
        <v>797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2" t="str">
        <f>AÑO!A14</f>
        <v>Mutualite/DKV</v>
      </c>
      <c r="J55" s="405" t="s">
        <v>465</v>
      </c>
      <c r="K55" s="406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abSelected="1" topLeftCell="A96" workbookViewId="0">
      <selection activeCell="J101" sqref="J10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75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1166.05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687</v>
      </c>
      <c r="K31" s="408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899</v>
      </c>
      <c r="K40" s="406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905</v>
      </c>
      <c r="K45" s="406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3"/>
      <c r="J46" s="407" t="s">
        <v>920</v>
      </c>
      <c r="K46" s="408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3"/>
      <c r="J47" s="407" t="s">
        <v>921</v>
      </c>
      <c r="K47" s="408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02" t="str">
        <f>AÑO!A13</f>
        <v>Gubernamental</v>
      </c>
      <c r="J50" s="405" t="s">
        <v>910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909</v>
      </c>
      <c r="K55" s="406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688</v>
      </c>
      <c r="K56" s="408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902</v>
      </c>
      <c r="K60" s="406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93.02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</f>
        <v>4.5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4500.4000000000005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61" workbookViewId="0">
      <selection activeCell="C68" sqref="C6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75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1408.19</v>
      </c>
      <c r="B20" s="135">
        <f>SUM(B6:B19)</f>
        <v>242.14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 t="s">
        <v>910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338.52999999999992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668.38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313.45999999999981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1587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43796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191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43796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642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43796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3.6004645760743324E-2</v>
      </c>
      <c r="Y13" s="119">
        <f ca="1">X13*E13</f>
        <v>144.71235476190478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3.1939605110336819E-2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8.130081300813009E-3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0.50464576074332168</v>
      </c>
      <c r="Y19" s="119">
        <f t="shared" ca="1" si="3"/>
        <v>2232.2500177003485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0.36701509872241578</v>
      </c>
      <c r="Y20" s="119">
        <f t="shared" ca="1" si="3"/>
        <v>220.42926829268293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0.1672473867595819</v>
      </c>
      <c r="Y25" s="119">
        <f t="shared" ca="1" si="3"/>
        <v>101.6802607944251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642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43796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0.37282229965156793</v>
      </c>
      <c r="Y28" s="119">
        <f t="shared" ca="1" si="3"/>
        <v>1919.3238263414635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1.2775842044134728E-2</v>
      </c>
      <c r="Y33" s="119">
        <f t="shared" ca="1" si="3"/>
        <v>52.753064111498254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8.6527293844367012E-2</v>
      </c>
      <c r="Y35" s="119">
        <f t="shared" ca="1" si="3"/>
        <v>353.78820101045295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2733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1.5871080139372822</v>
      </c>
      <c r="Y42" s="328">
        <f ca="1">SUM(Y13:Y41)</f>
        <v>5024.9369930127759</v>
      </c>
      <c r="Z42" s="329">
        <f ca="1">P42/Y42</f>
        <v>0.83856763355625363</v>
      </c>
      <c r="AA42" s="329">
        <f ca="1">Z42/(D$43/365)</f>
        <v>0.17774517203718498</v>
      </c>
    </row>
    <row r="43" spans="1:27">
      <c r="C43" s="119" t="s">
        <v>567</v>
      </c>
      <c r="D43" s="46">
        <f ca="1">_xlfn.DAYS(TODAY(),F13)</f>
        <v>1722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D33" sqref="D3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3">
        <v>2901.68</v>
      </c>
      <c r="L5" s="4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5">
        <v>620.05999999999995</v>
      </c>
      <c r="L6" s="426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5">
        <v>8035.29</v>
      </c>
      <c r="L7" s="42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5">
        <v>659.39</v>
      </c>
      <c r="L9" s="42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5">
        <f>240+35</f>
        <v>275</v>
      </c>
      <c r="L11" s="42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2" t="str">
        <f>AÑO!A8</f>
        <v>Manolo Salario</v>
      </c>
      <c r="J25" s="405" t="s">
        <v>290</v>
      </c>
      <c r="K25" s="40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3"/>
      <c r="J26" s="407"/>
      <c r="K26" s="40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3"/>
      <c r="J27" s="407"/>
      <c r="K27" s="4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2" t="str">
        <f>AÑO!A9</f>
        <v>Rocío Salario</v>
      </c>
      <c r="J30" s="405" t="s">
        <v>237</v>
      </c>
      <c r="K30" s="40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255</v>
      </c>
      <c r="K31" s="40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266</v>
      </c>
      <c r="K32" s="40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2" t="s">
        <v>217</v>
      </c>
      <c r="J35" s="405" t="s">
        <v>305</v>
      </c>
      <c r="K35" s="40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2" t="str">
        <f>AÑO!A11</f>
        <v>Finanazas</v>
      </c>
      <c r="J40" s="405" t="s">
        <v>238</v>
      </c>
      <c r="K40" s="40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239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12"/>
      <c r="I42" s="403"/>
      <c r="J42" s="407" t="s">
        <v>268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2" t="str">
        <f>AÑO!A12</f>
        <v>Regalos</v>
      </c>
      <c r="J45" s="405" t="s">
        <v>298</v>
      </c>
      <c r="K45" s="40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1"/>
      <c r="J49" s="412"/>
      <c r="K49" s="413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2" t="str">
        <f>AÑO!A13</f>
        <v>Gubernamental</v>
      </c>
      <c r="J50" s="405" t="s">
        <v>258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1"/>
      <c r="J54" s="412"/>
      <c r="K54" s="413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2" t="str">
        <f>AÑO!A16</f>
        <v>Otros</v>
      </c>
      <c r="J65" s="405" t="s">
        <v>295</v>
      </c>
      <c r="K65" s="40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3"/>
      <c r="J66" s="407"/>
      <c r="K66" s="4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3"/>
      <c r="J68" s="407"/>
      <c r="K68" s="4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4"/>
      <c r="J69" s="409"/>
      <c r="K69" s="41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75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75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75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75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75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75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7" t="str">
        <f>AÑO!A37</f>
        <v>Impuestos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75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75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75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75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75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75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7" t="str">
        <f>AÑO!A43</f>
        <v>Cartama Finanazas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75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75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75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2397.48-4.45</f>
        <v>2393.0300000000002</v>
      </c>
      <c r="L5" s="4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>
        <f>7340.23-4.45</f>
        <v>7335.78</v>
      </c>
      <c r="L7" s="42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7001.87</v>
      </c>
      <c r="L8" s="42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669.52</v>
      </c>
      <c r="L9" s="42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160+155</f>
        <v>315</v>
      </c>
      <c r="L11" s="42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313</v>
      </c>
      <c r="K30" s="4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318</v>
      </c>
      <c r="K31" s="4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313</v>
      </c>
      <c r="K33" s="4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2" t="str">
        <f>AÑO!A15</f>
        <v>Alquiler Cartama</v>
      </c>
      <c r="J60" s="405" t="s">
        <v>314</v>
      </c>
      <c r="K60" s="4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3"/>
      <c r="J66" s="407"/>
      <c r="K66" s="4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3"/>
      <c r="J67" s="407"/>
      <c r="K67" s="4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4"/>
      <c r="J69" s="409"/>
      <c r="K69" s="4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1559.34</v>
      </c>
      <c r="L5" s="42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5">
        <v>8577.0300000000007</v>
      </c>
      <c r="L7" s="42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5">
        <v>4167.34</v>
      </c>
      <c r="L9" s="42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255</v>
      </c>
      <c r="L11" s="42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237</v>
      </c>
      <c r="K31" s="4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378</v>
      </c>
      <c r="K45" s="4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3"/>
      <c r="J46" s="407" t="s">
        <v>160</v>
      </c>
      <c r="K46" s="4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3"/>
      <c r="J51" s="407" t="s">
        <v>416</v>
      </c>
      <c r="K51" s="4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365</v>
      </c>
      <c r="K60" s="4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861.84</v>
      </c>
      <c r="L5" s="42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10075.709999999999</v>
      </c>
      <c r="L7" s="42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35.96</v>
      </c>
      <c r="L9" s="42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370</v>
      </c>
      <c r="L11" s="42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5092.08+4084.2</f>
        <v>9176.2799999999988</v>
      </c>
      <c r="L12" s="42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443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60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432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447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1773.93</v>
      </c>
      <c r="L5" s="42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7144.52</v>
      </c>
      <c r="L7" s="42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10005.620000000001</v>
      </c>
      <c r="L8" s="42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514.82000000000005</v>
      </c>
      <c r="L9" s="42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210</f>
        <v>210</v>
      </c>
      <c r="L11" s="42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361</v>
      </c>
      <c r="K31" s="40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471</v>
      </c>
      <c r="K40" s="4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2" t="str">
        <f>AÑO!A13</f>
        <v>Gubernamental</v>
      </c>
      <c r="J50" s="405" t="s">
        <v>482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2" t="str">
        <f>AÑO!A14</f>
        <v>Mutualite/DKV</v>
      </c>
      <c r="J55" s="405" t="s">
        <v>476</v>
      </c>
      <c r="K55" s="40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M5+2156.93</f>
        <v>1614.1099999999997</v>
      </c>
      <c r="L5" s="424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9234.42-58.2</f>
        <v>9176.2199999999993</v>
      </c>
      <c r="L7" s="42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190</v>
      </c>
      <c r="L11" s="42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625</v>
      </c>
      <c r="K30" s="40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626</v>
      </c>
      <c r="K60" s="40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2939.95</f>
        <v>2939.95</v>
      </c>
      <c r="L5" s="424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8049.26</v>
      </c>
      <c r="L7" s="42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260</v>
      </c>
      <c r="L11" s="42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687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674</v>
      </c>
      <c r="K40" s="40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688</v>
      </c>
      <c r="K55" s="40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688</v>
      </c>
      <c r="K56" s="40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688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703</v>
      </c>
      <c r="K60" s="40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7490.36</v>
      </c>
      <c r="L7" s="42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20+120</f>
        <v>140</v>
      </c>
      <c r="L11" s="42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396</v>
      </c>
      <c r="K35" s="406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775</v>
      </c>
      <c r="K45" s="406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3"/>
      <c r="J46" s="407" t="s">
        <v>776</v>
      </c>
      <c r="K46" s="408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2" t="str">
        <f>AÑO!A13</f>
        <v>Gubernamental</v>
      </c>
      <c r="J50" s="405" t="s">
        <v>638</v>
      </c>
      <c r="K50" s="406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2019-11-27T15:59:17Z</dcterms:modified>
</cp:coreProperties>
</file>